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C80730B9-1BAD-4EFD-8621-498B6ED4B1C5}"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E120" i="2" l="1"/>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<sst xmlns="http://schemas.openxmlformats.org/spreadsheetml/2006/main" count="46699" uniqueCount="13069">
  <si>
    <t>Índice onomástico anual · Gazeta de Madrid</t>
  </si>
  <si>
    <t>Números 1 a 107 · 3 de enero–30 de diciembre de 1806</t>
  </si>
  <si>
    <t>Registros: 5.795</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</si>
  <si>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</si>
  <si>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</si>
  <si>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</si>
  <si>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</si>
  <si>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</si>
  <si>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</si>
  <si>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</si>
  <si>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</si>
  <si>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</si>
  <si>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</si>
  <si>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</si>
  <si>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</si>
  <si>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</si>
  <si>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Abad Berault-Bercastel</t>
  </si>
  <si>
    <t>Mencionado en una noticia, disposición o aviso de España.</t>
  </si>
  <si>
    <t>Noticias de España</t>
  </si>
  <si>
    <t>10 de enero de 1806</t>
  </si>
  <si>
    <t>Transcripción del OCR histórico; compruebe la grafía en el facsímil.</t>
  </si>
  <si>
    <t>lecimiento de la Iglesia hasta los tiempos presentes, escrita en francés por el Abad Berault-Bercastel, Canónigo de Noyon, traducida ~al castellano é ílustradá con notas por lo perteneciente á España: tomos ió y 11, qué comprehenden desde la renovación del cisma de los Griegos en el año 995</t>
  </si>
  <si>
    <t>Cotejar OCR</t>
  </si>
  <si>
    <t>Abad BeraultBercastel</t>
  </si>
  <si>
    <t>15 de abril de 1806</t>
  </si>
  <si>
    <t>s tiempos presentes, escrita en francés, y dedicada al Rey Cristianísimo por el Abad BeraultBercastel, Canónigo de Koycn, traducida al castellano é ilustrada con notas por lo perteneciente á España: tomo 12, que comprehende desde la muerte de San Bernardo en el año 1155 hasta el primer Conc</t>
  </si>
  <si>
    <t>8 de agosto de 1806</t>
  </si>
  <si>
    <t>s tiempos presentes, escrita en francés, y dedicada al Rey Cristianísimo por el Abad BeraultBercastel, Canónigo de la Iglesia de Noyon, traducida al castellano é ilustrada con notas por lo perteneciente á España: tomo xiv, que comprehende desde la 'muerte del Papa Juan xxii en el año 1334 h</t>
  </si>
  <si>
    <t>16 de diciembre de 1806</t>
  </si>
  <si>
    <t>s tiempos presentes, escrita en francés, y dedicada al Rey Cristianísimo por el Abad BeraultBercastel, Canónigo de Noyon, traducida al castellano', é ilustrada con notas por lo perteneciente á España: tomo 16 f que comprehende desde la extinción del cisma de Basilea en el año 1449 hasta el</t>
  </si>
  <si>
    <t>Abad de Berauit-Bercastel</t>
  </si>
  <si>
    <t>Mencionado en un nombramiento, ascenso, concesión o disposición oficial.</t>
  </si>
  <si>
    <t>Nombramientos y disposiciones</t>
  </si>
  <si>
    <t>7 de octubre de 1806</t>
  </si>
  <si>
    <t>y complemento á la Historia Eclesiástica que se está publicando en español del Abad de Berauit-Bercastel, Canónigo de Noyon, con un resúmen de la vida y escritos del autor. Basta el nombre de Calmet para recomendar esta obra, sin necesidad de mendigar elogios, quando está tan acreditada entre</t>
  </si>
  <si>
    <t>Abad de Berault Bercastel</t>
  </si>
  <si>
    <t>Mencionado en un anuncio bibliográfico, artístico o editorial.</t>
  </si>
  <si>
    <t>Libros, estampas y avisos culturales</t>
  </si>
  <si>
    <t>11 de noviembre de 1806</t>
  </si>
  <si>
    <t>s tiempos presentes, escrita en francés y .dedicada al Rey Cristianísimo por el Abad de Berault Bercastel, Canónigo de. Noyon, traducida al castellano. ¿ ilustrada con notas por lo perteneciente á España: tomo xv, que comprehende desde la decadencia de los fautores del gran cisma de Occidente e</t>
  </si>
  <si>
    <t>Abad y la Sierra, Manuel</t>
  </si>
  <si>
    <t>Manuel Abad y la Sierra</t>
  </si>
  <si>
    <t>Citado en un aviso sobre fallecimiento, parentesco, haberes o derechos de herederos.</t>
  </si>
  <si>
    <t>Avisos y anuncios</t>
  </si>
  <si>
    <t>20 de mayo de 1806</t>
  </si>
  <si>
    <t>neficio de la villa de Moron, en el Arzobispado de Sevilla, vacante por fallecimiento del limo. Sr. D. Manuel Abad y la Sierra, Arzobispo de Selimbria, á D. Josef Plácido Orozco y de León, del Orden de Santiago: para otro simple servidero de la villa de la Motilla del Palancar, en el Obispado dé Cuenca ,</t>
  </si>
  <si>
    <t>Abad, Antonio</t>
  </si>
  <si>
    <t>Antonio Abad</t>
  </si>
  <si>
    <t>15 de agosto de 1806</t>
  </si>
  <si>
    <t>iente expongan lo que se Ies ofrezca y parezca; é ignorándose el paradero de Dott Lorenzo González, D. Antonio Abad, D. Tomas de Fuentenebro, vecino de Aranda de Duero, D Alonso Fernandez, los herederos de otro de igual nombré, el curador de D. Lorenza Pascual de Iriarte, D. Joaquín de la Raya,</t>
  </si>
  <si>
    <t>Abate Para du Fantas</t>
  </si>
  <si>
    <t>27 de mayo de 1806</t>
  </si>
  <si>
    <t>este al mismo tiempo. Curso elemental de Filosofía, compuesto en francés por el Abate Para du Fantas, Presbítero de la extinguida Compañía de Jesús, y traducidos en castellano por el Lie. D. Lucas Gómez y Negro, Abogado del ilustre Colegio de la Real Chancillería de Valladolid: 4 tomos en 4.</t>
  </si>
  <si>
    <t>Abbad, Manuel</t>
  </si>
  <si>
    <t>Manuel Abbad</t>
  </si>
  <si>
    <t>4 de marzo de 1806</t>
  </si>
  <si>
    <t>, D. Josef Martínez , D. Manuel Cámara y D. Faustino Vitorica; y los Seminaristas D. Pedro Cendeja, D. Manuel Abbad, D. Carlos Van-Zoelen, D. Juan Ortiz de Zarate, D. Sebastian de Navarrete, Don Gerónimo Maza, D. Juan Maza, D; Luis Berganza , D. Alexandro lagoa, D. Bernabé de Otalora, D. Eugeni</t>
  </si>
  <si>
    <t>Abecia, Vicente</t>
  </si>
  <si>
    <t>Vicente Abecia</t>
  </si>
  <si>
    <t>7 de marzo de 1806</t>
  </si>
  <si>
    <t>500 esíaudcs por fanega de i i'i pies cada uno. Quien quisiere tratar de ajuste acuda á la casa de D. Vicente Abecia, calle Mayor: se darán pagaderas á plazos. Por la audiencia del Sr. D. Manuel Vicente de Torres, Teniente Corregidor</t>
  </si>
  <si>
    <t>Abel</t>
  </si>
  <si>
    <t>30 de mayo de 1806</t>
  </si>
  <si>
    <t>os de su nación.-__ En la misma audiencia el Ministro residente de las ciudades libres del Imperio, Mr. Abel, entregó á S. M. una carta de las ciudades Anseáticas. Se asegura que la Diputación Bátava ha recibido hace 5 dias el voto formii de su Gobierno, para que su pais se erija en Reyn</t>
  </si>
  <si>
    <t>Abelloii, Estéban</t>
  </si>
  <si>
    <t>Estéban Abelloii</t>
  </si>
  <si>
    <t>el Arzobispado de Burgos, vacante por muerte de D. Estéban Abelloii, 4D. Josef Antonio de Fpxá y de Badolato: para el Beneficio simple seryide-^ to Arciprestazgo de Población de Campos en el Obispado de Palepcia, vacante, por fallecimiento de D. M</t>
  </si>
  <si>
    <t>Abercrombie, Rafael</t>
  </si>
  <si>
    <t>Rafael Abercrombie</t>
  </si>
  <si>
    <t>Mencionado en una noticia extranjera.</t>
  </si>
  <si>
    <t>Noticias extranjeras</t>
  </si>
  <si>
    <t>4 de abril de 1806</t>
  </si>
  <si>
    <t>iguas? Mas limitémonos á la exposición sencilla de los hechos. ,,La isla de la Trinidad se rindió á Sir Rafael Abercrombie en el año de 1797. En la capitulación se decia expresamente que á los habitantes se les continuaria en el goce de sus leyes y usos; y el acusado al recibir el título de Gobernador p</t>
  </si>
  <si>
    <t>Abisinio, Príncipe</t>
  </si>
  <si>
    <t>Príncipe Abisinio</t>
  </si>
  <si>
    <t>Mencionado en un anuncio particular, económico o judicial.</t>
  </si>
  <si>
    <t>2 de diciembre de 1806</t>
  </si>
  <si>
    <t>él mar Rexo, y levantado mapas de este mar. Su Secretario ha estado en Abisinia, dé donde trae á un Príncipe Abisinio mozo, pariente de Negad- Ba-Mahomet, de quien Mr. Bruce habla muchas veces en su viage, y dice era su atnigo. Este Príncipe y Mr. Salt han acompañado siempre á Lord Valence* y lle</t>
  </si>
  <si>
    <t>Abraham Furtado</t>
  </si>
  <si>
    <t>19 de agosto de 1806</t>
  </si>
  <si>
    <t>n número de 95,, elegidos, en 28 departamentos. Constituidos en asamblea nombraron per Presidente á Mr. Abraham Furtado, propietario, en Burdeos. Ames de ocupar su asiento Abraham: Furtado, dio gracias á la asamblea por la ccnfcanza que había manifestado á su persona; y luego exhortó, a sus con pañ</t>
  </si>
  <si>
    <t>Abraham Undredown</t>
  </si>
  <si>
    <t>10 de junio de 1806</t>
  </si>
  <si>
    <t>ta llamada bella dama, por Mr. Willemet; método para adquirir harinas; sin necesidad de granos, por Mr. Abraham Undredown; romance, á C., por D. M. B. G. S.; y noticias acerca de varias obras alemanas. Se hallará á 3 rs. en la librería de Escribano, calle de las Carretas, y en la de Argueta , calle d</t>
  </si>
  <si>
    <t>Abreu Capitán, Joaquín</t>
  </si>
  <si>
    <t>Joaquín Abreu Capitán</t>
  </si>
  <si>
    <t>27 de junio de 1806</t>
  </si>
  <si>
    <t>ey ha conferido en los Regimientos de Milicias provinciales empleo de Sargento mayor en el de Tuy á D. Joaquín Abreu Capitán, deí Real Cuerpo de Artillería; de Ayudante en el de Avila al de la.misma clase reformado D. Bernardino Asenjo; de Teniente en ios de Murcia? Be</t>
  </si>
  <si>
    <t>Abreu y del Moral, Rafael</t>
  </si>
  <si>
    <t>Rafael Abreu y del Moral</t>
  </si>
  <si>
    <t>22 de julio de 1806</t>
  </si>
  <si>
    <t>de la Villa de Valencia de Alcántara, territeVio -de la mism? Orden, de primera clase ó entrada, á D. Rafael Abreu y del Moral; y para la Vara de Alcalde mayor deCinco Villas á D. Diego del Val. En cumplimiento de lo mandado por S. M. en Real Pragmática-Sanción de 30 de Agosto de 1800, desde i.° de Agosto</t>
  </si>
  <si>
    <t>Acaba</t>
  </si>
  <si>
    <t>2 de septiembre de 1806</t>
  </si>
  <si>
    <t>s mas terminantes para que sean respetados los Franceses y todas sus pertenencias y propiedades. P. D. Acaba de llegar de Constantina un correo despachado por algunos sugetos de la primera distinción de Túnez. Al momento ha vuelto á saiir, y creemos que lleva la orden para que el exército s</t>
  </si>
  <si>
    <t>Acabamos</t>
  </si>
  <si>
    <t>29 de julio de 1806</t>
  </si>
  <si>
    <t>sportar una gran porción de pan destinado para las tropas Servias acampadas delante de Belgrado. P. D. Acabamos de saber que el cuerpo de tropas Otomanas que había entrado en la Servia ha sido derrotado enteramente, y ha vuelto á pasar el Drina___ Gzerni- Jorge se ha presentado á la vista de B</t>
  </si>
  <si>
    <t>Acacio, Manuel Antonio</t>
  </si>
  <si>
    <t>Manuel Antonio Acacio</t>
  </si>
  <si>
    <t>21 de enero de 1806</t>
  </si>
  <si>
    <t>Junta, en que se han distinguido el Alcalde mayor D. Mariano Lafuente y Poyanos, y ei Cura Párroco D. Manuel Antonio Acacio, con los caudales que han sacado del fondo de Propios de importe 7905 rs. y 17 mrs.; de sobrantes de obras pías &amp;440; de limosnas que ha dispensado el Emo. Sr. Cardenal Arzobispo</t>
  </si>
  <si>
    <t>Academia Real de las Ciencias de Suecia</t>
  </si>
  <si>
    <t>25 de julio de 1806</t>
  </si>
  <si>
    <t>ria mas interesante de Astronomía., se ha adjudicado á Mr. Jons Svanberg, de la Academia Real de las Ciencias de Suecia, autor de una obra intitulada: Exposición de las operaciones hechas en Laponia para la determinación de un arco del meridiano en 1801, 1802 y 1803. ESPAÑA. . Madrid 25 de Julio. En la Co</t>
  </si>
  <si>
    <t>Acosta, Antonio</t>
  </si>
  <si>
    <t>Antonio Acosta</t>
  </si>
  <si>
    <t>de Alférez á lós Portaguiones D. Antonio Contreras y D. Josef Ausejo ; y esta resulta á los Cadetes D. Antonio Acosta y p. Antonio Valdivieso. En América. El Rey se ha servido nombrar para eipeanato de la Me* tropclitana de Manila, en las islas Filipinas, á D. Francisco P¡gz Durana; para el Arcedia</t>
  </si>
  <si>
    <t>Acoz, Juan</t>
  </si>
  <si>
    <t>Juan Acoz</t>
  </si>
  <si>
    <t>4 de julio de 1806</t>
  </si>
  <si>
    <t>e, y escribanía de D. Juan Antonio Díaz Noriega, se cita, llama y emplaza á todos los acreedores de D. Juan Acoz, vecino y del comercio de esta Corte, para que en el término de 30 días contados desde el 25 de Junio comparezcan ante dicho Señor, por sí ó por procurador conocido, con suficient</t>
  </si>
  <si>
    <t>Adalberto Federico Marcus</t>
  </si>
  <si>
    <t>1 de abril de 1806</t>
  </si>
  <si>
    <t>de la nueva doctrina médica de Brown á la cabecera del enfermo, por medio de la experiencia, por el Dr. Adalberto Federico Marcus, Médico, Director del hospital general de Bamberga, y profesor de Clínica, juntamente con el libro i.° y 3.0 de las Epidemias de Hipócrates, y demostraciones médico-prácticas de s</t>
  </si>
  <si>
    <t>Adara</t>
  </si>
  <si>
    <t>los Directores hiciéron presentar los testigos; de los quales solo dos habian sido examinados ayer. Mr. Adara se sentó junto á Lord Melleville despue&amp; de haber pronunciado un discurso muy patético. . r-:i En la Cámara de los Comunes hubo ayer una larga discusión con motivo de la segunda l</t>
  </si>
  <si>
    <t>Adrián Caballero</t>
  </si>
  <si>
    <t>14 de febrero de 1806</t>
  </si>
  <si>
    <t>los Tenientes D. Andrés Mexia y D. Tadeo González; á Tenientes á los Alféreces D. Fernando Aragón, D. Adrián Caballero, D. Francisco Verdejo, D. Josef Valderrago, D. Pedro Mercado, y á los Portaguiones D. Santiago Borda y D. Bernardo Arroyo ; á Alférez al Sargento primero D. Clemente Zapata, yá Po</t>
  </si>
  <si>
    <t>Adrián Marcos Martínez</t>
  </si>
  <si>
    <t>28 de febrero de 1806</t>
  </si>
  <si>
    <t>omo delegado del Vicario eclesiástico del partido; y obtenida la aprobación correspondiente del Sr. D. Adrián Marcos Martínez, Ministro del Consejo, á cuyo cargo está la execucion de esta saludable providencia en el distrito de este Arzobispado, tuvo efecto la expresada obra, con inmediación á la ermita</t>
  </si>
  <si>
    <t>Adrián Márcos Martínez</t>
  </si>
  <si>
    <t>21 de marzo de 1806</t>
  </si>
  <si>
    <t>e acuerdo pues con el Vicario general del Partido, y con la aprobación del Sr. Ministro del Consejo D. Adrián Márcos Martínez, encargado de promover su execucion en este Arzobispado, se dio principio á la obra el dia 5 de Junio de 1805 en la Parroquia antigua de S. Miguel, que se halla á la salida orient</t>
  </si>
  <si>
    <t>Adrián Medina</t>
  </si>
  <si>
    <t>3 de octubre de 1806</t>
  </si>
  <si>
    <t>D. Pedro Bausá^á Alférez al Portaestandarte D. Estanislao Rodríguez, y á Portaestandarte al Cadete D. Adrián Medina. Observación del eclipse de Sol el dia 16 de Junio de i8o(f en algunos pueblqs de España, y conclusión de la longitud de ellos por varios Oficiales de la Re¿il Armada. El Teniente</t>
  </si>
  <si>
    <t>Adrián Míreos Martínez</t>
  </si>
  <si>
    <t>12 de agosto de 1806</t>
  </si>
  <si>
    <t>amante , como delegado del R. Obispo, Prior de Santiago de Uclés; y precedida la aprobación del Sr. D. Adrián Míreos Martínez, Ministro del Consejo Real, y encargado de activar dichos establecimientos en este Priorato, se ha verificado ei de esta villa, habiendo contribuido á costearle los Sres. Infantes</t>
  </si>
  <si>
    <t>Afitoniq Aguado, Manuel</t>
  </si>
  <si>
    <t>Manuel Afitoniq Aguado</t>
  </si>
  <si>
    <t>blación de Campos en el Obispado de Palepcia, vacante, por fallecimiento de D. Marcos de la Vega, á D. Manuel Afitoniq Aguado,.Gura Párroco de S. Pedro de lá villa de Astudillo en el mismo Obispado: á D. Fr. Salvador Aznar para el Priorato de Acumuer, Oficio regular del Real Monasterio de S. Juan de la P</t>
  </si>
  <si>
    <t>AGcenteo Ra</t>
  </si>
  <si>
    <t>17 de junio de 1806</t>
  </si>
  <si>
    <t>r para elArcedianatoudé Brmeíéá u Dignidad de la Catedral dé Burgos , vacante por filleeimiento; de D. AGcenteo Ra mirez, á D. Fernando de Poves, Inquisidor de Corte: para ía Camngía de la Colegiata de la ciudad de Sta. Fe, Diócesis de Granada, va'ante oor dexacion de L). Agustín Perez Zaragoz</t>
  </si>
  <si>
    <t>Agnew, Capitán</t>
  </si>
  <si>
    <t>Capitán Agnew</t>
  </si>
  <si>
    <t>10 de octubre de 1806</t>
  </si>
  <si>
    <t>$----- El Coronel Wallace publica el extracto que sigue de la carta que el Capitán Scott escribe al Capitán Agnew enviado como Edecán; contiene la relación de un ataque hecho con felicidad el 22 del mismo mes por el destacamento que manda, contra 3$ bandoleros acaudillados por Soopkerrena Sirda</t>
  </si>
  <si>
    <t>Aguado y Oquendo, Andrés</t>
  </si>
  <si>
    <t>Andrés Aguado y Oquendo</t>
  </si>
  <si>
    <t>26 de septiembre de 1806</t>
  </si>
  <si>
    <t>en los de Hibernia, Ultonia y Voluntarios de .Castilla Tenenr cias á los Subtenientes de-granaderos D. Andrés Aguado y Oquendo , Don Ramón Urraca y D. Mariano.de Castro ; y en el de* Murcia Subtenejncia de bandera al Cadete del. de; Africa Eugenio Crespo y Azcona.. , ; En el Regimiento Provincial de Chinc</t>
  </si>
  <si>
    <t>Aguado, Juan Martín</t>
  </si>
  <si>
    <t>Juan Martín Aguado</t>
  </si>
  <si>
    <t>23 de septiembre de 1806</t>
  </si>
  <si>
    <t>auton, empleado en la Real fábrica de aguardientes junto al portillo de Embaxadores, y en Leganes á D. Juan Martin Aguado, Escribano del número de dicha villa. Ramón Gallo, natural del lugar de Cobanera, Arzobispado de Búrgos, hace como 50 á 60 años sentó plaza en el Regimiento de Cantabria; y no dan</t>
  </si>
  <si>
    <t>Aguado, Miguel</t>
  </si>
  <si>
    <t>Miguel Aguado</t>
  </si>
  <si>
    <t>Pceyo, y para la Media-Prestamera de la villa de Tresjuncos en la de Cuenca, vacante por muerte de D. Miguel Aguado, á D. Alfonso Gómez. El Teniente General D. Ignacio María de Alava,Comandante de la esquadra de S. M. en el puerto de Cádiz, ha dado cuenta al Excmo. Sr. Generalísimo Príncipe de</t>
  </si>
  <si>
    <t>Aguilar, Manuel</t>
  </si>
  <si>
    <t>Manuel Aguilar</t>
  </si>
  <si>
    <t>s D. Federico Garcen de S. Justjá Capitanes de granaderos á los de fusileros Dori Miguel Palatino y D. Manuel Aguilar; á Capitanes primeros al segundo D. Rafael de Villar, y á los Ayudantes D. Francisco Vaiderrama y Dón Josef Power; á Ayudantes á los Capitanes segundos D. Luis de Lará y Don uan D</t>
  </si>
  <si>
    <t>Aguilera y Aguilera, Bartolomé</t>
  </si>
  <si>
    <t>Bartolomé Aguilera y Aguilera</t>
  </si>
  <si>
    <t>btenencias de bandera en el de Zaragoza al Sargento primero D. Francisco Rafael: en el de Córdoba á D. Bartolomé Aguilera y Aguilera, Cadete del de Reales Guardias Españolas: en el de España al Sargento -primero Don Josef Salinas; y en el de Burgos al Cadete D. Matías Cantero. S. M. se ha servido nombrar para l</t>
  </si>
  <si>
    <t>Aguilera, Joaquín</t>
  </si>
  <si>
    <t>Joaquín Aguilera</t>
  </si>
  <si>
    <t>31 de enero de 1806</t>
  </si>
  <si>
    <t>93. - Teniente ? con grado de Capitán, D. Lorenzo'Vizquíz; Tenencia al Subteniente de granaderos D. Joaquín Aguilera, y Subtenencias de bandera á los Cadetes D. Juan Josef Yañez y D. Juan Ameller, este del inmemorial del Rey. ' " . Igualmente ha conferido S. M. en el segundo Batallón de Voluntar</t>
  </si>
  <si>
    <t>Aguinaga, Alexandro</t>
  </si>
  <si>
    <t>Alexandro Aguinaga</t>
  </si>
  <si>
    <t>12 de diciembre de 1806</t>
  </si>
  <si>
    <t>anas de dragones de Huambbs á Teniente Coronel* Comandante y Sargento mayor á D- Pedro Pablo Burga, D. Alexandro Aguinaga y D. Josef Sánchez Foncaliente , Capitanes del mismo .cuerpo; á Capitán al Teniente D. Pedro Pablo de los Santos; fá Ayudante al Teniente de granaderos D. Diego Grrego-; á Teniente al</t>
  </si>
  <si>
    <t>Aguirre y Castro, Tomás</t>
  </si>
  <si>
    <t>Tomás Aguirre y Castro</t>
  </si>
  <si>
    <t>z de Zarate, D. Josef y D. Pedro Aguado, D. Manuel Rodríguez Perez, D. Francisco de Paula Gregorio, D. Tomas Aguirre y Castro, D. Juan Bautista Ponsinch, D. Felipe del Arco Agüero , D. Josef Sánchez Tagle, D. Francisco Xaramillo, D. Dionisio López Pinto, D. Mariano Carrillo de Albornoz, Don Francisco Jos</t>
  </si>
  <si>
    <t>Aguirre, Diego</t>
  </si>
  <si>
    <t>Diego Aguirre</t>
  </si>
  <si>
    <t>21 de febrero de 1806</t>
  </si>
  <si>
    <t>yor al Capitán del de Borbon D. Juan Espronce— da: Compañías á los Ayudantes, graduados de Capitán, D. Diego Aguirre y D. Manuel Samaniego: Ayudantías á los Tenientes D. Josef de Cárdenas y D. Lu is Rey: Tenencias á los Alféreces D. Cristóbal Perez, D. Lúeas de ~la Peña y D. Josef Alberch ¿empleos d</t>
  </si>
  <si>
    <t>Agustiit Amstutz</t>
  </si>
  <si>
    <t>13 de mayo de 1806</t>
  </si>
  <si>
    <t>granaderos D. Josef Kalbermaten y Di Ludovico Quartery: en el de Betschart Compañía de granaderos á D. Agustiit Amstutz; el empleo de Capitán primero á D. Julio Ghristen; el de Capir* tan segundo á D. Bonifacio: Koppenban ;&gt; Tenencia de granaderos á D. Vicente* Meyer; Tenencia de fusileros á D. Jos</t>
  </si>
  <si>
    <t>Aiexandro Fernández Sardón</t>
  </si>
  <si>
    <t>29 de abril de 1806</t>
  </si>
  <si>
    <t>: para la Ración que este dexa á D. JoseFBernardino de Orihuela; y para la Media que este obtenía á D. Aiexandro Fernandez Sardón, Cura Rector de ella. Para otra Canongía de la propia Iglesia á D. Nicolás Hore: para la Ración á Don Josef Romero Soriano; y para la Media que este dexa á D. Mariano Pacheco de P</t>
  </si>
  <si>
    <t>Áiitonio-Comas</t>
  </si>
  <si>
    <t>5 de diciembre de 1806</t>
  </si>
  <si>
    <t>errer para otro con cargo de Sochantre, vacante en la Colegiata de S. Feliu de Gerona por muerte de D. Áiitonio-Comas. , S. M. se ha servido conceder en los Regimientos de infantería de América y Princesa Tenencias á los Subtenientes D. Ignacio de Galli y D. Josef Ximenez Bagues, el primero de gr</t>
  </si>
  <si>
    <t>AÍvarez Alcalá, Pedro</t>
  </si>
  <si>
    <t>Pedro AÍvarez Alcalá</t>
  </si>
  <si>
    <t>3 de junio de 1806</t>
  </si>
  <si>
    <t>n de la propia villa, que se halla vacante por ascenso de D. Manuel López Gutiérrez al de S. Gil, á D. Pedro AÍvarez Alcalá. El Rey se ha servido conferir el empleo de Coronel del Regimiento de infantería de Hibernia al Teniente Coronel del mismo Cuerpo, graduado de Coronel, D. Lorenzo Flood: la Tenenc</t>
  </si>
  <si>
    <t>Akakia</t>
  </si>
  <si>
    <t>7 de enero de 1806</t>
  </si>
  <si>
    <t>peración nó sé fiá desgraciado por su culpa. -__Esta ley recuerda involúntariamenté la diatriba del Doctor Akakia, ysu cólera Contra Maupertuis^iiuelpre^endia obligarlos Médicos'á morir de hambre; ó á curar sus enfermos. Pero es preciso hacerse cargo que se trata aquí de un pafis péqueñd:adon</t>
  </si>
  <si>
    <t>Akerlio Rapsodia</t>
  </si>
  <si>
    <t>19 de diciembre de 1806</t>
  </si>
  <si>
    <t>dornado todo con episodios y digresiones de poliglota erudición, que valen mas que el texto, por el Dr. Akerlio Rapsodia, y dedicado á su peluquero D. Torbellino Polvareda. Se hallará en la librería de Escribano, calle de las Carretas, y en la de Montero, calle de la Concepción, á 4 rs. ; y puede ir</t>
  </si>
  <si>
    <t>Alaix, Antonio</t>
  </si>
  <si>
    <t>Antonio Alaix</t>
  </si>
  <si>
    <t>14 de enero de 1806</t>
  </si>
  <si>
    <t>r á Capitán de la Compañía de infantería veterana íixa de Popayan al Capitán D. Antonio Alaix, Teniente de la misma; á Teniente al Subteniente D. Juan Hernández, y esta resulta al Sargento primero D. Ildefonso Pareja. ,,E1 Capitán general de Cataluña ha dado cuenta en 4 de este mes,</t>
  </si>
  <si>
    <t>Alaminos, Juan</t>
  </si>
  <si>
    <t>Juan Alaminos</t>
  </si>
  <si>
    <t>lo. Él Rey se ha servido nombrar Conductores de Artillería á los Sargentos primeros D. Josef Sousa, D. Juan Alaminos y D. Josef Roxo. S. M. se ha servido conferir la Sargentía mayor del Regimiento de caballería de Borbon al Teniente Coronel D. Fernando Fernandez Salvador, Capitán del de Calatrava: e</t>
  </si>
  <si>
    <t>Alaría de Alexo, Francisco Xavier</t>
  </si>
  <si>
    <t>Francisco Xavier Alaría de Alexo</t>
  </si>
  <si>
    <t>8 de abril de 1806</t>
  </si>
  <si>
    <t>Benito Barbeyto; y á Subtenientes de bandera de los de Avila, Guadix, Lugo, Ciudad-Real y Murcia á D. Francisco Xavier Alaría de Alexo, D. Vicente Gómez de Mercado , D. Ramón María Pardo Montenegro, D. Félix Pérez de Guzman, y al Subteniente agregado D. Francisco Cabero. Teniendo presente el Rey que todos los pro</t>
  </si>
  <si>
    <t>Alberico</t>
  </si>
  <si>
    <t>11 de julio de 1806</t>
  </si>
  <si>
    <t>nceder Subtenencias de bandera en los Regimientos de infantería de Navarra é Hibernia á los Cadetes D. Alberico . Maupoey y D. Juan Antonio Pereyra. ' A D. Gerónimo Valladares, Teniente del Regimiento Provincial de Sevilla,ha conferido S. M. la Tenencia de granaderos del misiqo Cuerpo; á .</t>
  </si>
  <si>
    <t>Alberto, Príncipe</t>
  </si>
  <si>
    <t>Príncipe Alberto</t>
  </si>
  <si>
    <t>21 de noviembre de 1806</t>
  </si>
  <si>
    <t>del Regimiento Príncipe Juan: 15 Oficiales, 124 Sar?gentos, Cabos y Soldados, 117 caballos: id. del Príncipe Alberto: 1 4 Ofi"ciales, 134 Sargentos, Cabos y Soldados, 128 caballos, id*i del.Príncipe Clemente: 18 Oficiales, 173 Sargentos, Cabos y Soldados., ¿ 168 cabar* llos: id. coraceros de Koc</t>
  </si>
  <si>
    <t>Albuerne, Antonio</t>
  </si>
  <si>
    <t>Antonio Albuerne</t>
  </si>
  <si>
    <t>5 de septiembre de 1806</t>
  </si>
  <si>
    <t>naristas D. Ceferino Carrillo, D. Toribio Olalde, Don Pedro Sánchez Pavón, D. Juan Ortiz de Zárate, D. Antonio Albuerne, D. Pablo Unda, D. Josef Silvan, D. Pablo Ferrando, D.AIexandro Lagoa, D. Eugenio de Zuloaga, D. Josef Bassóco, D. Vicente Bas$óco,D. Matías de la Torre, D. Joaquín Ossés, D. Geró</t>
  </si>
  <si>
    <t>Albuerne, Manuel</t>
  </si>
  <si>
    <t>Manuel Albuerne</t>
  </si>
  <si>
    <t>sta obra, que en ^u desempeño se ha procurado el mayor esmero, consta dé 157 estampas, grabadas por D. Manuel Albuerne, I&gt;. Antonio Vázquez y D. Pedro Vicente Rodríguez. Se compone de g tomos, los quales en adelante no se darán sino por juegos, por cuya razón se venderán á 180 rs. cada uno; pero s</t>
  </si>
  <si>
    <t>Alcalá Galiano, Antonio</t>
  </si>
  <si>
    <t>Antonio Alcalá Galiano</t>
  </si>
  <si>
    <t>18 de marzo de 1806</t>
  </si>
  <si>
    <t>lcalde mas antiguo D. Josef Vallejo y Alcedo: parada de la Chancillería de Granada, por ascenso del D. Antonio Alcalá Galiano, al Alcalde de la misma Chancillería D. Antonio Guaxardo y Faxardo: para la de la Audiencia de la Coruña, por ascenso del D. Francisco Diaz Bermudo, á D. Francisco Martínez de Gal</t>
  </si>
  <si>
    <t>Alcalá Galiano, Dionisio</t>
  </si>
  <si>
    <t>Dionisio Alcalá Galiano</t>
  </si>
  <si>
    <t>n la Dirección de trabajos hidrográficos, conseqüente 4 los que hizo el difunto Brigadier de Marina D. Dionisio Alcalá Galiano, á quien, con aprobación de S M comisionó el Excmo. Sr. Generalísimo Príncipe de la Paz 4 explorar dichos ¿ares y costas en la fragata Soledad eh 1803. S* tacaran en el despacho d</t>
  </si>
  <si>
    <t>Alcalá, Juan Antonio</t>
  </si>
  <si>
    <t>Juan Antonio Alcalá</t>
  </si>
  <si>
    <t>28 de marzo de 1806</t>
  </si>
  <si>
    <t>aí Subteniente veterano ae las Compañías de Milicias de Chontales D. Josef Garric;y esta resulta á D. Juan Antonio Alcalá, Sargento primero veterano del referido Batallón de Olancho. 5 Desde el dia i.° de Abril hasta el último de Mayo próximos se renovarán en la Tesorería de la Real Caxa de Consolida</t>
  </si>
  <si>
    <t>Alcalde, Ángel</t>
  </si>
  <si>
    <t>Ángel Alcalde</t>
  </si>
  <si>
    <t>31 de octubre de 1806</t>
  </si>
  <si>
    <t>iedo, vacante por promoción de D. Francisco Escandon y Noriega á Canónigo de la Catedral de León, á D. Angel Alcalde; y para el Beneficio simple del Orden, vacante en 1¿ Parroquial de la villa de Benafarces, en la Diócesi de Zamora, por fallecimiento de D. Serafín Francisco Palomino, á D. Manuel</t>
  </si>
  <si>
    <t>Alcántara González, Francisco</t>
  </si>
  <si>
    <t>Francisco Alcántara González</t>
  </si>
  <si>
    <t>ara la Media-Ración , vacante en la Iglesia Catedral dé Badajoz por muerte de D. Francisco Marin, á D. Francisco Alcántara González: para el Beneficio de la villa de Moron, en el Arzobispado de Sevilla, vacante por fallecimiento del limo. Sr. D. Manuel Abad y la Sierra, Arzobispo de Selimbria, á D. Josef Pláci</t>
  </si>
  <si>
    <t>Alcaráz y Miguel Bayona, Rafael</t>
  </si>
  <si>
    <t>Rafael Alcaráz y Miguel Bayona</t>
  </si>
  <si>
    <t>25 de febrero de 1806</t>
  </si>
  <si>
    <t>z y D. Miguel Bayona: de Trigonometría plana, D. León Selva, D. Josef Marcell, D. Josef Chavalóyes, D. Rafael Alcaráz y Don Miguel Bayona: de.'Trigondmetpasesféríca^ D. León Selva, D. Josef MarceLÍy D. Josef Ghavalóyes,.D. Rafael Alcaráz y D. Miguel Bayona; y de Navegación, D. Arítonio Torró y D. Josef Puycherber :</t>
  </si>
  <si>
    <t>Alcaráz, Rafael</t>
  </si>
  <si>
    <t>Rafael Alcaráz</t>
  </si>
  <si>
    <t>guientes: de Aritmética,;D. Ramón Aragonés y D. Ignacio Alvares: de Geometría, D. Josef Chavaloyes, Don Rafael Alcaráz y D. Miguel Bayona: de Trigonometría plana, D. León Selva, D. Josef Marcell, D. Josef Chavalóyes, D. Rafael Alcaráz y Don Miguel Bayona: de.'Trigondmetpasesféríca^ D. León Selva, D. J</t>
  </si>
  <si>
    <t>Alcedo y Bustamante, Francisco</t>
  </si>
  <si>
    <t>Francisco Alcedo y Bustamante</t>
  </si>
  <si>
    <t>26 de diciembre de 1806</t>
  </si>
  <si>
    <t>tas, en Valladolid en la de la viuda é hijos de Santander, y en Salamanca en la de Reyes. Elogio de D. Francisco Alcedo y Bustamante, Caballero de la Orden de Santiago , Capitán de Navio de la Real Armada, y Mayor General del Departamento del Ferrol, muerto en el glorioso combate de Trafalgar. Se hallará en la</t>
  </si>
  <si>
    <t>Aldao, Francisco</t>
  </si>
  <si>
    <t>Francisco Aldao</t>
  </si>
  <si>
    <t>García; á Alférez de Carabineros al Alférez D. Alonso Dávila; y á Alféreces los Sargentos primeros D. Francisco Aldao, de Carabineros, y D. Juan Benito Piñeyro. También se ha dignado S. M. nombrar para la Regencia de la Audiencia de Quito, vacante por promoción del Sr. D. Francisco Ignacio Corton</t>
  </si>
  <si>
    <t>Aldini</t>
  </si>
  <si>
    <t>nistro de Relaciones exteriores del Reyno de Italia, ha sido nombrado Gran-Canciller de la Orden, y Mr. Aldini, Tesorero de la misma. Según escriben de los Estados Unidos, la Religión Católica hace progresos rápidos en aquel inmenso pais. „Los Religiosos Dominicos, escribía hace algún tiem</t>
  </si>
  <si>
    <t>Aldridge, Capitán</t>
  </si>
  <si>
    <t>Capitán Aldridge</t>
  </si>
  <si>
    <t>06. ESTADOS-UNIDOS DE AMERICA. JLa Providencia. 7 de Junio. La goleta nombrada the Morning Star, su Capitán Aldridge, zarpo el lo del pasado para Washington, y el 15 encontró entre los cabos de Virginia y de Hatteras un crucero Ingles, el qual drivó sobre ella inmediatamente; un Oficial pasó á b</t>
  </si>
  <si>
    <t>Alemania y de Austria</t>
  </si>
  <si>
    <t>25 de enero de 1806</t>
  </si>
  <si>
    <t>ndador del Orden militar de María Teresa, Gentilhombre de S. M. el Emperador de-Alemania y de Austria, Teniente General de sus Exércitos, y Coronel: de un Regimiento de infantería. iY M. el Emperador de ios Franceses , Rey da Italia, á Mr. Carlos; Mauricio Talleyráhd Perigord, Sumi-lderi de</t>
  </si>
  <si>
    <t>Alexandre</t>
  </si>
  <si>
    <t>22 de abril de 1806</t>
  </si>
  <si>
    <t>ETAÑA. „ Londres 24 de Marzo. El día 19 Mr. Lee apoyó en la Cámara de los Comunes ¡la propuesta, de Mr. Alexandre relativa al servicio militar de los voluntarios Irlandeses, y ademas manifestó el deseo de que las .milicias de Irlanda y de Inglaterra hiciesen recíprocamente el servicio en ámbo</t>
  </si>
  <si>
    <t>Alexandro, Príncipe</t>
  </si>
  <si>
    <t>Príncipe Alexandro</t>
  </si>
  <si>
    <t>iones. Fuérnuy precipitada su salida de nuestra ciudad. El dia 9 al anochecer recibió un correo del Príncipe Alexandro, quien le participaba su nuevo destino, y á la media noche iba ya caminando ; su Estado mayor salió el dia 10. En las cartas de Munich se dice que S. A. el Príncipe Alexandro esta</t>
  </si>
  <si>
    <t>Alexaniro Berthier, Mariscal</t>
  </si>
  <si>
    <t>Mariscal Alexaniro Berthier</t>
  </si>
  <si>
    <t>poleón. zzTor el Emperador, el Mayor General del exército grande Príncipe de Neufchatel y Vailengin Mariscal Alexaniro Berthier." DIARIO VIGESIMOSEGUNDO DEL EXERCITO GRANDE. Berlín d 29 de Octubre. ; Los acaecimientos se acumulan: el Gran Duque de Berg HegL el 27 á Hasleben con una división de dragones, ha</t>
  </si>
  <si>
    <t>Alfaro y Vázquez, Antonio</t>
  </si>
  <si>
    <t>Antonio Alfaro y Vázquez</t>
  </si>
  <si>
    <t>a por muerte de D. Pedro Carrascal, á D. Juan Clari, Medio-Racionero de ella; y para esta resulta á Don Antonio Alfaro y Vázquez: para el Beneficio servidero de la Parroquia de Pilas, Diócesi de Sevilla, vacante por fallecimiento de D. Cándido* María de Trigueros, á D. Rosario Petralla: para la Media-Ración</t>
  </si>
  <si>
    <t>Alférez de Reales Guardias Walorias</t>
  </si>
  <si>
    <t>17 de enero de 1806</t>
  </si>
  <si>
    <t>sica, dedicados á la Reyna nuestra Señora, por el Capitán Don Federico Moretti, Alférez de Reales Guardias Walorias, Académico Filarmónico de Bolonia, y de los Reales Conservatorios de música de Ñapóles. Esta obra está dividida en dos partes: la i.a contiene los elementos generales de la música, en los qu</t>
  </si>
  <si>
    <t>Alfonso de Ltgorio</t>
  </si>
  <si>
    <t>visitas al Santísimo Sacramento en la solemne oración de las Quarenta Horas v su autor el limo. Sr. D. Alfonso de Ltgorio, y traducido para el bien espiritual por la Madre Sor María de Córdoba y Pacheco, Religiosa Francisca: un tomo en 8.° de letra gorda. Se hallará en la librería y almacén de papel,</t>
  </si>
  <si>
    <t>Alfonso Duran</t>
  </si>
  <si>
    <t>a en el término de 30 dias contados desde el 31 de Mayo próximo pasado ante el referido Sr. Alcalde D. Alfonso Duran, por la escribanía de D. Juan Garrido. En virtud de providencia delSr.D. Joaquín María Sotelo, del Consejo de S. M., su Oidor en la Real Audiencia de Sevilla, Juez de lo Civil en</t>
  </si>
  <si>
    <t>n el lugar de Vallecas, en la calle de los Pajeros, tasada en 78,544 rs. 18 mrs., acuda ante el Sr. D. Alfonso Duran, del Consejo de S. M., Alcalde de su Real Casa y Corte, por la escribanía de Don Juan Garrido, en el término de 30 dias contados desde el 7 del presente. En virtud de providencia</t>
  </si>
  <si>
    <t>Alfonso Duran y Barazaba</t>
  </si>
  <si>
    <t>24 de junio de 1806</t>
  </si>
  <si>
    <t>_ . 543 ElSr. D. Alfonso Duran y Barazaba!, del Consejo de S. M., Alcalde de su Real Casa y Corte, y Juez de los autos de la masa de Lloret y Sobrino, ha señalado para el día 14 de Julio próximo, á las nueve horas de su m</t>
  </si>
  <si>
    <t>Alfonso Duran y Barazabal</t>
  </si>
  <si>
    <t>dentro la casa de los Reales Consejos. A voluntad de su dueño , y en virtud de providencia del Sr. D. Alfonso Duran y Barazabal, del Consejo de S. M., sü Alcalde de la Real Casa y Corte, se venden las fincas siguientes : una casa y pajar contiguo existentes en la población de la villa de Alcobendas, intitu</t>
  </si>
  <si>
    <t>igencia de que pasado dicho término Ies parará el perjuicio que haya lugar. Por providencia del Sr. D. Alfonso Duran y Barazabal, del Consejo de S. M., Alcalde de su Real Casa y Corte, v Juez de ia testamentaría de D. Domingo Moreno y Vicario, Agente que fué del número de Indias, está mandado citar y emplaz</t>
  </si>
  <si>
    <t>Alfonso Gallego y Pérez</t>
  </si>
  <si>
    <t>7 de febrero de 1806</t>
  </si>
  <si>
    <t>s D. Ramón González: el de Subteniente dé granaderos de los de Sigiienza y Ecija á los de fusileros D. Alfonso Gallego y Perez y D. Francisco Fernandez Valdivia; y el de Subteniente'de bandera del de Salamanca á D. Josef María Maldonado. ' Don Francisco Antonio de Pando, del comercio de esta Corte,dirigió en</t>
  </si>
  <si>
    <t>Alfonso Gómez</t>
  </si>
  <si>
    <t>dia-Prestamera de la villa de Tresjuncos en la de Cuenca, vacante por muerte de D. Miguel Aguado, á D. Alfonso Gómez. El Teniente General D. Ignacio María de Alava,Comandante de la esquadra de S. M. en el puerto de Cádiz, ha dado cuenta al Excmo. Sr. Generalísimo Príncipe de la Paz, que una frag</t>
  </si>
  <si>
    <t>Alfonso Marín</t>
  </si>
  <si>
    <t>3 de enero de 1806</t>
  </si>
  <si>
    <t>ia al Alférez D. Ferasado^Roinerp; y. en el de Santiago Ayudantía al Teniente, graduado de Capitán, D. Alfonso Marín. También se ha servido. S. M. promover a Alférez en el Regimiento de dragones de Lusitañía al Portaguión EK Juah fósef Casamayorj y á este empleo raL Cadete-D. Diego dé TotrisV ;¡</t>
  </si>
  <si>
    <t>Alfonso Villagomez, Miguel</t>
  </si>
  <si>
    <t>Miguel Alfonso Villagomez</t>
  </si>
  <si>
    <t>iguiente: ,,Para las cinco plazas que se hallan vacantes en mi Consejo Real, he venido en nombrar á D. Miguel Alfonso Villagomez, Ministro togado del de Ordenes en la de Carlos 111, á D. Vicente Duque de Estrada, Regente de la Audiencia de Sevilla, á D. Juan Antonio González Carrillo, Regente de la Chancill</t>
  </si>
  <si>
    <t>Alfonso, Francisco</t>
  </si>
  <si>
    <t>Francisco Alfonso</t>
  </si>
  <si>
    <t>18 de noviembre de 1806</t>
  </si>
  <si>
    <t>el de dragones de Matanzas al Subteniente D. Gabriel Santoyo: Subtenencia de Compañía al de bandera D. Francisco Alfonso; y esta resulta al Cadete D. Vicente del Junco. También se ha servido el Rey conceder la Tenencia de la Compañía Urbana de caballería de la villa de Santo Espíritu ai Subteniente</t>
  </si>
  <si>
    <t>Alguacil y Daura, Juan</t>
  </si>
  <si>
    <t>Juan Alguacil y Daura</t>
  </si>
  <si>
    <t>12 de septiembre de 1806</t>
  </si>
  <si>
    <t>la Canongía Penitenciaria de la Colegial de Guisona, Diócesi de Urgel, vacante por fallecimiento de D. Juan Alguacil y Daura: á D. Segismundo Pou para un Beneficio de: sangre de la Catedral de Vique, baxo la invocación de San Feliú, vacante por muerte de D. Félix Montaña: á D. Victoriano Poblador para u</t>
  </si>
  <si>
    <t>Alopeus</t>
  </si>
  <si>
    <t>6 de junio de 1806</t>
  </si>
  <si>
    <t>nglaterra en Berlín, Mr. de Brinckmann, Encargado de Negocios de Suecia, han salido ya de Berlín, y Mr. Alopeus, Ministro de Rusia cerca de S. M. Prusiana, ha recibido su licencia ilimitada. Todo esto nos hace rezelar que reyna la. mayor intimidad entre la Inglaterra, la Suecia y la Rusia.</t>
  </si>
  <si>
    <t>18 de julio de 1806</t>
  </si>
  <si>
    <t>ancia. El Conde Gustavo de Stuckelberg, que ántes fué Ministro en Holanda ,'reemplazará en Berlín á Mr. Alopeus; y el viage de Mr. Oubril á Francia tiene por objeto secreto él negociar una conciliación entre ámbas Cortes. : . " . í . . T La de Rusia tiene una correspondencia muy, activa con</t>
  </si>
  <si>
    <t>Alquier</t>
  </si>
  <si>
    <t>16 de mayo de 1806</t>
  </si>
  <si>
    <t>egtfra que el Cardenal Fesch vendrá pronto á Francia, y será reemplazado en su embaxada de Roma por Mr. Alquier. Se dice también que el General Beurnonviile vendrá á ocupar su plaza en el Senado, y que tendrá por sucesor en la embaxada de España á Mr. de Beauharnais,;actualmente en.Florenc;</t>
  </si>
  <si>
    <t>Alva</t>
  </si>
  <si>
    <t>9 de diciembre de 1806</t>
  </si>
  <si>
    <t>ado de D. Ignacio Blanco, ALcalde ordinario de la ciudad de ·Xcrez de la Frol1tera, y escribanía de D. Alva.ro Duque ,se l1an formado y estan siguiendo autos de inveH:ario á los bienes que qaedároD por fallecimiento ah' intestato de. D. ~1amue1 Martinez de S. Miguel. Quien tuviese, dere</t>
  </si>
  <si>
    <t>Alvarado, Alonso</t>
  </si>
  <si>
    <t>Alonso Alvarado</t>
  </si>
  <si>
    <t>grave ni leve, le ganaron el Caballero Seminarista mayor D. Francisco Barraycta: los gefes ae sala D. Alonso Alvarado, D. Manuel Fernandez, D. Sebastian Gorvea y D. Ramón de Zuloaga: los gefes de trozo D. Pedro Tavira, D. Manuel Ferrando, D. Josef de Castro, Cadete de Reales Guardias Walonas, Don</t>
  </si>
  <si>
    <t>esidad y del prometimiento de un Redentor. También ganaron este premio los Caballeros gefes de sala Don Alonso Alvarado y D. Manuel Fernandez, quienes manifestaron porque no envió Dios al Mesías inmediatamente después del pecado, y lo que debían hacer los hombres antes de su venida para poder salvarse:</t>
  </si>
  <si>
    <t>ta mayor D. Francisco Barrayena, Cadete . del Regimiento de infantería de Toledo: los Gefes de sala D. Alonso Alvarado, D. Sebastian Gorvea, D. Ramón de Zuloaga, D. Ramón Carrillo y D. Manuel Fernandez: los Gefes de trozo D. Pedro Tavira, D. Manuel Ferrando, D. Josef de Castro, Cadete de Reales Gu</t>
  </si>
  <si>
    <t>Álvarez Badillo, Francisco</t>
  </si>
  <si>
    <t>Francisco Álvarez Badillo</t>
  </si>
  <si>
    <t>ficio simple q Préstamo de iá Parroquia de $. Ildefonso de la ciudad de Jaén, vacante por muerte de D. Francisco Alvarez Badillo, á D. Mateo Payno: á D. Antonio Vilana para una Canongía de la Colegial de Guisona, Diócesi de Urgel: á D. Salvador Herms y Vernedas para el Beneficio jbaxo la invocación ¡de S. F</t>
  </si>
  <si>
    <t>Álvarez de Faria, Juan</t>
  </si>
  <si>
    <t>Juan Álvarez de Faria</t>
  </si>
  <si>
    <t>r el empleo de Coronel del Regimiento de caballería de Cazadores Voluntarios de España al Brigadier D. Juan Alvarez de Faria. Por ser dignos de la noticia del publico los siguientes hechos de Félix Odero, vecino de San Lucar de Barrameda, é individuo de su Matrícula de mar, ha resuelto la Superioridad q</t>
  </si>
  <si>
    <t>Álvarez de la Peña, Pedro</t>
  </si>
  <si>
    <t>Pedro Álvarez de la Peña</t>
  </si>
  <si>
    <t>23 de diciembre de 1806</t>
  </si>
  <si>
    <t>M. se ha servido nombrar para la Canongía de la Catedral de Mondoñedo, vacante por fallecimiento de D. Pedro Alvarez de la Peña, a Don Francisco Xavier Moreou, Capellán del primer batallón del Regimiento de Suizos de Courten: para otra Canongía, vacante en la Catedral de Valladolid por muerte de D. Manuel</t>
  </si>
  <si>
    <t>Álvarez Santalla, Martín</t>
  </si>
  <si>
    <t>Martín Álvarez Santalla</t>
  </si>
  <si>
    <t>do nombrar para la Dignidad de Maestrescuela de It Catedral de Toledo, vacante por fallecimiento de D. Martin Alvarez Santalla, á D. Juan Antonio Llórente,, con retención de la Canongía que obtiene de la misma Iglesia: para el Beneficio del lugar de Villar del Maestre , en la Diócesi de Cuenca, vacante po</t>
  </si>
  <si>
    <t>Álvarez y Neyra, Miguel</t>
  </si>
  <si>
    <t>Miguel Álvarez y Neyra</t>
  </si>
  <si>
    <t>viérón premios y certificaciones de su aplicación y aprovechamiento, y se entregó igual documento á D. Miguel Alvarez y Neyra, á Don Cleto Félix de Eguizabal y á D. Juan Merino Diez. D. Francisco Xavier Mocencos, vecino de la villa de Molina de Aragón, remitió por el correo en 6 de Mayo de este año, con</t>
  </si>
  <si>
    <t>Álvarez y Posadilia, Juan</t>
  </si>
  <si>
    <t>Juan Álvarez y Posadilia</t>
  </si>
  <si>
    <t>ca criminal por principios, que ha merecido tanto la aceptación pública, por el mismo autor el Lie. D. Juan Alvarez y Posadilia, del Consejo de S. M., y su Fiscal del Crimen en la Audiencia de Valencia. Obra útil y necesaria, no solo á ios Escribanos que tienen que actuar con Jueces legos y Alcaldes ordina</t>
  </si>
  <si>
    <t>Álvarez, Antonio Julián</t>
  </si>
  <si>
    <t>Antonio Julián Álvarez</t>
  </si>
  <si>
    <t>11 de abril de 1806</t>
  </si>
  <si>
    <t>á la dé México, á D. Josef Bernardo Astiguieta: para la plaza de Oidor de Caracas, que este dexa, á D. Antonio Julián Alvarez, Abogado de los Rea</t>
  </si>
  <si>
    <t>Álvarez, Lorenzo</t>
  </si>
  <si>
    <t>Lorenzo Álvarez</t>
  </si>
  <si>
    <t>a de la comisión que está á cargo de D. Fernando Camborda y Espinosa. Se desea saber el paradero de D. Lorenzo Alvarez, natural de Badajoz, que estuvo empleado en las obras de fortificación de Barcelona en el año de 1798, para darle una noticia en que tiene mucho interes; por lo que acudirá person</t>
  </si>
  <si>
    <t>Álvarez, Manuel</t>
  </si>
  <si>
    <t>Manuel Álvarez</t>
  </si>
  <si>
    <t>z, que también se ha colocado á continuación de las que hay en esta ciudad, han sido esculpidos por D. Manuel Alvarez, Académico de la de S. Fernando. Es difícil describir la alegría del inmenso gentío que acudió á tan brillante función, y el orden y el sosiego que reynó en todas las clases de la</t>
  </si>
  <si>
    <t>28 de octubre de 1806</t>
  </si>
  <si>
    <t>ente de fusileros al de bandera D. Nicolás Canalejo, y á Subteniente de bandera al Sargento primero D. Manuel Alvarez. Se ha señalado el dia 31 del presente, ¿ las doce de su mañana, en el juzgad* de provincia del Sr. Alcalde de la Real Casa y Corte D. Antonio Cano Manuel, para el remate de las l</t>
  </si>
  <si>
    <t>Alvaro Chacón</t>
  </si>
  <si>
    <t>entes Coroneles del propio Cuerpo á los Gefes de Brigada D. Rafael de Hoces, D. Vicente de Rey na y D. Alvaro Chacón, los dos primeros graduados de Tenientes Coroneles. Habiendo manifestado los Caballeros Cadetes del Real Cuerpo de Artillería en los últimos exámenes celebrados en el Colegio mili</t>
  </si>
  <si>
    <t>Alvaro de Medina</t>
  </si>
  <si>
    <t>reclamado los enunciados Caro y Escovar ,ccmo legatarios herederos y Htcjró$| del últiipo poseedor D. Alvaro de Medina; para que ocurran dichos acreedores al expresado Supremo Consejo y por su escribanía de Cámara 4 legitimar sus créditos en preciso termino, de dos meses, con prevención de que pas</t>
  </si>
  <si>
    <t>Alvaro González Vidal y Juana de la Peña</t>
  </si>
  <si>
    <t>rnillo, 4 500 rs. cada fanega, en 10,500 rs. en venta, y 720 en renta. Memoria de misas fundada por D. Alvaro González Vidal y Doña Juana de la Peña su muger. Una huerta en el sitio de la Ladera del torno de la fuente de la Higuera, su tierra, noria, alberca, tajaderas, piletas, cerca y demas que le corresponde, excluso el pla</t>
  </si>
  <si>
    <t>Alvaro Muñoz de Figueroa</t>
  </si>
  <si>
    <t>sacar á subasta, por término de 30 dias, las fincas correspondientes á cierta memoria, fundada por D. Alvaro Muñoz de Figueroa en el convento de Religiosas Mercenarias de Miguelturra, tasadas en 1 20,980 rs. Quien quisiere hacer postura á dichas fincas acuda á la escribanía de la comisión que está á cargo d</t>
  </si>
  <si>
    <t>Alyarez Santullano, Francisco</t>
  </si>
  <si>
    <t>Francisco Alyarez Santullano</t>
  </si>
  <si>
    <t>ando se trabajaba de arredondo, y sin perjuicio de la última semilla: 320 rs. á Francisco Alyarez Santullano, vecino de la Parroquia de S. Julián de los Prados, por haber semblado de 1.2 á 13 dias de nabos gallegos, y tener presos d¿ 1500 á 20) árboles frutales de varias especies : 200 rs. al mi</t>
  </si>
  <si>
    <t>Amalia de Rusia, Princesa</t>
  </si>
  <si>
    <t>Princesa Amalia de Rusia</t>
  </si>
  <si>
    <t>24 de enero de 1806</t>
  </si>
  <si>
    <t>rt: nuevo método de templar claves y fortes-pianos, por Kimberger, Maestro de Música de S. A. R. la Princesa Amalia de Rusia, traducido del francés al castellano: las grandes y celebradas variaciones para forte-piano, que dedicó Haydn á la Excma. Sra. de Mazarredo: 6 inglesas para bayle, para forte-pian</t>
  </si>
  <si>
    <t>Amalia, Princesa</t>
  </si>
  <si>
    <t>Princesa Amalia</t>
  </si>
  <si>
    <t>24 de octubre de 1806</t>
  </si>
  <si>
    <t>nes separadas. Ha llegado esta mañana á Faimouth una mala de las islas de Sotavento, en el paquebot Princesa Amalia, que ha hecho su travesía desde la isla de la Tórtola en 35 dias. Por la correspondencia que trae sabemos que la esquadra de Sir R. Srrachan ha salido de la Barbada, después de ha</t>
  </si>
  <si>
    <t>Amarca, Pedro</t>
  </si>
  <si>
    <t>Pedro Amarca</t>
  </si>
  <si>
    <t>y D. Juan Baptista Ebneter, el primero de granaderos; y á Subteniente de granaderos al de fusileros Don Pedro Amarca: en el Batallón de infantería de Canarias á Subteniente al Cadete D. Juan Arzave. El Rey se ha servido conceder Subtenencia de bandera en el Regimiento de infantería inmemorial de</t>
  </si>
  <si>
    <t>Amat, Francisco</t>
  </si>
  <si>
    <t>Francisco Amat</t>
  </si>
  <si>
    <t>onceder empleo de Portaestandarte al Cadete D. Miguel Mauduit: en el de Algarbe Tenencia al Alférez D. Francisco Amat; empleo de Alférez al Portaestandarte D. Narciso Carcer, y esta resulta á D. Josef Tinajero, Carabinero distinguido de los esquádrones ligeros de la Real brigada de Carabineros. .</t>
  </si>
  <si>
    <t>Ambrona, Felipe</t>
  </si>
  <si>
    <t>Felipe Ambrona</t>
  </si>
  <si>
    <t>uan María Barrios , Sargento mayor del de Sagunto; y en él de Húsares Españoles Tenencia al Alférez D. Felipe Ambrona. En los Regimientos de Milicias provinciales ha conferido S. M. el empleo de Coronel del de Segovia al Marques de Quintanar; el de Ayudante del de Ecija á D. Gaspar Gómez y Galvez</t>
  </si>
  <si>
    <t>Americano de la Dorotea, Capitán</t>
  </si>
  <si>
    <t>Capitán Americano de la Dorotea</t>
  </si>
  <si>
    <t>convoyada por navios Ingleses. Del 22 de Abril. En el café de Lloyd se ha fixado ayer un aviso del Capitán Americano de la Dorotea , que dice haber visto el 4 de Febrero, á los 15 grados, 22 minutos de latitud, y á los 13 grados, 25 minutos O. E. á 130 leguas al E. de Sta. Helena , una esquadra Francesa de 7</t>
  </si>
  <si>
    <t>Americano, Capitán</t>
  </si>
  <si>
    <t>Capitán Americano</t>
  </si>
  <si>
    <t>1 de julio de 1806</t>
  </si>
  <si>
    <t>la China á su regreso á Europa. No se duda de ningún modo de la verdad de esta noticia, por ser el Capitán Americano que la ha dado conocido por hombre digno de fe.” El Corregidor de Londres ha regalado ayer al Rey, con motivo de su cumpleaños, un esturión vivo, que pesaba ioo libras. HOLANDA. "</t>
  </si>
  <si>
    <t>Americanos</t>
  </si>
  <si>
    <t>e se exponen las quejas del Gobierno Francés sobre el tráfico y comercio de los ciudadanos Americanos en la isla Francesa de Santo Domingo. Dos de estas Notas se han pasado por S. E. Mr. deTalleyrand al General Armstrong, Ministro nuestro en París, y otras dos po</t>
  </si>
  <si>
    <t>gles dé satisfacción entera á las quejas que se le han hecho sobre forzar á los ciudadanos Americanos á servir en sus esquadras, y apresar y condenar ;los navios y cargamentos de dichos ciudadanos &amp;c., so color de que hacen con ios enemigos durante la guerra un</t>
  </si>
  <si>
    <t>Ametller, Blas</t>
  </si>
  <si>
    <t>Blas Ametller</t>
  </si>
  <si>
    <t>al Vision anegado en dulzura, y consolado*** Inventada y dibuxada por í). Cosme Acuña : grabada por D. Blas Ametller, Académicos de mérito de la de NS. Fernando, año dé 18od. Sé hallará en la portería*de S. Bernardo y én la Calcografía dé lá Imprenta Reál. Estampa nueva que representa en los col</t>
  </si>
  <si>
    <t>Amores, Francisco</t>
  </si>
  <si>
    <t>Francisco Amores</t>
  </si>
  <si>
    <t>ha conferido en los Regimientos Provinciales Compañía en el de Chinchilla al Teniente de granaderos D. Francisco Amores, y Tenencias en los de Truxillo, Málaga y Orense á los Subtenientes D. Francisco Valdiosa de la Cerda, D. Mariano de Cárdenas, D. Juan Roldan y Baena y D. Manuel de la Sierra. Ate</t>
  </si>
  <si>
    <t>Amorós, Francisco</t>
  </si>
  <si>
    <t>Francisco Amorós</t>
  </si>
  <si>
    <t>7 de noviembre de 1806</t>
  </si>
  <si>
    <t>trio para remover toda sospecha. Los.circunstantes manifestaron estar convencidos, y los Caballeros D. Francisco Amorós, Oficial de la Secretaría del Despacho de la Guerra, y D. Juan Quintano, de la de Hacienda, prepu iéron dos problemas complicados, que resolvió el niño con igual prontitud, y demo</t>
  </si>
  <si>
    <t>Anchuelo, Mateo</t>
  </si>
  <si>
    <t>Mateo Anchuelo</t>
  </si>
  <si>
    <t>11 de marzo de 1806</t>
  </si>
  <si>
    <t>á D. Vicente Ramírez y Espino: para la Ración, vacante en dicha Catedral de Toledo por promoción de D. Mateo Anchuelo á Canongía de la misma, á D. Josei González Calderón, con retención de la Dignidad de Capiscol que obtiene: para igual Prebenda en la propia Catedral, vacante por ascenso de D. Ra</t>
  </si>
  <si>
    <t>Anderico</t>
  </si>
  <si>
    <t>os y Ullauri, Dean dé aquella Iglesia, con una instrucción sobre qual de los dos Obispos déPalencia Don Anderico ó D. Tello fué el verdadero tio .carnal de S. Pedro González Telmo: un tomo en 4.0 Se hallará en la librería de Ranz, calle de la Cruz, á 8 rs. en rústica, 9 en pergamino y 12 en</t>
  </si>
  <si>
    <t>Anderson</t>
  </si>
  <si>
    <t>30 de septiembre de 1806</t>
  </si>
  <si>
    <t>Africano y yo. Desde mi salida de Gorea hasta ahora no he experimentado la mas ligera incomodidad. Mr. Anderson, mi hermano, mi amigo,-y ei compañero de mis viages, ha muerto de disenteria el 28 de Octubre, y dos meses después Mr. Scott, de resultas de una fuerte calentura. Quedo &amp;c. Mango-</t>
  </si>
  <si>
    <t>Andeyr, Pablo</t>
  </si>
  <si>
    <t>Pablo Andeyr</t>
  </si>
  <si>
    <t>del Príncipe ; Tenencias á los Subtenientes de granaderos D, Antonio Ruiz, graduado de Teniente , y D. Pablo Andeyr©; y Subtenencias de bandera á ios Cadetes D. Josef Madera y D. Juan Muñoz, este del de Saboya, También ha conferido S, M, el empleo de Capitán primero en el segundo Batallón de Vo</t>
  </si>
  <si>
    <t>Andeyro, Antonio</t>
  </si>
  <si>
    <t>Antonio Andeyro</t>
  </si>
  <si>
    <t>Antonio Ortiz de Zárate , Alcalde mas antiguo de la Sala del Crimen dé ella; y para esta resulta á D. Antonio Andeyro, Alcalde mayor de la villa del Bonillo.” El Rey ha conferido empleo de Alférez en losEsqnzdrones de línea de la Brigada de Carabineros Reales á D. Francisco Céspedes, Alférez del</t>
  </si>
  <si>
    <t>Andrade, Nicolás Alonso</t>
  </si>
  <si>
    <t>Nicolás Alonso Andrade</t>
  </si>
  <si>
    <t>otra Canongía de la Iglesia de Puerto Rico, vacante por fallecimiento de D. Feliciano Rodríguez, á D. Nicolás Alonso Andrade; y para la Ración que este dexa á D. Tiburcio González Esmurra, Cura de Coamo en la misma Diócesi. El Rey r&gt;e ha dignado conceder la Sargentía mayor de la plaza de Panamá á D. Ram</t>
  </si>
  <si>
    <t>Andreosi, General</t>
  </si>
  <si>
    <t>General Andreosi</t>
  </si>
  <si>
    <t>z de todas las partes que le constituyen han sido muy satisfactorias, y te harán otras de nuévo. El General Andreosi, que habia ido 4 Viena con una comisión política, ha vuelto á París. El Ministro de lo Interior ha recordado á los Prefectos la observancia de la orden que establece los nuevos pe</t>
  </si>
  <si>
    <t>Andreossi, General</t>
  </si>
  <si>
    <t>General Andreossi</t>
  </si>
  <si>
    <t>Sueca ha mandado poner embargo á todas, las embarcaciones Prusianas., AUSTRIA. Yiena 2 de Mayo.. El General Andreossi está aquí ya de vuelta del viage que ha hecho á Hungría el dia 6 del corriente saldrá para París.__ Mr. Reinhard , nombrado. Cónsul general y Encargado de Negocios en la Turquía Eur</t>
  </si>
  <si>
    <t>la Rochefoucault, Embaxador de Francia, ha tenido audiencia de despedida; y el nuevo Embaxador, el General Andreossi, ha presentado sus credenciales. Mr. Durand, Secretario del Príncipe de Benevento, Ministro de Negocios extrangeros de Francia, que ha venido á esta Corte con una comisión, se man</t>
  </si>
  <si>
    <t>Andreossy, General</t>
  </si>
  <si>
    <t>General Andreossy</t>
  </si>
  <si>
    <t>rá un víage, según se dice, á Berlín__ _A1 día inmediato de la -venida del General Berthier tuvo el General Andreossy una conferencia con el Conde de Stadion, Ministro de Negocios extrangetos. Las conjeturas que han esparcido los políticos de esta Capital ^con motivo .de dicha ‘Conferencia, son m</t>
  </si>
  <si>
    <t>a, le falta mucho todavía en la rapidez de los movimientos para igualarse con la de Francia. Mr. el General Andreossy se halla ahora en Hungría cuidando de la provisión para las tropas Francesas que hay. en Dalmacia.—El Conde de Stahremberg, nuestro Embaxador en Londres, ha pedido licencia para 6</t>
  </si>
  <si>
    <t>a noticia de oficio de ía próxima salida de todas las tropas Francesa^ que jiajqen Alemania. Mr. el General Andreossy está encargado de entregar la plaza de Braunau á las tropas Austríacas. Acaba de mandarse que se supriman del tododoS'pífanos en la infantería Austríaca!. Los Gefes de lqs-Regimient</t>
  </si>
  <si>
    <t>Andreosy, General</t>
  </si>
  <si>
    <t>General Andreosy</t>
  </si>
  <si>
    <t>4 de febrero de 1806</t>
  </si>
  <si>
    <t>edar á su disposición. 111. Quariao esten formados los estados, el General Conde de Kollovrath y el General Andreosy se hallan autorizados para convenirse en el cambio de dichos objetos de artillería Austriaca perteneciente en los Estados de Venecia á S. M. el Emperador de Alemania, pieza por pi</t>
  </si>
  <si>
    <t>Añer de Estevez, Juan</t>
  </si>
  <si>
    <t>Juan Añer de Estevez</t>
  </si>
  <si>
    <t>9 de septiembre de 1806</t>
  </si>
  <si>
    <t>brar para el Préstamo de la Parroquia de Masueco, en la Diócesi de Salamanca, vacante por muerte de D. Juan Añer de Estevez, á D. Guillermo Aragoneses Barba; y para el Curato rural de Valtodano, jurisdicción del lugar de Langa, en la de Avila, vacante por ascenso de D, Pedro Estala á Canongía ae la Cat</t>
  </si>
  <si>
    <t>Anér, Felipe</t>
  </si>
  <si>
    <t>Felipe Anér</t>
  </si>
  <si>
    <t>26 de agosto de 1806</t>
  </si>
  <si>
    <t>as, esto es, los árboles, trató por via de apéndice de sus enfermedades mas comunes y sus remedios: D. Felipe Anér, Doctoren Derecho Canónico, sobre los abonos de las tierras, descendiendo á todas sus diferencias, y haciendo una aplicación metódica de los diferentes engrases á las diversas cir</t>
  </si>
  <si>
    <t>AngelBará</t>
  </si>
  <si>
    <t>tud : describiendo por último tós procedimientos de su cultura en las viñas arábales y no.arabales: D. AngelBará, Presbítero, sobre las huertas, probando.gue para.establecerlas es bueno qualquiera terreno, como haya agua abundante, $mes.se ^pueden corregir ó enmendar hasta los defectos del c</t>
  </si>
  <si>
    <t>Angul, Miguel</t>
  </si>
  <si>
    <t>Miguel Angul</t>
  </si>
  <si>
    <t>ñeros en la Parroquia de S. Juan de Morales de Toro, en la Diócesi de Zamora, vacante por muerte de D. Miguel Angul. ; y para el Arciprestazgo de la villa de Herrera del Rio Pisuerga, en el Obispado de Palencia, vacante por fallecimiento de D. Manuel Fernandez, á D. Saturnino de Sta. María, Ofi</t>
  </si>
  <si>
    <t>Angulo, Félix</t>
  </si>
  <si>
    <t>Félix Angulo</t>
  </si>
  <si>
    <t>Mencionado en un suplemento de la Gazeta.</t>
  </si>
  <si>
    <t>Suplementos</t>
  </si>
  <si>
    <t>onteros de Guarda y Cámara de S. M. Don Josef Solana, D. Ignacio García de Diego, D. César Madrazo, D. Félix Angulo, D. Angel Merino, D. Pedro Gómez, D. Manuel de la Maza y Don Agustín Manuel de Borricón : de ios^ Caballerizos de Campo D. Fernando María de la Cueva, D. Josef de la Alcázar, D. J</t>
  </si>
  <si>
    <t>Anrich y Gómez, Fulgencio</t>
  </si>
  <si>
    <t>Fulgencio Anrich y Gómez</t>
  </si>
  <si>
    <t>íguez López Guerrero, D. Juan Moro de Flores y Mendez, D. Josef Villavicencio y Rodríguez de Arias, D. Fulgencio Anrich y Gómez,D. Francisco Sirera y Sánchez, D. Josef Ranero y Santelices, D. Lorenzo Villegas y Coronel, D. Juan del Rio y Noguerido, D. Josef Carreño y Ramírez, D. Juan VanHalen y Sarti, D. J</t>
  </si>
  <si>
    <t>Ansias, Antonio</t>
  </si>
  <si>
    <t>Antonio Ansias</t>
  </si>
  <si>
    <t>17 de octubre de 1806</t>
  </si>
  <si>
    <t>fixa del Castillo de Omoa al Subteniente veterano de las compañías de Milicias de S. Pedro de Usula D. Antonio Ansias j esta resulta al Sargento primero</t>
  </si>
  <si>
    <t>Antd</t>
  </si>
  <si>
    <t>Barco, carrera de S.: (Jerónimo. El Combate naval del 21 de Octubre^, silva dedicada al Excmo. Sr. D. Antd-¡ nio Escaño, Teniente General de lá Real Armada, por D. Josef Mor de Fuentes: g.a edición, corregida y muy aumentada. Se*hallará en la librería de Ramos, carrera de S. Gerónimo, e</t>
  </si>
  <si>
    <t>Antelo y Mella, Luis</t>
  </si>
  <si>
    <t>Luis Antelo y Mella</t>
  </si>
  <si>
    <t>la Parroquia de Sotulvo , vacante en la Diócesi de Avila por muerte de D. Pedro Hernando Caraves, á D. Luis Antelo y Mella: para el Beneficio servidero de la ciudad de Chinchilla, en la de Cartagena, vacante per promoción de D. Manuel Gispert á Canongía de aquella Catedral, á D. Vicente de Torres y Es</t>
  </si>
  <si>
    <t>Ánto'nio López de Saíazar</t>
  </si>
  <si>
    <t>,-.en .6.9^49^ rs, Quien .quisiere .h^cer postura á, cualquiera, de ellas áchda a la escribauía de D. Ánto'nio López de Saíazar. F lorilegium Parochorum ; Theologico-Cariorifcürn , in quo pfura ad praxfm condu cenlia ebK-¿.i*r,?ur, opera'et studio'Damiani Sumulla, Presbyteri, ex-Vicarii</t>
  </si>
  <si>
    <t>Antódío' Qüirirds</t>
  </si>
  <si>
    <t>inadas de la misma plaza; y Id qtjé esté.ddká ¿1 de igual clase del batallón de Pardos de Gartageñá D. Antódío' Qüirirds*; Ííafefétídóéé también dignado ei Rey conceder Aj^dántíáyyéféfiñas. en éi ;CüqrbB d¿ cazadores de MiHcías de infantétía;de portbbéÍd.,J y.enTai Ásjámfeíea déj Régioiientb de Mili</t>
  </si>
  <si>
    <t>Antonia de Borbon, María</t>
  </si>
  <si>
    <t>María Antonia de Borbon</t>
  </si>
  <si>
    <t>esencia de las mismas personas, si reconocía S. E. aquel Real cadáver de la.Princesa nuestra Señora Doña María Antonia de Borbon; y verificado el reconocimiento le hizo entrega formal de él; y puesto S. E. delante del Real cadáver se le conduxo á la cama deparada, que de damasco carmesí con galones de oro e</t>
  </si>
  <si>
    <t>Antonia de Medina</t>
  </si>
  <si>
    <t>l de 7 de Agosto de 1787 se declaró corresponder 4 Don Antonio Cistup, ^representación de su rouge* Doña Antonia de Medina, actual poseedora del vinculo fundado por D, Juan de Medina sobre el expresado crédito: cuyos oan reclamado los enunciados Caro y Escovar ,ccmo legatarios herederos y Htcjró$| del</t>
  </si>
  <si>
    <t>Antonia García de la Hoz</t>
  </si>
  <si>
    <t>edad, natural del valle de Soba, montañas de Santander, hijo de D. Francisco Sainz de Trápaga, y de Dona Antonia García de la Hoz, que hallándose en esta Corte se ha desaparecido el día 4 de Julio , avisará en esta Corte en casa de D. Marcelo de San Reman, del comercio de esta Corte, en la plaza Mayor. Breve</t>
  </si>
  <si>
    <t>Antonia Ventura Camino</t>
  </si>
  <si>
    <t>28 de enero de 1806</t>
  </si>
  <si>
    <t>sta Corte el Capitán de Navio de la Real Armada D. Miguel Zapiain, dexando por herederos á su viuda Doña Antonia Ventura Camino y á su hijo D. Miguel; y conviniéndole á dicha su viuda que no se cobren ni paguen recibos que correspondan á la testamentaría de su difunto marido sin su anuencia,lo avisa al públi</t>
  </si>
  <si>
    <t>Antonia, María</t>
  </si>
  <si>
    <t>María Antonia</t>
  </si>
  <si>
    <t>tó el Excmo. Señor Duque á los Monteros de Cámara y Guarda si era aquel el cadáver de la Serenísima Doña María Antonia, Princesa de Asturias nuestra Señora, que se les había entregado en Aranjuez; y habiendo respondido que sí, les recibió juramento en público, y lo hiciéron á Dios y á la señal de</t>
  </si>
  <si>
    <t>Antonino Diez y Tovar, Rafael</t>
  </si>
  <si>
    <t>Rafael Antonino Diez y Tovar</t>
  </si>
  <si>
    <t>en Sevilla, 860; y á D. Josef López, en Granada, 320. Las personas interesadas acudirán en Madrid á D. Rafael Antonino Diez y Tovar, Agente de negocios, que vive en la calle de Cantaranas, núm. 6, quien dará las noticias oportunas para su reintegro. Reflexiones sobre las calenturas remitentes é intermitentes,</t>
  </si>
  <si>
    <t>Antonino Sentmanat de Cartellá</t>
  </si>
  <si>
    <t>15 de julio de 1806</t>
  </si>
  <si>
    <t>l día 7 de Abril falleció en el Real Sitio de Aranjuezj á los 72 años de edad, el Emo. y Excmo. Sr. D. Antonino Sentmanat de Cartellá, Cardenal de la Sta. Romana Iglesia, Patriarca de las Indias, Capellán y Limosnero mayor de S. M., su Consejero de Estado, y Vicario general de los Reales Exércitos. En los 9 años</t>
  </si>
  <si>
    <t>Antonio Esteban</t>
  </si>
  <si>
    <t>scolástico Quiñones; á esta resulta al Teniente D. Bernardino de la Seda; á Tenientes los Alféreces D. Antonio Esteban, de Carabineros y D. Pedro Mártir * García; á Alférez de Carabineros al Alférez D. Alonso Dávila; y á Alféreces los Sargentos primeros D. Francisco Aldao, de Carabineros, y D. Jua</t>
  </si>
  <si>
    <t>Antonio, Archiduque</t>
  </si>
  <si>
    <t>Archiduque Antonio</t>
  </si>
  <si>
    <t>ín el General Austríaco Mr. de Sutterheim y el Conde de Harrach; este ultimo ha ido con pliegos del Archiduque Antonio, Gran Maestre de la Orden Teutónica. Escriben de Viena que se ha despachado á Londres un correo extraordinario con pliegos, cuyo contenido se dirige á instar al Ministerio Ingles</t>
  </si>
  <si>
    <t>Antonio-Díaz Nortegai Habiéndose, Juan</t>
  </si>
  <si>
    <t>Juan Antonio-Díaz Nortegai Habiéndose</t>
  </si>
  <si>
    <t>tasada en 67,;i 42 rs. Quien quisiere Hacer postura acuda-ante dicho Señor , per i#-, escribanía de D. Juan Antonio-Diaz Nortegai Habiéndose empezado ya ía impresión dd^Álmanak Mercaní-tj del año próxt-. lato, y desbando el editor la mayor exactitijdtposible emobraá'dd esta clase, espera que el público le avise- benignam</t>
  </si>
  <si>
    <t>Ántoniq</t>
  </si>
  <si>
    <t>22 de agosto de 1806</t>
  </si>
  <si>
    <t>Luis Potestá ,, D. Nicasio* Zamora, D. Lorenzo Ruiz Mateos, D. Santiago Mordelía, D. Jfosef-Cálvi, D. Ántoniq "EHzaldé, D. Benigno Risueño, D. Baltasar B,alagqervljL josef FernandezsRanes, D, Diego Mosquera, D. Ezequiel £ai?e&gt;y;¿p.Antótuo RolapdÁ*:Vt o V T ^ *&gt; ¡ Madrid 2% de Agosto. . S.</t>
  </si>
  <si>
    <t>Antrobus</t>
  </si>
  <si>
    <t>Roberto Troiter, hermano de Mr. Alexandro Trotter: duró su examen diez minutos. El segundo ha sido Mr. Antrobus , uno dé los asociados de la casa de Couts y compañía.</t>
  </si>
  <si>
    <t>Aparicio Corbalan</t>
  </si>
  <si>
    <t>tangos y Santiago á los Subtenientes D. Aparicio Corbalan, D. Diego Rubio y D. Andrés de Castro, y al Teniente D. Pedro Verea Aguiar y Mosquera; de Subteniente de granaderos en el de Ciudad-Rodrigo al de fusileros D. Fermín Ramírez Pizar</t>
  </si>
  <si>
    <t>Arago</t>
  </si>
  <si>
    <t>9 de mayo de 1806</t>
  </si>
  <si>
    <t>ente sobre Jas fuerzas refringentes de los diferentes gases. Esta Memoria, compuestá en compañía de Mr. Arago, Secretario del Observatorio, encierra gran número de hechos nuevos___Desde luego da las fuerzas refractivas de los gases observados en el círculo repetidor con una'exactitud: igu</t>
  </si>
  <si>
    <t>Aragón, Fernando</t>
  </si>
  <si>
    <t>Fernando Aragón</t>
  </si>
  <si>
    <t>Diego de Mesa , y á los Tenientes D. Andrés Mexia y D. Tadeo González; á Tenientes á los Alféreces D. Fernando Aragón, D. Adrián Caballero, D. Francisco Verdejo, D. Josef Valderrago, D. Pedro Mercado, y á los Portaguiones D. Santiago Borda y D. Bernardo Arroyo ; á Alférez al Sargento primero D. C</t>
  </si>
  <si>
    <t>Aragonés, Ramón</t>
  </si>
  <si>
    <t>Ramón Aragonés</t>
  </si>
  <si>
    <t>icante á expensas -del Consulado , celebraron sus exámenes en las clases siguientes: de Aritmética,;D. Ramón Aragonés y D. Ignacio Alvares: de Geometría, D. Josef Chavaloyes, Don Rafael Alcaráz y D. Miguel Bayona: de Trigonometría plana, D. León Selva, D. Josef Marcell, D. Josef Chavalóyes, D. Rafael</t>
  </si>
  <si>
    <t>Aranda y Marques de Benavent, Antonio</t>
  </si>
  <si>
    <t>Antonio Aranda y Marques de Benavent</t>
  </si>
  <si>
    <t>entos á sus Consiliarios Excmos. Sresr D. Patricio Martínez de Bustos y D. Antonio Luis Real, Sres. D. Antonio Aranda y Marques de Benavent, para disponer y presidir los exámenes de los Practicantes de éstas Reales casas, que han asistido á dicho curso; cuyos exercicios se efectuaron desde el dia 16 de Junio último ha</t>
  </si>
  <si>
    <t>Aranda, Rafael</t>
  </si>
  <si>
    <t>Rafael Aranda</t>
  </si>
  <si>
    <t>as de bandera en los de Córdoba y Mallorca al Sargento primero Don Cárlos de la Muedra, y al Cadete D. Rafael Aranda. En el Regimiento de caballería de la Reyna se ha servido S.M. conferir el empleo de Sargento mayor á D. Josef Taberner, Capitán del mismo cuerpo: en el de Algarbe empleo de Porta</t>
  </si>
  <si>
    <t>Arango y Sierra, Alonso</t>
  </si>
  <si>
    <t>Alonso Arango y Sierra</t>
  </si>
  <si>
    <t>, de la que á precio corriente 6 en cambio les surtirá para la sementera á los que carezcan de ella D. Alonso Arango y Sierra, vecino de Aviles, y este mismo caballero les instruirá de las ventajas que trae la siembra de dLho maiz quarenteno: 1500 rs. con patente de Socio de mérito al que manifieste en u</t>
  </si>
  <si>
    <t>Arango, Antonio</t>
  </si>
  <si>
    <t>Antonio Arango</t>
  </si>
  <si>
    <t>tano de Sastre, y á Subtenientes de bandera al Sargento primero D. Nicolás Naranjo, y á los Cadetes D. Antonio Arango, D. Miguel Ferrery Don Rafael Granda. En el Regimiento de infantería de Cuba á Capitán al Teniente de granaderos D. Gil Josef Pacot; á Teniente de granaderos al de fusileros D. Jo</t>
  </si>
  <si>
    <t>Aranguren, Francisco</t>
  </si>
  <si>
    <t>Francisco Aranguren</t>
  </si>
  <si>
    <t>dete D. Pedro Truxillo: Compañía en el batallen fixo de Goatemala al Capitán D. Francisco Aranguren, Teniente del Regimiento de infantería de Ordenes Militares. En el Regimiento de Milicias disciplinadas de caballería de Montevideo se ha servido el Rey promover á Comandante de esquadron a</t>
  </si>
  <si>
    <t>Arauco, Basilio</t>
  </si>
  <si>
    <t>Basilio Arauco</t>
  </si>
  <si>
    <t>en el Rey no del Perú, se ha dignado S. M. promover á Co «andante de Esquadron y á Sargento mayor á D. Basilio Arauco y D. Antonio Marro, Capitanes del mismo cuerpo: á Teniente en el de disciplinadas de infantería</t>
  </si>
  <si>
    <t>Araujo y Luis Magid, Manuel</t>
  </si>
  <si>
    <t>Manuel Araujo y Luis Magid</t>
  </si>
  <si>
    <t>ntos Provinciales ha conferido el Rey Compañías de fusileros en los de Tuy y Orense á los Tenientes D. Manuel Araujo y Don Luis Magid: Tenencia de granaderos, eñ el de Burgos al Teniente de fusileros D. Josef María de Homar *. Tenencia de fusileros en el de Ecija al Subteniente de granaderos D. Miguel Ruiz Jurad</t>
  </si>
  <si>
    <t>Arbmhnot, Lord</t>
  </si>
  <si>
    <t>Lord Arbmhnot</t>
  </si>
  <si>
    <t>erra ha nombrado para Cónsul general en el Levante, á Mr. Morier, Agente de la Compañía Inglesa. El Lord Arbmhnot, Ministro, de Inglaterra, ha declarado al Reis-Effendi que. si no se efectúa la renovación de los tratados entre su Corte y la. Puerta Otomana, se verá el Gabinete Ingles en la de</t>
  </si>
  <si>
    <t>Arbuthnot</t>
  </si>
  <si>
    <t>Gabinete Ruso. A breve rato tuvo el Embaxador de Rusia una larga conferencia con el Reiss-Eífendi. Mr. Arbuthnot, Ministro de Inglaterra , ha hecho nuevas propuestas á la Puerta relativas á la renovación de ciertos convenios. Los Ministros Otomanos han dado una respuesta negativa, declarando</t>
  </si>
  <si>
    <t>Arce, Francisco</t>
  </si>
  <si>
    <t>Francisco Arce</t>
  </si>
  <si>
    <t>hf'al Teniente dé granaderos DI Francisco Gerónimo García; á Teniente de granaderos al de fusileros D. Francisco Arce j á Teniente al Sjulpténiénté de granaderos j&gt;. Francisco Cabrera; á Subteniente de granaderosfkl de fusileros t)i Mariano Mír, y á, Subteniente dé Compañía al agregado, P* .Rafae</t>
  </si>
  <si>
    <t>Archi Canciller del Imperio, Príncipe</t>
  </si>
  <si>
    <t>Príncipe Archi Canciller del Imperio</t>
  </si>
  <si>
    <t>20 de junio de 1806</t>
  </si>
  <si>
    <t>po que en el palacio de las Tullerías se celebraba el reconocimiento solemne del Rey de Holanda, el Príncipe Archi Canciller del Imperio se presento en el Senado para* comunicarle en nombre del Emperador las diversas disposiciones que había tomado S. M. Desde lüego dio cuenta del nombramiento de Rey de Holanda *, d</t>
  </si>
  <si>
    <t>Archi- Canciller del Imperio, Príncipe</t>
  </si>
  <si>
    <t>Príncipe Archi- Canciller del Imperio</t>
  </si>
  <si>
    <t>yó el contrato matrimonial, que firmaron SS. MM., los Príncipes, las Princesas y los testigos.»__El Príncipe Archi- Canciller del Imperio, exerciendo sus funciones atribuidas por los estatutos de la casa Imperial, procedió al aOto civil del matrimonio, y desempeñó las formalidades prescritas por el Código civil...El</t>
  </si>
  <si>
    <t>Archi-Canciller del Imperio Germánico, Príncipe</t>
  </si>
  <si>
    <t>Príncipe Archi-Canciller del Imperio Germánico</t>
  </si>
  <si>
    <t>ento del Emperador Napoleón á que admita el Cardenal Fesch la elección hecha por S. A. Electoral el Príncipe Archi-Canciller del Imperio Germánico, designándole por su coadjutor y sucesor; del nombramiento de Príncipe dé Benevento á Mr. de Talleyrand, y de Príncipe de Ponte-Corvo al Mariscal Bernadotte.---- El Archi-Cancille</t>
  </si>
  <si>
    <t>Árchi-Canciller del Imperio, Príncipe</t>
  </si>
  <si>
    <t>Príncipe Árchi-Canciller del Imperio</t>
  </si>
  <si>
    <t>14 de Enero. •' En vista de las órdenes de S. M. I. y R. ha ido hoy á las 2 de la tardé S. A. S. el Príncipe Árchi-Canciller del Imperio á la junta del Senado, en donde fué S. A. recibido con las formalidades acostumbradas. Habiendo tomado asiento dixo: Señores: Si el Príncipe Gran-Elector estuviese todavía entre n</t>
  </si>
  <si>
    <t>Archi-Canciller del Imperio, Príncipe</t>
  </si>
  <si>
    <t>Príncipe Archi-Canciller del Imperio</t>
  </si>
  <si>
    <t>car el premio de los seguros. (Monitor.) El 12 del corriente llegáron á Turin, viniendo á París, el Príncipe Archi-Canciller del Imperio y el Cardenal MaurL</t>
  </si>
  <si>
    <t>4 de noviembre de 1806</t>
  </si>
  <si>
    <t>la noche. Al cabo de una hora llegó otro correo con dos pliegos del Príncipe de Neufchatel para el Príncipe Archi-Canciller del Imperio. Estos pliego? traen la noticia de que el 14 S. M. I. y R. ganó una victoria completa sobre los Prusianos en las cercanías de Weymar. Se publicarán en breve las particularidades d</t>
  </si>
  <si>
    <t>Archi-Tesorero del Imperio, Príncipe</t>
  </si>
  <si>
    <t>Príncipe Archi-Tesorero del Imperio</t>
  </si>
  <si>
    <t>dor de la Puerta para residir cerca de S. M. ei Emperador y Rey.__ También se hallan ya en París pl Príncipe Archi-Tesorero del Imperio y el Cardenal Maury. El Emperador ha dirigido al Senado un mensage, el 19 de este mes, comunicándole que había nombrado á plazas de él á Mr. Demont, General de división , que fué heri</t>
  </si>
  <si>
    <t>Archi-Tesorero Lebrun, Príncipe</t>
  </si>
  <si>
    <t>Príncipe Archi-Tesorero Lebrun</t>
  </si>
  <si>
    <t>teriores, y no se duda que la suerte de la Holanda se íixará bien pronto. Escriben de Génova que el Príncipe Archi-Tesorero Lebrun debía salir de aquella ciudad el 5 del corriente para venir á París. ElEmperador se ha servido nombrar para Embaxador suyo,- cerca de la Sublime Puerta, al General de división Sebast</t>
  </si>
  <si>
    <t>ÁrchiCanciller del Imperio, Príncipe</t>
  </si>
  <si>
    <t>Príncipe ÁrchiCanciller del Imperio</t>
  </si>
  <si>
    <t>del servicio lo exija; París 14 de Octubre. • •' &gt; En cumplimiento de las órdenes del Emperador, el Príncipe ÁrchiCanciller del Imperio pasó hoy al Senado, y después de una corta arenga, presentó la carta siguiente del Emperador al Senado. Senadores. ,, Luego que tuvimos noticias ciertas de que- nuestro .exército</t>
  </si>
  <si>
    <t>ArchiTeserero, Príncipe</t>
  </si>
  <si>
    <t>Príncipe ArchiTeserero</t>
  </si>
  <si>
    <t>amiento de Grandes Oficiales de la misma. Legión. Escriben de Génova el 31 de Enero que S. A. S. el Príncipe ArchiTeserero estaba disponiéndose para venir á París. El Monitor Liguriano anuncia que á fines de Enero pasó por Florencia el Mariscal Berthier, Ministro de la Guerra, con dirección á Roma. En l</t>
  </si>
  <si>
    <t>Arcos, Manuel</t>
  </si>
  <si>
    <t>Manuel Arcos</t>
  </si>
  <si>
    <t>14 de noviembre de 1806</t>
  </si>
  <si>
    <t>tropolitana de Tarragona: para la Canongíade la Catedral de Sigiienza, vacante por fallecimiento de D. Manuel Arcos, á D. Antonio Calama, Cura Párroco de Villarubia de Ocaña: para una Ración de la Primada de Toledo, vacante por muerte de D. Francisco García, á D. Francisco Calleja, Cura de la P</t>
  </si>
  <si>
    <t>Ardanaz, Pedro</t>
  </si>
  <si>
    <t>Pedro Ardanaz</t>
  </si>
  <si>
    <t>67; y con ellos han ganado los jugadores f 74,490 rs. ■ El día 20 de Agosto próximo pasado dirigió D. Pedro Ardanaz, vecino de Corella, á ¡p. Pedro Nolasco Dombrasas, del comercio de Pamplona, un vale Real de 300'jpésos, creación de Setiembre, num.65494; y habiéndose extraviado, quien sepa su p</t>
  </si>
  <si>
    <t>Áreal, Juan Francisco</t>
  </si>
  <si>
    <t>Juan Francisco Áreal</t>
  </si>
  <si>
    <t>Pedro de Fbrcadela, en la Diócesi de Tuy, vacante por fallecimiento dé D, Juan Sánchez Regadera , á D. Juan Francisco Áreal, Presbítero: para una Capellanía del número de la Catedral de Guadix, ya- , cante por muerte de D. Toirquato Segura, á D. Juan Lanchas, Capellán reformado de los Hospitales nacion</t>
  </si>
  <si>
    <t>Arespacochaga, Juan Ignacio</t>
  </si>
  <si>
    <t>Juan Ignacio Arespacochaga</t>
  </si>
  <si>
    <t>14 de marzo de 1806</t>
  </si>
  <si>
    <t>venes mas adelantados de ellas, que fuéron D. Juan Sánchez Satostegui, D. Miguel González Cárdenas, D. Juan Ignacio Arespacochaga, D. Manuel Rodríguez Sotelo, D. Josef Gutiérrez, D. Juan María Maestre y Maestre, y el Dr. D. Manuel Céspedes. Los tres primeros fuéron examinados de Aritmética, Algebra, Geometrí</t>
  </si>
  <si>
    <t>Argiiello, Felipe</t>
  </si>
  <si>
    <t>Felipe Argiiello</t>
  </si>
  <si>
    <t>Rodriguez, y de fusileros á D. Juan Cerda y D. Josef Vicente Solórzano, que lo eran de bandera, y á D. Felipe Argiiello y D. Vicente Castilla, vecinos de la jurisdicción de dicho Cuerpo; y á Subtenientes de bandera á D. Josef Francisco Chamorro y D. Cieto_Avendaño, también vecinos de la propia jurisdic</t>
  </si>
  <si>
    <t>Argote, Simón</t>
  </si>
  <si>
    <t>Simón Argote</t>
  </si>
  <si>
    <t>a á su costa si merece la aprobación. Las Memorias se remitirán cerradas á manos del Vicesecretario D. Simón Argote, poniendo los autores baxo cubierta,en que escribirán el mete ó sentencia que elijan para la disertación, su nombre, firma y vecindad, para que abierta, en el caso que su trabajo</t>
  </si>
  <si>
    <t>Arguello, Ramón</t>
  </si>
  <si>
    <t>Ramón Arguello</t>
  </si>
  <si>
    <t>s al de fusileros D. Pablo Payan, y de fusileros á los Tenientes D. Máximo Aviles, de granaderos, y D. Ramón Arguello; á Teniente de granaderos al,de fusileros D. Joaquín Chamorro; y de fusileros á los Subtenientes D. Josef Corneiio Guerrero, de granaderos, D. Faustino Bermudez y D. Hermenegildo</t>
  </si>
  <si>
    <t>Arguiaga, Manuel</t>
  </si>
  <si>
    <t>Manuel Arguiaga</t>
  </si>
  <si>
    <t>no de Atienza: para dos Raciones de la Colegial de Soria, Diócesi de Osma, vacantes por renuncia de D. Manuel Arguiaga y D. Matías Fernandez, á D. Manuel Burgos y á D. Simón piez: para la Canongía, vacante en la Catedral de Sigüenza por fallecimiento de D. Domingo Julián Fariza, á Don Josef Urraca, co</t>
  </si>
  <si>
    <t>Arias Anr</t>
  </si>
  <si>
    <t>s quadrados superficiales, apreciada en 82,239 rs. Quien quisiere comprarlas comparezca ante el Sr. D. Arias Anr tonio Mon y Velarde, del Consejo de S.M- en el Real y Supremo de Castilla, Juez de comisión, por la escribanía numeraria de D. Diego Benigno González. Por providencia del Sr. D, M</t>
  </si>
  <si>
    <t>Arias de Saavedra, Francisco</t>
  </si>
  <si>
    <t>Francisco Arias de Saavedra</t>
  </si>
  <si>
    <t>a yr^dal. ■* El Rey se ha servido nombrar Ayudante mayor del Real cuerpo dat Artillería al Teniente D. Francisco Arias de Saavedra; y bñ conferir-empleos de Tenientes en el propio Real cuerpo i.los-Sqbjyrji.qntés P. Bernardo Ledesma y D. Josef Arias. de SaaVedr?,- . [ 2Cj f|(, • En el Regimiento de caballería</t>
  </si>
  <si>
    <t>Arias Mon y Velarde</t>
  </si>
  <si>
    <t>19 de septiembre de 1806</t>
  </si>
  <si>
    <t>la; y previa la aprobación del limo. Sr. D. Ramón Falcon y Salcedo, Obispo de la Diócesi, y del Sr. D. Arias Mon y Velarde, del Consejo de S. M., y Juez comisionado en esta Provincia , se ha construido uno capaz y decente. Se hizo la bendición de él en la tarde del dia 7 del corriente, á cuya ceremoni</t>
  </si>
  <si>
    <t>Arias y Toubes, Ramón</t>
  </si>
  <si>
    <t>Ramón Arias y Toubes</t>
  </si>
  <si>
    <t>Barco yMoron, D. Manuel Paulin y Cotiella, Don Francisco Pareja y Cameros, D. Josef Marco y Espejo, D. Ramón Arias y Toubes, D. Ignacio Chacón, D. Angel Valdes y Diaz Canalizo, D. Julián Morales y Sánchez, D. Flaminio Agacini y Bilbao, D. Tomas de Torres y Zapata, y D. Manuel Croquer. En América. El Re</t>
  </si>
  <si>
    <t>Arias, María</t>
  </si>
  <si>
    <t>María Arias</t>
  </si>
  <si>
    <t>Celestina Prieto, María Loreto Piñuela, María Fernandez , Baltasara Bedia y Luisa García. Éñ la de Doña María Arias se distribuyó el primer premio por leer y Doctrina á Cipriana Seoane y Agueda Revilla, y el de costura á Manuela Santa María y Francisca Pereza dándose el accésit respectivo á Con</t>
  </si>
  <si>
    <t>Arispfc, Francisco</t>
  </si>
  <si>
    <t>Francisco Arispfc</t>
  </si>
  <si>
    <t>ero de Leis, en unión de D. Francisco Sánchez Ruiz, D. Juan Antonio Yudicí, D. Ignacio Barrencchea, D. Francisco Arispfc* y qualquier otro de la villa de Bilbao que tengan créditos contra dichos Señores, los presenten, en el término de 30 dias contados desde el 25 de Junio, en la escribanía de D. Ca</t>
  </si>
  <si>
    <t>Arítonio Torró</t>
  </si>
  <si>
    <t>elva, D. Josef MarceLÍy D. Josef Ghavalóyes,.D. Rafael Alcaráz y D. Miguel Bayona; y de Navegación, D. Arítonio Torró y D. Josef Puycherber : habiendo manifestado todos una constante aplicación y aprovechamiento en sus respectivas clases. Madrid 2$ de Febrero. . El Rey se ha servido nombrar para una</t>
  </si>
  <si>
    <t>Armengol Dalmau de Cubells</t>
  </si>
  <si>
    <t>El Rey se ha dignado nombrar para la Vara de Alcalde mayor de la ciudad de Barcelona á D. Armengol Dalmau de Cubells. En América. El Rey se ha dignado conferir el empleo de Teniente de Rey de la Plaza de Panamá y Cabo subalterno del Comandante general de la misma Provincia á D. Manuel Remon, Ten</t>
  </si>
  <si>
    <t>Armenteros, Pedro</t>
  </si>
  <si>
    <t>Pedro Armenteros</t>
  </si>
  <si>
    <t>tería de la Ilavana al Subteniente de granaderos D. Francisco Menocal: esta resulta al de fusileros D. Pedro Armenteros, y Subtenencia de bandera al Cadete D. Antonio Josef de Vey.tia: Compañía en eFRatallon de las, Quatro Villas á D. Antonio Josef Madrigal, Subteniente del mismo; y Subtenencia de</t>
  </si>
  <si>
    <t>Armstrong, General</t>
  </si>
  <si>
    <t>General Armstrong</t>
  </si>
  <si>
    <t>go, al Mariscal de Campó D. Benito Pardo, Ministro de S. M. C. en Berlin, y al Caballero Lcrrea; El General Armstrong, Ministro plenipotenciario de los Estados-Unidos dé América, á Mr. Bawduin, Ministró plenipotenciario de los Estados-Unidos cerca de S. M. el Rey de España. Mr. de Maillardoz, Env</t>
  </si>
  <si>
    <t>n la isla Francesa de Santo Domingo. Dos de estas Notas se han pasado por S. E. Mr. deTalleyrand al General Armstrong, Ministro nuestro en París, y otras dos por el General Turreau, Ministro plenipotenciario de Francia, á nuestro Secretario de Estado. En todas ellas se insiste fuertemente para qu</t>
  </si>
  <si>
    <t>Arndt</t>
  </si>
  <si>
    <t>mia de Ciencias de Noruega, establecida en Drontheím, ha resuelto en junta extraordinaria nombrar á Mr. Arndt, de Altona, sugeto muy instruido en Botánica y Antiquaria, para los viages relativos á es</t>
  </si>
  <si>
    <t>fin en su testamento el Consejero de Justicia Mr. Hammer. El publico debe al zelo y laboriosidad de Mr. Arndt el descubrimiento de varias inscripciones rúnicas que ha encontrado en el Gobierno de Drontheim, y varios otros monumentos de la antigüedad.. El vapor nebuloso que se notó en la com</t>
  </si>
  <si>
    <t>Arnoud</t>
  </si>
  <si>
    <t>arís, el Corregidor Dupon t, él General Nogues, el Presidente del Tribunado, Mr. Rouille de fEtang, Mr. Arnoud, miembro del Tribunado , Mr. de la Sallette. En junta del día io adoptó el Tribunado la’proposición de Mr. JardPanvillers de salir el Tribunado en cuerpo á recibir al Emperador qu</t>
  </si>
  <si>
    <t>Arocha, Antonio</t>
  </si>
  <si>
    <t>Antonio Arocha</t>
  </si>
  <si>
    <t>caballería de la Ha vana si Portaestandarte D. Francisco Toyos; y esta resalta al Sargento segundo D. Antonio Arocha: Tenencia en el de dragones de Matanzas al Subteniente D. Gabriel Santoyo: Subtenencia de Compañía al de bandera D. Francisco Alfonso; y esta resulta al Cadete D. Vicente del Junc</t>
  </si>
  <si>
    <t>Arrate, Matías</t>
  </si>
  <si>
    <t>Matías Arrate</t>
  </si>
  <si>
    <t>al de Arganin en el Obispado.de Zamora, vacante por haber contraido matrimonio D. Demetrio Ortiz, á D. Matías Arrate, Salmista de la Colegial de la Santísima Trinidad del Real Sitio de S. Ildefonso; y á D. Manuel Roig para un Beneficio residencial de la Parroquia de Constanti, Diócesi de Tarrago</t>
  </si>
  <si>
    <t>Arrícta, Agustín</t>
  </si>
  <si>
    <t>Agustín Arrícta</t>
  </si>
  <si>
    <t>pletada con varios suplementos , y los correspondientes apéndices sobre la literatura Española, por D. Agustín Arrícta, de ia Biblioteca de los Estudios Reales: tomo 9 y último de la traducción, que trata de los demas géneros de literatura en prosa, como son la historia, la epístola &amp;c. Sale ilust</t>
  </si>
  <si>
    <t>Árt-acho, Joaquín</t>
  </si>
  <si>
    <t>Joaquín Árt-acho</t>
  </si>
  <si>
    <t>Vera y D. Domingo Urquizabaso; á Subtenientes dg ,com-, pama á ios de bandera D. Francisco Zosaya, D. Joaquín Árt-acho,, p. Josef Alaría N oriega y D. Franciscp Xavier de Andrade, y a Subtenientes, dex bandera á D. Manuel Quirós, D. Joaquín Madrid y D.? Salvador Artacho.,. El Rey nuestro Señor, á</t>
  </si>
  <si>
    <t>Artaud</t>
  </si>
  <si>
    <t>na Regente, para dar parte de su nombramiento á la embaxada de Madrid, y al mismo tiempo presentó,! Mr. Artaud, Secretario de, la Legación, como Encargado de Negocios. \ &gt; .J S. M. la Reyna ha mandado seqüestrar las mercancías Inglesas que había en Liorna, y ha prohibido severamente la int</t>
  </si>
  <si>
    <t>Arturo Paget</t>
  </si>
  <si>
    <t>Austria el Conde de Stharemberg debe estar muy particularmente ofendido; y es evidente también que Sir Arturo Paget no puede residir mas tiempo en una Corte donde deben mirarse mal sus intenciones. Es la opinión general que los últimos Ministros se han perdido enteramente con este paso: se han</t>
  </si>
  <si>
    <t>Arturo Wellesley y Sir Jorge Prevost</t>
  </si>
  <si>
    <t>del mismo modo. Dicen que saldrá pronto una expedición para las Indias occidentales. Los Generales Sir Arturo Wellesley y Sir Jorge Prevost mandarán, según se cree,dos expediciones separadas. Ha llegado esta mañana á Faimouth una mala de las islas de Sotavento, en el paquebot Princesa Amalia, que ha hecho su travesía</t>
  </si>
  <si>
    <t>Arzave, Juan</t>
  </si>
  <si>
    <t>Juan Arzave</t>
  </si>
  <si>
    <t>al de fusileros Don Pedro Amarca: en el Batallón de infantería de Canarias á Subteniente al Cadete D. Juan Arzave. El Rey se ha servido conceder Subtenencia de bandera en el Regimiento de infantería inmemorial del Rey al Cadete del de Reales Guardias WaJonas D« Carlos Wambiteli: en el de la P</t>
  </si>
  <si>
    <t>Arzobispado de Burgos</t>
  </si>
  <si>
    <t>so Perez, de edad de 17 á 30 ados, natural de la villa de Canales de la Sierra, Arzobispado de Burgos,hijo de Anta-, nio y María Teresa Perez Herce* naturales y vecinos de dicha villa; quien el anode 93 se hallaba en la Xsla de León.' Si alguna persona supiere si existe, ó si ha muerto</t>
  </si>
  <si>
    <t>Arzobispo de París, Cardenal</t>
  </si>
  <si>
    <t>Cardenal Arzobispo de París</t>
  </si>
  <si>
    <t>, de los Príncipes de Francia, de los exércitos &amp;c.» el Prefecto de París, el Senador Lacepede , el Cardenal Arzobispo de París, el Corregidor Dupon t, él General Nogues, el Presidente del Tribunado, Mr. Rouille de fEtang, Mr. Arnoud, miembro del Tribunado , Mr. de la Sallette. En junta del día io adoptó e</t>
  </si>
  <si>
    <t>dos fueron acompañados de un ruido sordo y prolongado. La dirección de uno y otro fué de S. á N. El Cardenal Arzobispo de París ha publicado la permisión de com^r huevos en la quaresma de este año. ESPAÑA. Vergara 21 de Febrero. En los dias 10, 11, 12 y 13 del corriente celebro el Real Seminario de Nobles</t>
  </si>
  <si>
    <t>Arzobispo de Paris, Cardenal</t>
  </si>
  <si>
    <t>Cardenal Arzobispo de Paris</t>
  </si>
  <si>
    <t>iga que este cuerpo iba á ocupar los Principados de Neufchatel y de Valengin. Parts 16 de Marzo. El Cardenal Arzobispo de Paris ha nombrado ya los 6 Canónigos que deben servir en la Iglesia de Sta. Genoveva, en cumplimiento del decreto de S. M. el Emperador y Rey de 7 del corriente. Mr., de Larochefoucauld</t>
  </si>
  <si>
    <t>25 de noviembre de 1806</t>
  </si>
  <si>
    <t>anciller y Archi-Tesórero del Imperio , los Ministros y grandes Oficiales del Imperio : S. Erna, el Cardenal Arzobispo de París, el Cardenal Legado, ei Cardenal Maury, los Obispos del Cabildo de S. Dionisio, los Senadores, Consejeros de Éstadq &amp;c. &amp;c. Era asombroso el concurso que habia en las calles: gene</t>
  </si>
  <si>
    <t>Arzobispo de Toledo, Cardenal</t>
  </si>
  <si>
    <t>Cardenal Arzobispo de Toledo</t>
  </si>
  <si>
    <t>6 de mayo de 1806</t>
  </si>
  <si>
    <t>árroco á costa de los caudales de la fábrica, y. con las correspondientes aprobaciones del Emo. Sr. Cardenal Arzobispo dé Toledo fy dérilinb^Sr. D. Miguel de /Mendinueta, .actual*Gpbérjrrador,4n^erii)o del?Coi}sej.o,.y éncargádo entonces dé promover; estos establecimientos en el. Arzobispado. Aunque desde l</t>
  </si>
  <si>
    <t>Cirujano de familia, y pensionado de mérito por S. M. Esta obra se ha hecho de orden del Excmo. Sr. Cardenal Arzobispo de Toledo, con ocasión de querer saber los Párrocos de su Arzobispado si el azogue, que ya habían aplicado con buen éxito á la curación de las tercianas y quartanas, podía también extenders</t>
  </si>
  <si>
    <t>Martínez y Xime-nez, que lo es de Astorga, habiendo sido consagrante de ambos el Emo. y Excmo. Sr. Cardenal Arzobispo de Toledo, y asistentes los limos. Señores Obispos D. Atar.asio Puyai y Poveda, Auxiliar de "Madrid, y D. Francisco de ia Cuerda, del Consejo de la Suprema y general Inquisición. Fué padrin</t>
  </si>
  <si>
    <t>Arzobispo, Cardenal</t>
  </si>
  <si>
    <t>Cardenal Arzobispo</t>
  </si>
  <si>
    <t>s tomadas á los Rusos el dia aniversario de su coronación, encargándoles de llevar estos trofeos al Cardenal Arzobispo, á quien ha escrito S. Al. una carta dándole aviso de ello, y previniéndole ser su intención, que todos los años en dicho dia se hagan solemnes honras en aqueila Catedral por los</t>
  </si>
  <si>
    <t>orte 7905 rs. y 17 mrs.; de sobrantes de obras pías &amp;440; de limosnas que ha dispensado el Emo. Sr. Cardenal Arzobispo 5$, con una arroba ademas de quina, de subscripciones, multas, qüestuaciones y otros arbitrios* hasta la cantidad en todo de 25,500 rs., que son los distribuidos;__-De lo que noti</t>
  </si>
  <si>
    <t>11 de febrero de 1806</t>
  </si>
  <si>
    <t>o 19, á las 11 de la mañana, á la Catedral con las banderas que S. M. el Emperador y Rey enviaba al Cardenal Arzobispo para colocarlas en aquella Metropolitana___ Una diputación de los Canónigós recibió el cortejo en la puerta principal de la Iglesia. El Cardenal Arzobispo se adelantó \ su encuent</t>
  </si>
  <si>
    <t>Ascher, Carlos</t>
  </si>
  <si>
    <t>Carlos Ascher</t>
  </si>
  <si>
    <t>-wald 7 de Agosto. S. M. el Rey ha nombrado para la plaza de Orador de la cíase de los Labradores á Mr. Carlos Ascher, y para igual plaza del Estado llano á Mr. David Kuh!. Ayer hizo el Rey la apertura de la Asamblea, y pronuncio desde su trono el discurso siguiente : „Señores y Hombres Alemanes,</t>
  </si>
  <si>
    <t>Aspiazu, Fulgencio</t>
  </si>
  <si>
    <t>Fulgencio Aspiazu</t>
  </si>
  <si>
    <t>al Teniente D. Esteban Hernández; á Teniente al Alférez D. Rafael Hortiguera, y á Alférez al Cadete D. Fulgencio Aspiazu. En el discurso de un año contado desde i.° de Diciembre de 1.804 hasta fin de Noviembre de 1805, ha habido en esta Corte 1583 matrimonios, y se han bautizado en las Parroquias 41</t>
  </si>
  <si>
    <t>Atanasio de Ayesa</t>
  </si>
  <si>
    <t>47o . - ....... . . . .... Subtenientes de granaderos los de fusileros D. Atanasio de Ayesa, D. Bernabé Poiledo y D* Antonio Romeros y á Subtenientes el agregado de esta clase D. Raymundó dg Silva, los Cadetes D, Josef Urquizu, D, Fernando del Joro y D. Ildefonso del Tor</t>
  </si>
  <si>
    <t>Atanasio Pascual Crespo</t>
  </si>
  <si>
    <t>28 de noviembre de 1806</t>
  </si>
  <si>
    <t>escubierto, en 6500. Quien quisierehacer postura acuda ante dicho Comisionado, por la escribanía de D. Atanasio Pascual Crespo; en inteligencia de estar señalado para su remate el día 6 de Dic iembre próximo en las casas consistoriales de dicha ciudad de Barbastro. El Sr. Intendente ha aprobado el remate</t>
  </si>
  <si>
    <t>Atanasio Puyal</t>
  </si>
  <si>
    <t>e de Bornos, Caballerizo mayor del Príncipe /nombrado para hacer de Caballerizo mayor: el limo. Sr. D. Atanasio Puyal, Obispo de Caristo y Auxiliar de Madrid, para hacer de Prelado en esta función: las referidas Excmas. Sras. Camarera mayor, y Dama de S. A.: el Sr. Marques de Fontanar, Mayordomo</t>
  </si>
  <si>
    <t>tiros de pechera. ^ _ Otro coche para el Prelado, que fué el Obispo de Caristo, Auxiliar de MadríH, D. Atanasio Puyal, con 2 tiros de colleras, el uno apostado en el camino, y un Cochero de la Real Caballeriza á la trasera para el cuidado del coche. Otro coche para el Notario de los Reynos, que f</t>
  </si>
  <si>
    <t>Atar</t>
  </si>
  <si>
    <t>de ambos el Emo. y Excmo. Sr. Cardenal Arzobispo de Toledo, y asistentes los limos. Señores Obispos D. Atar.asio Puyai y Poveda, Auxiliar de "Madrid, y D. Francisco de ia Cuerda, del Consejo de la Suprema y general Inquisición. Fué padrino del Sr. Obispo de Cartagena el Cabildo de la St</t>
  </si>
  <si>
    <t>Atiento, Antonio</t>
  </si>
  <si>
    <t>Antonio Atiento</t>
  </si>
  <si>
    <t>2 de mayo de 1806</t>
  </si>
  <si>
    <t>éifár revalidados, qué pueblos han servido, y el de su última residencia. ‘ T&gt;. Antonio Atiento, Médico de lar Real Inclusa^ de esta Corre, informará dé</t>
  </si>
  <si>
    <t>Auckland, Lord</t>
  </si>
  <si>
    <t>Lord Auckland</t>
  </si>
  <si>
    <t>han dado lugar él día 30 del pasado en la Cámara de ios Pares, á algunas observaciones importantes. Lord Auckland habló en estos términos: „Por las actas de navegación de Carlos ir y de Guillermo m se prohíbe todo comercio, medíante el qual se importan géneros á las colonias Inglesas en buque</t>
  </si>
  <si>
    <t>Auditor del Consejo de Estado</t>
  </si>
  <si>
    <t>feria nacional que deberá celebrarse al tiempo de dichas ■fiestas. Mr. Regnier, Auditor del Consejo de Estado, hijo de S. E. el Gran Juez, Ministro de la Justicia, ha sido nombrado Secretario de Embaxada en España. Se citaba hace algunos años en París un hombre de talento, que había calculado q</t>
  </si>
  <si>
    <t>Audlad</t>
  </si>
  <si>
    <t>reglo de la funciona en ella se han pronunciado tres discursos por tres Rabinos: uno en Francés por Mr. Audlad; otro en Alemán por Mr. Zinsheimer; y el tercero en Italiano por Mr. Segre-.íEsté último acaba de-darse á luz, con la traducción Francesa, por la Señorá,Julia Teodora Cerf-Berr, h</t>
  </si>
  <si>
    <t>Augereau, General</t>
  </si>
  <si>
    <t>General Augereau</t>
  </si>
  <si>
    <t>ístir á esta gran íiesta. __ La división Francesa del General Mathieu, del • cuerpo de exército del General Augereau-, está actualmente pasando por ef Electorado de Wurtemberga, con destino á Francfort___ Se ha comunicado de oficio que á últimos del corriente mes pasarán por las inmediaciones de</t>
  </si>
  <si>
    <t>tán pasando ahora mismo 5 Regimientos de caballería Francesa con destino á reforzar el exército del General Augereau..... Parece verosímil que pronto se descorrerá el velo tan tupido , que hasta ahora nos ha ocultado los nuevos arreglos y mudanzas que hay decretadas para la AjLemania, y señalada</t>
  </si>
  <si>
    <t>23 de mayo de 1806</t>
  </si>
  <si>
    <t>434 ra tomar posesión del Hannóver; oficio del General Augereau para que el Senado, ,de Francfort pusiese á disposición del Tesorero del exército Francés quatro millones pesetas; prqclama dpi Ministip,Británico en Hannóver al evacuar las tropa</t>
  </si>
  <si>
    <t>Augereau, Mariscal</t>
  </si>
  <si>
    <t>Mariscal Augereau</t>
  </si>
  <si>
    <t>Mencionado en una noticia de la Gazeta extraordinaria.</t>
  </si>
  <si>
    <t>Gazeta extraordinaria</t>
  </si>
  <si>
    <t>5 (extraord.)</t>
  </si>
  <si>
    <t>l Mariscal Ney ocupa la Carintia: el General Marmont la Styria; el Mariscal Massena la Carniola: el Mariscal Augereau queda en reserva en la Suabia. El Mariscal Massena con el exército de Italia forma ya - \ el octavo cuerpo del exército grande. * El Príncipe Eugenio tiene el mando en gefe de tod</t>
  </si>
  <si>
    <t>Augereaü, Mariscal</t>
  </si>
  <si>
    <t>Mariscal Augereaü</t>
  </si>
  <si>
    <t>opas Rusas en Hannóver, han .salido ya también. Francfort 14 de Enero. ■ El ctíerpó dé éxércifó dél Mariscal Augereaü nt&gt; ha paVádo todavía el Mein , sino qué va marchando hácia las inmediaciones dé Aschádenbürgo. Ignoramos qual será su destino ulterior. La publicación del tratado de Presburgó rí</t>
  </si>
  <si>
    <t>y de Baviera, á Mr. Comeau. El Ma riscal Eefebvre ha pasado de Maguncia á Darmstadt á tratar con el Mariscal Augereau sobre el modo de arreglar los Acantonamientos en que deben repartirse las tropas que sirven á sus órdenes. Se ha mandado formar un batallón de Valesanos, cuya talla no baxará de f</t>
  </si>
  <si>
    <t>«240 Mariscal Augereau, y acuden á reforzarlo las tropas del exército grande y las del exército del Norte. Cogen toda la extensión que hay desde la margen del Rhin hasta las fronteras de la Franconia, t</t>
  </si>
  <si>
    <t>ilatadísimo á las innumerables conjeturas de los políticos. Tres dias hace que se restituyó aquí el Mariscal Augereau, que habia ido á tomar las aguas de Wisbaden; el 2 del corriente llegó á Nuremberg el Mariscal Berthier, y en el mismo dia llegó á Furth el Mariscal Morder. Escriben de Ratisbona,</t>
  </si>
  <si>
    <t>8 de julio de 1806</t>
  </si>
  <si>
    <t>ncian igualmente que los Prusianos lo evacuarán muy pronto. El 28 de Mayo él cuérpo db ejército dél Mariscal Augereau recibió un corred, expédidbvpbrel PHhcipte Alexandro Berthier, con la orden de estárprónto á^ítkrtbañ SeJiiotan éti’ éféctó alguriOs movimientos en aquel cuerpo, que hacen presumi</t>
  </si>
  <si>
    <t>Francés, pasó dos dias hace por aquí con dirección á Petersburgo. Dicen que pasado mañana vendrá el Mariscal Augereau á notificar á nuestro Senado el documento por el qual se devuelve la ciudad de Francfort al Elector Archicanciller. ^ No hay cosa mas contradictoria hoy dia que las Gazetas Aleman</t>
  </si>
  <si>
    <t>eriana es la que gobierna el pais^ Francfort 8 de Setiembre. El parque de artillería del cuerpo del Mariscal Augereau, que estaba en Hoechst, ha sido trasladado á la márgen izquierda del Mein. Ya se ha votado la causa del General Víctor de Roban en Viena. Este Príncipe ha sido declarad© inocente</t>
  </si>
  <si>
    <t>a el cuerpo efe exército del Mariscal Davoust en Naumburgo: el del Mariscal Latines en Jena: el del Mariscal Augereau en Kala. El Príncipe Gerónimo, á quien SvM. ha conferido el mando de los aliados y de un cuerpo de tropas Bávaras, ha llegado á Schleitz, habiendo de paso hecho bloquear con un. Reg</t>
  </si>
  <si>
    <t>iscal Príncipe de Ponte-Corvo caminaba áDornnburgo___ El del Mariscal Lannes llegó á Tena___ El del Mariscal Augereau estaba situado en Kahla. _EL del Mariscal Ney en Roda.__ El quartel general se hallaba en Gera___ El Emperador estaba en marcha para Jena; y el cuerpo del Mariscal Soult caminaba de</t>
  </si>
  <si>
    <t>ón. La izquierda del exército Francés, apoyada en una aldea y en los bosques, estaba mandada por el Mariscal Augereau. La guardia Impe</t>
  </si>
  <si>
    <t>sque sobre su derecha; el enemigo hizo un movimiento en su derecha sobre nuestra izquierda; pero el Mariscal Augereau tuvo orden de rechazarlo: en ménos de una hora la acción se hizo general; 250 ó 300© soldados con 700 ú 800 cañones, despedazaban los hombres en todas partes, y ofrecían uno de lo</t>
  </si>
  <si>
    <t>rii'n. _— El cuerpo del Mariscal Príncipe.'de Ponte-Corvo se,halla ePiBrandemburgo. -—El cuerpo dei Mariscal Augereau entrará Berlín mañana 26.. — El ..Emperador llegó ayer á Potsdam, y se apeo.én el pala¡cio- Por la.tayde exámmó j|Lpalacio nu¡eyp $2ns-;SQu/y, y las posiciones qué rodean á Pbtsdam:</t>
  </si>
  <si>
    <t>entos de las tropas Prusianas; proclama del Senado de Francfort á sus conciudadanos, y la carta del Mariscal Augereau escrita en su conseqiiescia ai mismo Senado; noticia de las operaciones militares de los Ingleses en el Re; no de Na-»* poles, y capitulación de Cotron; cartas del Emperador Napoleó</t>
  </si>
  <si>
    <t>el Emperador pasó revista á caballo á la división del Mariscal l&gt;avoust; mañana la pasará á la del Mariscal Augereau. El Gran Djique de Berg, y los Mariscales Lanncs y Príncipe de PonteCorvo van siguiendo el alcance al Príncipe de Hoheniohe. Después del brillante encuentro de caballería de Zehde</t>
  </si>
  <si>
    <t>' , ;• . Iíoy á las 12 del día ha pasado el Emperador revistai á ía'séptima división mandada por el Mariscal Augereau. Estas tropas han padecido poco, porque la mitad de ellas no han tenido ocasión de pelear; pero todos los soldados e taban animados del mas vivo deseo de venir á las manos con ei</t>
  </si>
  <si>
    <t>Augusta de Baviera, Princesa</t>
  </si>
  <si>
    <t>Princesa Augusta de Baviera</t>
  </si>
  <si>
    <t>06, felicitándonos sobre,el matrimonio del Príncipe Eugenio Napoleón, nuestro hijo adoptivo, con la Princesa Augusta de Baviera, y sobre la paz firmada en Presburgo. Habéis podido apreciar el interes que tomamos por la Confederación Helvética, haciendo reconocer en este tratado la independencia de los 19 C</t>
  </si>
  <si>
    <t>Augusta, Princesa</t>
  </si>
  <si>
    <t>Princesa Augusta</t>
  </si>
  <si>
    <t>objeto instruiros en dos importantes contratos: el uno es el casamiento del Príncipe Eugenio con la Princesa Augusta, hija de S. M. el Rey de Baviera: el otro es el tratado de paz con el Emperador de Austria ¿ concluido en Presburgo el 26 de Diciembre último, y ratificado la mañana siguiente en</t>
  </si>
  <si>
    <t>dado,; largó tiempo hace, con el Rey de Baviera el casamiento de mi.hijo el Príncipe Eugenio con la Princesa Augusta su hija, y hallándome eñj Munich &lt;en el momento en que debía verificarse la celebración:del matrimonio, no he podido -resistir al placer de uñir Yo mismolos jovenes esposos ,;que</t>
  </si>
  <si>
    <t>r á las 5 de la tarde llegaron a esta ciudad SS. MM. II., el Príncipe Eugenio Virey de Italia, y la Princesa Augusta su esposa. A la entrada en el tenitorio Veneciano fuéron cumplimentadas por una diputación del Gobierno provisional Veneciano, por los Ministros del Reyno de Italia; y en fin, en</t>
  </si>
  <si>
    <t>este mes se supo la próxima venida dé S. A. I. el Príncipe Eugenio Napoleón, Virey de Italia, y la Princesa Augusta su esposa. A las 3 de la tarde anunció la artillería la llegada de SS. AA. á Mestre. A esta se-K ñal todo el mundo abandonó sus casas, y se vió á una inmensa población correr háci</t>
  </si>
  <si>
    <t>este país. ITALIA. Venecia y de Febrero. En el tiempo que han estado en esta ciudad SS. AA. II., la Princesa Augusta ha dado una prueba evidente del interes que toma en la educación de las Señoritas, y de la importancia que da á un objeto tan íntimamente unido á la felicidad pública. En lugar de</t>
  </si>
  <si>
    <t>Augusto Fernando, Príncipe</t>
  </si>
  <si>
    <t>Príncipe Augusto Fernando</t>
  </si>
  <si>
    <t>quedara iámediatamente envuelta según todas las señales. Nuestros dragones han hecho prisionero, al Príncipe Augusto Fernando, hermano del Príncipe: Luis, muerto en Sa^Ifels, é hijo del . Príncipe Fernanda, hermano de|. Gran Federico.__. AM puqs el numeroso.'y lucido exército Prusiano sé^ia disipado como</t>
  </si>
  <si>
    <t>Augusto, Miguel</t>
  </si>
  <si>
    <t>Miguel Augusto</t>
  </si>
  <si>
    <t>ez; los tres primeros de granaderos ; á Tenientes de granaderos los de fusileros D- Francisco Díaz, D. Miguel Augusto y D. Alonso Velez; á Tenientes el agregado de esta clase D. Luis de Hiriojosa, los Subtenientes de granaderas Don Tomas Gandía, D. Francisco Martínez y D. Domingo Postigo , y los de f</t>
  </si>
  <si>
    <t>Augusto, Príncipe</t>
  </si>
  <si>
    <t>Príncipe Augusto</t>
  </si>
  <si>
    <t>ándau 4® caballos sobrantes con sus correspondientes arreos.Después de la revista fue presentado el Príncipe Augusto al Emperador, quien le envió á casabe su-padre, el Príncipe Fernando, para que se curase y descansase. . * . Ayer, antes de la revista, visitó S. M. I. á la viuda del Príncipe Hen</t>
  </si>
  <si>
    <t>Aupetít, Pedro Julián</t>
  </si>
  <si>
    <t>Pedro Julián Aupetít</t>
  </si>
  <si>
    <t>astante enfermo. :'V.'.7 Tarazón# de la Mancha $ de Setiembre; Deseando el Corregidor de esta villa D. Pedro Julián Aupetít contribuir al debido cumplimiento de las Reales órdenes que se le habian comunicado parada erección de cementerio, dió principio á la práctica de quantas diligencias consideró pre</t>
  </si>
  <si>
    <t>Austríaco Brady y Mr, General</t>
  </si>
  <si>
    <t>General Austríaco Brady y Mr</t>
  </si>
  <si>
    <t>larse del proyecto de enlace matrimonial del Príncipe Real de Baviera con una Princesa de Rusia. El General Austríaco Brady y Mr. de Ghisilieri han sido arrestados , y se ha nombrado una junta para examinar su conducta___ Los puertos de Trieste y de Fiume quedarán cerrados á los Ingleses y Rusos hasta que e</t>
  </si>
  <si>
    <t>Austríaco Cavasini, General</t>
  </si>
  <si>
    <t>General Austríaco Cavasini</t>
  </si>
  <si>
    <t>as. La división del General Se-» ras se baila de vuelta. Los Franceses han evacuado la Carniola. El General Austríaco Cavasini, que habia venido á verse con el General Marmont, ha marchado á la Carinthia con las tropas Austríacas que estaban aun en ¿1 Friul. El nuevo Comandante militar de Trieste, el Gene</t>
  </si>
  <si>
    <t>Austríaco Conde de Nostiz, General</t>
  </si>
  <si>
    <t>General Austríaco Conde de Nostiz</t>
  </si>
  <si>
    <t>463 La desavenencia del General Ruso Principa Dolgorouki y el General Austríaco Conde de Nostiz se ha compuesto amigablemente por mediación del Conde de Rasumowski, Embaxadór de Rusia cerca de S. M. I. y R. ALEMANIA. Aliona 1 de Mayo. ’ La Gazeta de Presburgo de 4 de Abril i</t>
  </si>
  <si>
    <t>Austríaco Meerfeldt, General</t>
  </si>
  <si>
    <t>General Austríaco Meerfeldt</t>
  </si>
  <si>
    <t>rtante noticia nos viene de todas partes. Se dio públicamente en Petersburgo por el Monarca Ruso al General Austríaco Meerfeldt. Después se ha divulgado como de oficio en Berlín y en Viena, en cuyas Cortes ha causado mucho regocijo. Haya 5 de Junio. Las cartas de París dicen que vendrán dentro de pocos día</t>
  </si>
  <si>
    <t>Austríaco Mr, General</t>
  </si>
  <si>
    <t>General Austríaco Mr</t>
  </si>
  <si>
    <t>emprendido su viage por Teschen para restituirse á Petersburgo___ .Han llegado asimismo á Berlín el General Austríaco Mr. de Sutterheim y el Conde de Harrach; este ultimo ha ido con pliegos del Archiduque Antonio, Gran Maestre de la Orden Teutónica. Escriben de Viena que se ha despachado á Londres u</t>
  </si>
  <si>
    <t>Austríaco Schmidt, General</t>
  </si>
  <si>
    <t>General Austríaco Schmidt</t>
  </si>
  <si>
    <t>erg, que había recibido, mas no executó la orden de quemar el puente del Danubio: 6.a la muerte del General Austríaco Schmidt: 7.a la desobediencia de los Generales Jellachich y Príncipe de Rohan á las órdenes del Archiduque Juan." Es de.extrañar que el compositor de este periódico, ya que ha subido á bu</t>
  </si>
  <si>
    <t>Austríaco, General</t>
  </si>
  <si>
    <t>General Austríaco</t>
  </si>
  <si>
    <t>el domingo próximo, y que el lunes ó el martes partirá para Berlín. El Barón de St. Vincent, Mayor General Austríaco, fué admitido á una audiencia dei Emperador, á quien entregó una carta de su Soberano. S. M. ha nombrado Canónigos de S, Dionisio á los RR. Juigné, antiguo Arzobispo de Paris; Rol</t>
  </si>
  <si>
    <t>nto para restituirse á Madrid á residir como antes con el carácter de Embaxador de S. M. I. y R. El General Austríaco, Conde de Noslitz, no ha dexado impune el ultraje que le ha hecho el Príncipe Dolgorouká, acusándole públicamente y de oficio no haber cumplido con su deber en una acción en que l</t>
  </si>
  <si>
    <t>Austríaco, Príncipe</t>
  </si>
  <si>
    <t>Príncipe Austríaco</t>
  </si>
  <si>
    <t>políticas *, áhórá dicea qüe sé forníará Un nuevo Estado en las dos orillas del Mein, á favor de un Príncipe Austríaco ; que el tai Estado comprehenderá el Principado1 de Aschaífenburgo, el de Wurtzburgo, y la ciudad y PrThcipadó'de Mérgenthéim ;vqüe se denominará Electorado de Ffartconld; qué la</t>
  </si>
  <si>
    <t>Aute, Ventura</t>
  </si>
  <si>
    <t>Ventura Aute</t>
  </si>
  <si>
    <t>na D. Henrique Fawson y compañía, en Granada D. Juan Manuel García de Tejada y compañía, en Córdoba D. Ventura Aute, en Sevilla los Sres. D. Domingo y Justo Torrijos, y en Cádiz en la imprenta y librería de Pajares. Se halla vacante el partido de Médico de la villa de Malagon, en la Mancha baxa</t>
  </si>
  <si>
    <t>na D. Henrique Tawson y compañía, en Granada D. Juan Manuel García de Tejada y compañía, en Córdoba D. Ventura Aute, en Seviba los Señores D. Domingo y Justo Torrijos,-en Cádiz en la imprenta y librería de Pajares,, en Pamplona D. Vicente Urroz y Vera, Administrador gemraJ de ia Red Lotería, y</t>
  </si>
  <si>
    <t>Aventuras de Telémaco</t>
  </si>
  <si>
    <t>18 de abril de 1806</t>
  </si>
  <si>
    <t>ntenebro y compañía, calle de las Carretas, á 40 rs. en rústica y 5 2 en pasta. Aventuras de Telémaco, hijo de Ulises, por el limo. Sr. Fenelon, Arzobispo de Cambray: nueva traducción por D. Fernando Nicolás de Rebolleda. Hay tres ediciones, una en castellano solo, 2 tomos en 8.°, á 14</t>
  </si>
  <si>
    <t>Aviles, Máximo</t>
  </si>
  <si>
    <t>Máximo Aviles</t>
  </si>
  <si>
    <t>de Nicaragua á Capitán de granaderos al de fusileros D. Pablo Payan, y de fusileros á los Tenientes D. Máximo Aviles, de granaderos, y D. Ramón Arguello; á Teniente de granaderos al,de fusileros D. Joaquín Chamorro; y de fusileros á los Subtenientes D. Josef Corneiio Guerrero, de granaderos, D.</t>
  </si>
  <si>
    <t>Aymé</t>
  </si>
  <si>
    <t>rsión al castellano de la insigne obra intitulada los Fundamentos de la fe, que escribió en francés Mr. Aymé, Canónigo de la Iglesia de Arras, para instrucción de toda clase de personas, y principalmente para la juventud que está próxima á entraren el trato del mundo. En esta preciosa ob</t>
  </si>
  <si>
    <t>Aymerick, Ramón</t>
  </si>
  <si>
    <t>Ramón Aymerick</t>
  </si>
  <si>
    <t>de la Reyna Compañía al Teniente, graduado de Capitán, D. Josef Cevallos, y Tenencia al Subteniente D. Ramón Aymerick: en los de Ultonia, América y Extremadura Tenencias á los Subtenientes D. Pedro Sprackmans, Don Fausto de Chozas y D. Pedro Bernaldes: en el de la Princesa Subtenencia de bandera</t>
  </si>
  <si>
    <t>Ayudante del Duque de Berg, Capitán</t>
  </si>
  <si>
    <t>Capitán Ayudante del Duque de Berg</t>
  </si>
  <si>
    <t>eo de París con pliegos del General Knobelsdoríf.__ Ha salido para Dusseldorf! Mr, Preton- Premold, Capitán Ayudante del Duque de Berg. Dicen que ha traído encargo de solicitar una explicación acerca de los movimientos de las tropas Prusianas en Westfalia; y añaden que después de reiteradas instancias para ver á</t>
  </si>
  <si>
    <t>Ayudantía, Princesa</t>
  </si>
  <si>
    <t>Princesa Ayudantía</t>
  </si>
  <si>
    <t>ntería inmemorial del Rey al Cadete del de Reales Guardias WaJonas D« Carlos Wambiteli: en el de la Princesa Ayudantía al Teniente, graduado de Capitán , D. Eusebio de Villa: en el de Ultonia Subtenencia de bandera al Sargento primero distinguido D. Pedro Mellado: en el de Zaragoza Subtenencia de</t>
  </si>
  <si>
    <t>Azols, Simón</t>
  </si>
  <si>
    <t>Simón Azols</t>
  </si>
  <si>
    <t>Canongía de la Colegiata de S. Feliu, y por ascenso de D. Antonio Garrofa, á D. Josef Ros y Pía y á D. Simón Azols: para otro Beneficio, vacante en la Parroquia de País, Diócesi de Gerona, por muerte de D. Pedro Dalmau, á D. Josef Fr i gol a: para una Ración de la Colegial de Daroca, Diócesi d</t>
  </si>
  <si>
    <t>B las Serrano</t>
  </si>
  <si>
    <t>dias principian á correr desde el 7 del corriente, y que pasados no se admite ninguna que se haga. D. B las Serrano, Presbítero, residente en Alicante, construye toda especie de maquinitas acústicas para alivio de los sordos, asi de las extrangeras, como de las de propia industria, de la forma</t>
  </si>
  <si>
    <t>Ba, Príncipe</t>
  </si>
  <si>
    <t>Príncipe Ba</t>
  </si>
  <si>
    <t>En lo exterior se han hecho mil cumplimientos al Duque de Brunswick5 pero los Ministros jóvenes, el Príncipe Ba</t>
  </si>
  <si>
    <t>Baader</t>
  </si>
  <si>
    <t>concertadas entre ía Francia y la Prüsia. Quando pasó por aquí el Emperador Napoleón tuvo la honra Mr. Baader, Consejero de Dirección' provincial, de presentarle un plan relativo á la restauración de la famosa máquina de Mariy. S. M. nuestro Rey le ha concedido ahora licencia para ir á Pa</t>
  </si>
  <si>
    <t>de Baviera ha mandado á la Caxa central de Munich que pague al Consejero de la Dirección Provincial Mr. Baader too luises de gratificación, para manifestar á este excelente Físico su Real agrado por el modo con que ha ejecutado la obra del surtidor de agua en el Real Jardín de Nimphenburgo</t>
  </si>
  <si>
    <t>Bácher</t>
  </si>
  <si>
    <t>us Soberanos; áleMañía. Francfort 15 de Enérb. El 8 deí corriente se restituyó de Viena á Ratlsbouá Mr. Bácher, Encargado dé Negocios dé Ffáncia cerca de La Dieta general del Imperio----Vuelven á escribir de Berlín que se están amueblando de nuevo las piezas de la habitación de Federico el</t>
  </si>
  <si>
    <t>BacHer</t>
  </si>
  <si>
    <t>29 de agosto de 1806</t>
  </si>
  <si>
    <t>antes de la Confederación del Rhíri. El viernes i.° del corriente pasó á la Dieta la Nota siguiente Mr. BacHer, Encargado de Negocios de Francia: „E1 infrascrito, Encargado de Negocios de S. M. el Emperador de los Franceses y Rey de Italia cerca de la Dieta general del Imperio Germánico, t</t>
  </si>
  <si>
    <t>Bacher</t>
  </si>
  <si>
    <t>ente saldrá para AschaíFenburgo, desde donde se trasladará á Francfort. Muy en breve saldrá de aquí Mr. Bacher, Encargado de Negocios de; .Francia. ... .</t>
  </si>
  <si>
    <t>Bachiller, Gabriel</t>
  </si>
  <si>
    <t>Gabriel Bachiller</t>
  </si>
  <si>
    <t>21 de octubre de 1806</t>
  </si>
  <si>
    <t>imiento de infantería de Puebla en Nueva,España se ha servido el Rey promover á Capitán al Ayudante D. Gabriel Bachiller; á Ayudante al Teniente de granaderosD. Francisco Perez; á Teniente de granaderos al de fusileros D. Manuel Bonilla; á Teniente al Subteniente D. Tomas Sangran , y á Subtenientes</t>
  </si>
  <si>
    <t>Badio</t>
  </si>
  <si>
    <t>key á 600 millas de Baltimore , donde establecerán un Colegio con grande satisfacción del excelente Mr. Badio, el único Misionero que existe allí.” Sabemos por cartas posteriores que los PP. Dominicos han sido recibidos con grande ansia por aquellos habitantes. Es de esperar del zelo de e</t>
  </si>
  <si>
    <t>Baena, Francisco Gerónimo</t>
  </si>
  <si>
    <t>Francisco Gerónimo Baena</t>
  </si>
  <si>
    <t>dichas tierras acuda á la oficina de la comisión, calle de Bordadores, núm. i.9 Por providencia de D. Francisco Gerónimo Baena, Comisionado Real para la venta de bienes eclesiásticos en la Diócesi de Plasencia, se sacan á pública subasta dos partes de la dehesa de labor y pasto nominada de Quadrílleros, d</t>
  </si>
  <si>
    <t>Baez, Diego</t>
  </si>
  <si>
    <t>Diego Baez</t>
  </si>
  <si>
    <t>ballería de Castro, en el Reyno del Perú, se ha servido el Rey promover á Capitanes á los Tenientes D. Diego Baez, D. Alberto Vidal, D. Segundo Soto y D. Alberto de Cárdenas; á Teniente de granaderos al de fusileros D. Francisco Velazquez, y á Tenientes de fusileros á los Subtenientes D. Laur</t>
  </si>
  <si>
    <t>Bahamonde y Sessé, Francisco</t>
  </si>
  <si>
    <t>Francisco Bahamonde y Sessé</t>
  </si>
  <si>
    <t>niñas. Pronunció D. Joaquín Fusell el elogio que se le había encargado formar á la buena memoria de D. Francisco Bahamonde y Sessé, Vice-Censor que fué de la Real Sociedad, y sugeto digno de colocarse entre los célebres literatos del siglo: y se concluyó leyendo D. Domingo Baquer una canción sobre las mejoras</t>
  </si>
  <si>
    <t>Bahamonde, Manuel</t>
  </si>
  <si>
    <t>Manuel Bahamonde</t>
  </si>
  <si>
    <t>ón al Sargento primero D. Domingo Pascual; y en el de Húsares Españoles empleo de Alférez al Cadete D. Manuel Bahamonde. En América. S. M. se ha servido nombrar para una Canongía de la Catedral de Córdoba del Tucuman, vacante por ascenso de D. Francisco de Mendizabal á la Dignidad de Chantre de la</t>
  </si>
  <si>
    <t>Bails, Benito</t>
  </si>
  <si>
    <t>Benito Bails</t>
  </si>
  <si>
    <t>erencial é integral, y se les premió con igual número de exemplares del Compendio de Matemáticas de D. Benito Bails. El último fue examinado de Mecánica é Hidráulica, y premiado con el Examen marítimo de D. Jorge Juan, y una medalla de plata. Todos satisfaciéron completamente á las diversas pre</t>
  </si>
  <si>
    <t>Baird, General</t>
  </si>
  <si>
    <t>General Baird</t>
  </si>
  <si>
    <t>25 de marzo de 1806</t>
  </si>
  <si>
    <t>o á él mas decididamente con sil conducta. Adviértase que el t de Njpolcs y los Rusos creían que el General Baird debía combinarse ci n ellos.</t>
  </si>
  <si>
    <t>Baldini Director del Gabinete</t>
  </si>
  <si>
    <t>lis ha sido nombrado Ministro, Gefe del Departamento de-la Bohemia, en lugar del Conde de Ugarte; y Mr. Baldini Director del Gabinete. — El Príncipe de Auesperg se halla arrestado en la fortaleza de Teresienstatt, en Bohemia, y su plaza de Comandante de la guardia del Emperador ha sido conferida al Príncipe de L</t>
  </si>
  <si>
    <t>Baldomero Moraleda</t>
  </si>
  <si>
    <t>ón en vales Reales. Quien quisiere hacer alguna mejora acuda ante dicho Señor, por la escribanía de D. Baldomero Moraleda. „ « Se venden tres casas sitas en esta Corte, una en la calle del Mesón de 1 anos, HÚm. 37, manz 41.8, tasada en 139,003 rs. *. otra en la plazuela de Stnto Domingo, núm. 2, manz</t>
  </si>
  <si>
    <t>Ballesteros, Antonio</t>
  </si>
  <si>
    <t>Antonio Ballesteros</t>
  </si>
  <si>
    <t>e Aluche, por el de los tendederos del puente de Segovia: quien quisiere tratar de ajuste acudirá a D. Antonio Ballesteros, calle angosta de S. Bernardo, núm. 36, quarto principal. Se halla vacante el partido de Médico titular de la villa de Algete , provincia de Madrid: su dotación es de 7,400 rs , c</t>
  </si>
  <si>
    <t>lo Ruiz de la Bastida y D. Francisco de Asas. El Rey se hai.servidof conceder á su Ayuda de. Cámara D. Antonio Ballesteros agregación de Capitán en el Regimiento de Milicias Provinciales de Toledo. S. M. se ha servido conferir la Tenencia Coronela del Regimiento de Caballería del Infante, al Teniente</t>
  </si>
  <si>
    <t>Baltar y Acedo, Francisco</t>
  </si>
  <si>
    <t>Francisco Baltar y Acedo</t>
  </si>
  <si>
    <t>, vacante por promoción de D. Josef de Guevara Vasconcelos á Canongía de la Catedral de Zaragoza, á D. Francisco Baltar y Acedo : para el Beneficio simple de Bascones, en la Diócesi de Palencia, vacante por promoción de D. Gaspar Beltran á Capellanía de aquella Catedral: para el Préstamo de la Parroquia de</t>
  </si>
  <si>
    <t>Baltasar</t>
  </si>
  <si>
    <t>as, piletas y demas que le pertenece, en 22,485 rs. en venta, y ii8o en renta. Obra pia fundada por D. Baltasar. Lazarraga. Dos pedazos de tierra compuestos como de 21 fanegas en el sitio del Hornillo, 4 500 rs. cada fanega, en 10,500 rs. en venta, y 720 en renta. Memoria de misas fundada p</t>
  </si>
  <si>
    <t>Baltasar Araujo</t>
  </si>
  <si>
    <t>S. M. se ha servido conceder en el Regimiento de infantería de la Princesa Tenencia al Subteniente D. Baltasar Araujo; y en el de Voluntarios de la Corona Subtenencia de bandera al Cadete D. Francisco Pantoja.</t>
  </si>
  <si>
    <t>Baltasar de Lazaeta y Zúñiga</t>
  </si>
  <si>
    <t>Cura de la Parroquia del Real Palacio: para la Ración vacante en la de Avila, por fallecimiento de D. Baltasar de Lazaeta y Zúñiga, á D. Gabriel Crespo González, Presbítero: para otra vacante en la de Granada, por muerteMe D. Juan Alonso Burrueso, á D. Josef María de Xerez, Cura de la Parroquial de Sta. Escol</t>
  </si>
  <si>
    <t>Baltasar del Corral'</t>
  </si>
  <si>
    <t>er Ayudantía al Teniente D. Antonio Caráza: Teneiicia^en'los dél Príncipe y Montesa á los Alféreces D. Baltasar del Corral' y/IX Juan Herrera: en el de dragones de Villaviciosa Ayudantía al Teniente. D.^Migud Rodríguez, y empleo de Teniente en el mismo Cuerpo al Alférez D. Josef. Molina. . # En atención</t>
  </si>
  <si>
    <t>Baltasar Fernández</t>
  </si>
  <si>
    <t>1 de agosto de 1806</t>
  </si>
  <si>
    <t>a resulta al Alférez D. Josef Blanco: en el de Bembón empleo de Portaestandarte al Sargento primero D, Baltasar Fernandez: en el de Santiago empleo de Alférez al Portaestandarte D. Josef Ximenez; y en el de cazadores de Olivencia empleo de Alférez al Cadete D. Joaquín Gómez. El Real cuerpo de Capella</t>
  </si>
  <si>
    <t>Baltasar García</t>
  </si>
  <si>
    <t>guo de las fundadas en el mismo Real Monasterio por el Sr. D. Carlos 111; y para la que este dexa á D. Baltasar García, Presbítero, Sacristán segundo de dicho Monasterio. Rey se ha servido conceder Subtenencias de bandera en el Regimiento de infantería de América al Sargento primero D. Mariano Esp</t>
  </si>
  <si>
    <t>Baltasar Santos Maidonado</t>
  </si>
  <si>
    <t>ería de esta ciudad; y para una plaza de Agente de los del número de Indias, vacante por ascenso dé D. Baltasar Santos Maidonado, á D. Matías Bazo Ibañez, El lunes 16 del presente mes de Junio habrá un eclipse visible de so!. La conjunción ó luna nueva se verificará en Madrid á las 4 horr 5 min. y</t>
  </si>
  <si>
    <t>Baltasar Santos Maldonado</t>
  </si>
  <si>
    <t>l segundo; declarando al mismo tiempo los ascensos á los demas, y confiriendo la última de número á D. Baltasar Santos Maldonado. D. Ramón Antonio Moreno, del comercio de Guadalaxara, remitió por el</t>
  </si>
  <si>
    <t>Bañares</t>
  </si>
  <si>
    <t>mas instruidos de Madrid, que en los Colegios de Farmacia se enseñe exclusivamente por la obra del Dr. Bañares, sirviendo de texto y manual diario á los profesores y alumnos. Se hallará en la droguería:de los Sres. Peña yAramburu, &lt;calle Imperial, junto á la cárcel de Corte. i ; • . ; ? Én</t>
  </si>
  <si>
    <t>Banks</t>
  </si>
  <si>
    <t>25 de abril de 1806</t>
  </si>
  <si>
    <t>pero no se satisfacía al público,.porque parecería se transigía con el acusado.... - ; r: &gt; ¡v ,.v Mr. Banks dixo qiie léjos dé autorizarse con ^el ¡exemplar de la causa de Mr. Hastings, debía mirarse como un preservativo, para lo venidero ; pues aquella causa fue un borron para JaiOámar</t>
  </si>
  <si>
    <t>Bannigzen, General</t>
  </si>
  <si>
    <t>General Bannigzen</t>
  </si>
  <si>
    <t>nueva posición en los alrededores de .Austerlitz, y que se había reunido el dia 5 con el cuerpo del General Bannigzen, baxo las órdenes del General D’Essen: luego vuelve á hablar de la jornada del 2 , y refiere unas particularidades que nadie ha presenciado ni sabido, sin duda con la mira de prob</t>
  </si>
  <si>
    <t>Bantzen</t>
  </si>
  <si>
    <t>arón de Dalberg, Ministro plenipotenciario del Elector de Badén, al Barón de Heynaii y á Mr. Groos. Mr. Bantzen, Ministro plenipotenciario de la República Bátava, al Almirante Verhuel, Ministro de la Marina, á Mr. de Zuylen de Nyevell, y á Mr. de Brugmans. Mr. de Cetto, Ministro del Rey de</t>
  </si>
  <si>
    <t>Baptista Duc, Juan</t>
  </si>
  <si>
    <t>Juan Baptista Duc</t>
  </si>
  <si>
    <t>D. Josef Escher y ai Teniente de granaderos D. Francisco de Preux, y estas resultas á los Tenientes D. Juan Baptista Duc y D. Mauricio Zenkfusen: en el de Wimpífen Subtenencia de bandera al Cadete D. Fidel Spieler; y en el de Traxler Subtenencia de granaderos al Subteniente de fusileros D. Basilio Chich</t>
  </si>
  <si>
    <t>Baquer, Domingo</t>
  </si>
  <si>
    <t>Domingo Baquer</t>
  </si>
  <si>
    <t>Sociedad, y sugeto digno de colocarse entre los célebres literatos del siglo: y se concluyó leyendo D. Domingo Baquer una canción sobre las mejoras que el comercio , la agricultura y las artes tendrán con la paz futura. Madrid j de Enero de i8o6~. , Los Reyes y Principes nuestros Señores y demas</t>
  </si>
  <si>
    <t>Bar, General</t>
  </si>
  <si>
    <t>General Bar</t>
  </si>
  <si>
    <t>ba He que .el dominio de la Prusia en el IlanÁ. nóver no es mas que una palabra, es la comisión del General Bar bou , cu-¡ yo objeto es evidente, el de vigilar y dirigir los Ministros Prusianos...../La Francia trata á la Prusia con la poca ceremonia que se merece. . - .■ j „ ¿Y no es en efe</t>
  </si>
  <si>
    <t>Barba, Manuel</t>
  </si>
  <si>
    <t>Manuel Barba</t>
  </si>
  <si>
    <t>* Domingo de los Santos, D. Marías Cruz, D. Josef Valenzueta, D. Cándido Turit, D* Nicolás Dehesa y D. Manuel Barba* El Rey nuestro Señor, á consulta del Supremo Consejo de Castilla de 5 de Octubre de 1806, se ha dignado conceder licencia y facultad á la villa de laMinglanilla , ea el Obispada</t>
  </si>
  <si>
    <t>Barbe-Marbois</t>
  </si>
  <si>
    <t>ha nombrado al Consejero de Estado Mollien para el empleo de Ministro del Tesoro público, que tenia Mr. Barbe-Marbois, quien prestó el juramento de fidelidad en manos de S. M. El 29 hubo audiencia extraordinaria en las Tullerías, en que los Generales que se encuentran en París, el Tribunal crimin</t>
  </si>
  <si>
    <t>Barbou, General</t>
  </si>
  <si>
    <t>General Barbou</t>
  </si>
  <si>
    <t>de Tolstoy ha recibido el dia 11 un correo de su Soberano, y lo ha despachado al dia siguiente. El General Barbou, Comandante de Hameln, ha mandado apresar en el Weser un barco Ruso cargado de géneros en represalia de la confiscación que han hecho los Rusos de algunos carros Eranceses. ’ S; M</t>
  </si>
  <si>
    <t>e que se lleven de territorio Hannoveriano las cosas necesarias, por medio de la persona á quien el General Barbou dirigirá la nota de lo que se necesite para su consumo ordinario, y que proveerá el. Ministerio Hannoveriano á requisición de la persona destinada á este efecto; pero el General B</t>
  </si>
  <si>
    <t>Barcenas, Manuel</t>
  </si>
  <si>
    <t>Manuel Barcenas</t>
  </si>
  <si>
    <t>tanes á los Tenientes Don Antonio ElejaldeyD. Francisco Zalduajy á Subteniente de bandera al Cadete D. Manuel Barcenas. En el Regimiento de Milicias urbanas de caballería de Castro, en el Reyno del Perú, se ha servido el Rey promover á Capitanes á los Tenientes D. Diego Baez, D. Alberto Vidal, D.</t>
  </si>
  <si>
    <t>Bariow, Jorge</t>
  </si>
  <si>
    <t>Jorge Bariow</t>
  </si>
  <si>
    <t>a Compañía de la India pliegos venidos por la via de tierra: contienen los documentos remitidos por Sir Jorge Bariow, relativos al plan de pacificación propuesto por el Marques de Cornwallis,’ y á los medios de execucion. Con este motivo se juntaron inmediatamente ios Directores. Por la misma vi</t>
  </si>
  <si>
    <t>Barker</t>
  </si>
  <si>
    <t>ignora si Mr. d’Ou-, bril vendrá en seguida áParis, ó si permanecerá algún tiempo en'Strasburgo. ■ Mr. Barker, Teniente de la marina Inglesa, prisionero en Verdun, enfermo de tercianas hace bastante tiempo, ocupa una habitación que cae sobre el Mosa. En el momento en que luchaba hace poco</t>
  </si>
  <si>
    <t>Barlow</t>
  </si>
  <si>
    <t>r el comercio y él poder Británico en aquellas regiones no puede ménos de concluirse felizmente por Mr. Barlow, quien tanto por afecto á su Príncipe, como por respeto á la memoria de su ilustre predecesor, á quien así lo ha prometido, seguirá el mismo pían de gobierno. Es probable que la e</t>
  </si>
  <si>
    <t>Barlow, Jorge</t>
  </si>
  <si>
    <t>Jorge Barlow</t>
  </si>
  <si>
    <t>egún dicen Mr. Fox ha propuesto al Rey confirmar , en el empleo de Gobernador general de la India á Sir Jorge Barlow, encargado interinamente de el por el Marques de Cornwaliis, apoyando esta propuesta con razones muy poderosas. Con este nombramiento se satisface el último deseo de un fiel súbdi</t>
  </si>
  <si>
    <t>ta Compañía , no podin S. M. hacer cosa mas conveniente a los intereses de la nación, que retirar á Sir Jorge Barlow, cuyo genio fácil habia sabido acomodarse al sistema del Marques de Wellesiey, y adoptar igualmente las ideas de su sucesor..?. Veremos si los Directores accederán á la recomendac</t>
  </si>
  <si>
    <t>egar de la India, se ha recibido la noticia de haberse ajustado paces con el Scindiah y con Holkar; Sir Jorge Barlow ha vuelto á Caicutta el 5 de Febrero, terminadas estas dos negociaciones. Témese que léjos de producir este tratado una larga paz, dé lugar á nuevas guerras, dexandó á nuestro Gob</t>
  </si>
  <si>
    <t>ría ciertas preguntas á un noble Lord acerca de las últimas resoluciones del Gobierno respecto-; de Sir Jorge Barlow. Añadió que en vista de la respuesta que le diese, quizás se determinaria á hacer una propuesta sobré el particular. Ei mismo dia el Procurador general, pidió én. la Cámara de los</t>
  </si>
  <si>
    <t>5 de agosto de 1806</t>
  </si>
  <si>
    <t>dichos Directores acababan de desechar con plena libertad él que se les había propuesto. Añadió que Sir Jorge Barlow no había sido nombrado sino interinamente: elogió su conducta y la del Marques de YVellesLey, y se opuso á la comunicación de los. documentos que pedia Lord Meiville. Los Lores Há</t>
  </si>
  <si>
    <t>Bároit de Albiní</t>
  </si>
  <si>
    <t>$. ■:•A'- ?j ua 7 En la;sesión:que hoy ha celebrado la Dieta lia dgdonpuenta el Bároit de Albiní, Ministro Directoría!, de las reclamaciones de-ílaJOrden Teutdnica9 y de la de S. Juan de Jerusaleri,’y del Cantón de' la; Orden: E^iiessrre: del líraichgau, contra los procedimientos del G</t>
  </si>
  <si>
    <t>Barón de Armendariz, Coronel</t>
  </si>
  <si>
    <t>Coronel Barón de Armendariz</t>
  </si>
  <si>
    <t>ristóbal Blasco. También se ha servido el Rey conferir el Regimiento de dragones de Villaviciosa al Coronel Barón de Armendariz, Teniente Coronel del de dragones del Rey; y en el de Sagunto la Sargentía mayor al Teniente Coronel D. Josef San Juan, Capitán del de Pavía. D. Miguel Murtra, vecino de esta Cort</t>
  </si>
  <si>
    <t>Barón de Krusemark, Coronel</t>
  </si>
  <si>
    <t>Coronel Barón de Krusemark</t>
  </si>
  <si>
    <t>las posiciones de los exércitos aliados en la Saxonia Baxa; y en conseqíiencia despachó al Teniente Coronel Barón de Krusemark con una carta para el Gobierno Hannoveriano, á efecto de abastecer la guarnición Francesa dé Hameln. &lt; ,,Era necesario entrar en este convenio (el qual no se concluyó interinament</t>
  </si>
  <si>
    <t>Barón de Mack, Mariscal</t>
  </si>
  <si>
    <t>Mariscal Barón de Mack</t>
  </si>
  <si>
    <t>tado. El General Mack ha publicado en algunos periódicos la apología qué sigue: „ El Teniente Feld- Mariscal Barón de Mack se ve en la precisión declarar por las presentes, que en ningún tiempo ha procurado insertar en</t>
  </si>
  <si>
    <t>Barón de VVrede, General</t>
  </si>
  <si>
    <t>General Barón de VVrede</t>
  </si>
  <si>
    <t>á reuniendo el cuerpo de tropas Bávaras, que ha de hacer parte del exército de la Confederación; el General Barón de VVrede es quien ha de mandarlo. Las tropas que había en Ulma, y la mayor parte de la guarnición de Munich van caminando á Eichstett. Los Estados de Baviera han acordado levantar otros dos</t>
  </si>
  <si>
    <t>Barrafon, Domingo</t>
  </si>
  <si>
    <t>Domingo Barrafon</t>
  </si>
  <si>
    <t>impedir las repentinas variaciones de sús precios, es la libertad absoluta en su comercio interno: D. Domingo Barrafon, de primero, las aduanas interiores retardan la libre circulación de la industria; y aumentan los precios de los efectos, sin añadirles ningún valor? D. Manuel Cortes, de segundo,</t>
  </si>
  <si>
    <t>Barral</t>
  </si>
  <si>
    <t>te de las guardias de á caballo; Mr. Petiet, Intendente del exército grande y Consejero de Estado ; Mr. Barral, Arzobispo de Tolosa; Mr. Faletti-Barolle , Presidente de la Academia de Turin, y uno de los mas ricos propietarios del otro lado de los Alpes; Mr. de A remberg, Grande propietari</t>
  </si>
  <si>
    <t>Barraycta, Francisco</t>
  </si>
  <si>
    <t>Francisco Barraycta</t>
  </si>
  <si>
    <t>ido en pena alguna dé ordenanza por motivo grave ni leve, le ganaron el Caballero Seminarista mayor D. Francisco Barraycta: los gefes ae sala D. Alonso Alvarado, D. Manuel Fernandez, D. Sebastian Gorvea y D. Ramón de Zuloaga: los gefes de trozo D. Pedro Tavira, D. Manuel Ferrando, D. Josef de Castro,</t>
  </si>
  <si>
    <t>Barrayena, Francisco</t>
  </si>
  <si>
    <t>Francisco Barrayena</t>
  </si>
  <si>
    <t>ido en pena alguna de ordenanza por motivo grave ni leve, lo ganaron el Caballero Seminarista mayor D. Francisco Barrayena, Cadete . del Regimiento de infantería de Toledo: los Gefes de sala D. Alonso Alvarado, D. Sebastian Gorvea, D. Ramón de Zuloaga, D. Ramón Carrillo y D. Manuel Fernandez: los Gefe</t>
  </si>
  <si>
    <t>Barrencchea, Ignacio</t>
  </si>
  <si>
    <t>Ignacio Barrencchea</t>
  </si>
  <si>
    <t>Llaguno, D. Fernando Romero de Leis, en unión de D. Francisco Sánchez Ruiz, D. Juan Antonio Yudicí, D. Ignacio Barrencchea, D. Francisco Arispfc* y qualquier otro de la villa de Bilbao que tengan créditos contra dichos Señores, los presenten, en el término de 30 dias contados desde el 25 de Junio, en</t>
  </si>
  <si>
    <t>Barrio, Domingo</t>
  </si>
  <si>
    <t>Domingo Barrio</t>
  </si>
  <si>
    <t>la de Blas Muñoz, en 1246'Ts.: otra de lá de Bartolomé Benita, en'140 rs.; y otras 2 de la del Lie. D. Domingo Barrio, en 1561 rs. 16 mrs. Quien quisiere hacer postura á qualquiera de ellas, acuda, dentro del término de 30 días contados desde el</t>
  </si>
  <si>
    <t>Barros, Nicolás</t>
  </si>
  <si>
    <t>Nicolás Barros</t>
  </si>
  <si>
    <t>24 de diciembre de 1806</t>
  </si>
  <si>
    <t>105 (extraord.)</t>
  </si>
  <si>
    <t>dores Voluntarios Me* infantería del Río «Hacha se ha dignado el Rey promover á Capitán ai Teniente D. Nicolás Barros. EN LA IMPRENTA REAL.</t>
  </si>
  <si>
    <t>Bas, Vicente</t>
  </si>
  <si>
    <t>Vicente Bas</t>
  </si>
  <si>
    <t>da, D. Josef Silvan, D. Pablo Ferrando, D.AIexandro Lagoa, D. Eugenio de Zuloaga, D. Josef Bassóco, D. Vicente Bas$óco,D. Matías de la Torre, D. Joaquín Ossés, D. Gerónimo Maza, D. Juan Maza, Don Bernabé de Otálora, D. Juan de Mazarredo, D. Cárlos Van-Zoelen y Don Sebastian Fernandez Navarrete</t>
  </si>
  <si>
    <t>Basart, Ramón</t>
  </si>
  <si>
    <t>Ramón Basart</t>
  </si>
  <si>
    <t>de Santa Ana de Barcelona, vacante por promoción de D. Josef Espitios á otra de aquella Catedral, á D. Ramón Basart: para un Beneficio de la Parroquia de Cardedeu, Diócesi de Barcelona , vacante por promoción de D. Francisco Roquer al Curato de Valcarcara en aquella Diócesi, á D. Melchor Ferran</t>
  </si>
  <si>
    <t>Basifico</t>
  </si>
  <si>
    <t>uartilio. Han dado motivo á esto los infinitos correos que se envían los Gobiernos Francés^ Ingles. Mr. Basifico, que estaba al servicio de Mr. Fox; y qué le estima mucho, ha sido despachado á París; Es cierto que por ambas partes se procura entrar en negociación. Muchos se lisonjean que la</t>
  </si>
  <si>
    <t>Basílíco</t>
  </si>
  <si>
    <t>mpaciencia dél público acerca de la pazo de la guerra; pero podemos decir que antes de Ja salida de Mr. Basílíco se había sabido en París la resolticion del ¿Emperador ¡sobre ieL jtratadso^apift^dq.pqrr Mr. d’Oubi il; y por quanto no esperábamos aquí áqu^.este correo., sábese .de -París ante</t>
  </si>
  <si>
    <t>Basiliéff, Conde</t>
  </si>
  <si>
    <t>Conde Basiliéff</t>
  </si>
  <si>
    <t>, el Conde Zavadofsky; substituto, el Consejero privado Mouravietf. 5.0 Un Ministro de Hacienda, el Conde Basiliéff; substituto, el Con* sejero privado GoloubzofF. 6.® Un Ministro del Comercio, el Conde RomántzofF. 7.0 Un Ministro de las fuerzas de tierra, el General de infantería Voesmitinoff.</t>
  </si>
  <si>
    <t>Basiliso Vázquez</t>
  </si>
  <si>
    <t>ervido conceder Tenencia en el Regimiento de infantería de Guadalaxara al Subteniente de granaderos D. Basiliso Vázquez; y Sub</t>
  </si>
  <si>
    <t>Bátavo Kilkert, Almirante</t>
  </si>
  <si>
    <t>Almirante Bátavo Kilkert</t>
  </si>
  <si>
    <t>ecido. Otros dos transportes han dado en la costa cerca del Helder y del Texel. En esta ocasión el, Almirante Bátavo Kilkert ha mostrado su humanidad enviando varías embarcaciones para recoger los náufragos. Los Oficiales han quedado prisioneros baxo su palabra; y los soldados se han conducido á las cár</t>
  </si>
  <si>
    <t>Bátavo Mr, Teniente General</t>
  </si>
  <si>
    <t>Teniente General Bátavo Mr</t>
  </si>
  <si>
    <t>tomado ya posesión, en su ultima calidad, del-* Gobierno del Haya, que hasta entonces lo ocupaba el Teniente General Bátavo Mr. Bruce. El nuevo Gobernador asistió ayer mañana en la llanura de Waasdorp á las maniobras de las tropas escogidas Francesas, que han formado un campamento de recreo en el bosque d</t>
  </si>
  <si>
    <t>Batlla, Juan</t>
  </si>
  <si>
    <t>Juan Batlla</t>
  </si>
  <si>
    <t>egarlos en Madrid al mismo D. Miguel Murtra; en Zaragoza á D Gaspar de Villarroya, y en Earcelona á D. Juan Batlla. El remate de la casa sita en la calle del Caballero de Gracia, que vuelve á la de S. Miguel y plazuela que llaman de la Paja, núm. 1, manz. 295,-tasada en 4.: 5,191 rs., se ha ve</t>
  </si>
  <si>
    <t>Batteux</t>
  </si>
  <si>
    <t>s dos terceras partes de ella. Principios filosóficos de la literatura, obra escrita en francés por Mr. Batteux, de la Academia Francesa, traducida, ilustrada y completada con varios suplementos , y los correspondientes apéndices sobre la literatura Española, por D. Agustín Arrícta, de ia B</t>
  </si>
  <si>
    <t>Baturin, Coronel</t>
  </si>
  <si>
    <t>Coronel Baturin</t>
  </si>
  <si>
    <t>eve los 18® Rusos que había en Nápoles___Han regresado de Corfú á Odessa el General Muronitzow y el Coronel Baturin. S. M. ha nombrado al Archiduque Luis Director general de los distritos situados en las fronteras militares de la Hungría y de la Transilvania, y General en gefe de todos los Regi</t>
  </si>
  <si>
    <t>Baudilio Valls</t>
  </si>
  <si>
    <t>cio residencial dé la ParroquiadeS. Justo y Pastor de la ciudad de Barcelona, vacante por muerte dé D. Baudilio Valls, á D. Josef Torres y de Amat. En el Regimiento fixo de Ceuta se ha servido S. M. conceder Subtenem cia de bandera al Sargento, graduado de Subteniente, .D. Josef Orozco: en el de</t>
  </si>
  <si>
    <t>Baulera de Arriara, Juan</t>
  </si>
  <si>
    <t>Juan Baulera de Arriara</t>
  </si>
  <si>
    <t>ión. Oda al combate de ■Cabo Trafalgar en honor de los marinos Españoles que se halláton en él, por D. Juan Baulera de Arriara. Se hallará á 2 rs. en la librería de Cotillo, frente a las gradas de S. Felipe. 7?r EN LA IMPRENTA REAL.</t>
  </si>
  <si>
    <t>Baumes</t>
  </si>
  <si>
    <t>de Medicina de París sobre la presente memoria, y sobre el sistema químico-médico publicado por el Doctor Baumes, profesor de Medicina «n la escuela de Mompeiler: todo lo que forma un cuerpo de doctrina muy interesante, a fin de evitar los perjuicios que en la práctica de la medicina han ríe</t>
  </si>
  <si>
    <t>Bausá, Pedro</t>
  </si>
  <si>
    <t>Pedro Bausá</t>
  </si>
  <si>
    <t>dron al Capitán D. Sebastian Ribero; á Capitán al Teniente D. Francisco Ruiz; á Teniente al Alférez D. Pedro Bausá^á Alférez al Portaestandarte D. Estanislao Rodríguez, y á Portaestandarte al Cadete D. Adrián Medina. Observación del eclipse de Sol el dia 16 de Junio de i8o(f en algunos pueblqs</t>
  </si>
  <si>
    <t>Bauza, Felipe</t>
  </si>
  <si>
    <t>Felipe Bauza</t>
  </si>
  <si>
    <t>y conclusión de la longitud de ellos por varios Oficiales de la Re¿il Armada. El Teniente de Navio D. Felipe Bauza en el Depósito hidrográfico de esta Corte &gt; calle de Alcalá, observó ambas fases de este eclipse con ur</t>
  </si>
  <si>
    <t>en la parte literaria la observación del eclipse de sol el dia 16 de Junio por el Teniente de Navio D. Felipe Bauza.' Quien supiere el paradero de un Vale de 150.pesos con el número 295,231, que se extravió en el correo de 11 de Febrero del presente año, baxo el endoso de D. Pedro Berzabal, Pre</t>
  </si>
  <si>
    <t>Bávaro, Príncipe</t>
  </si>
  <si>
    <t>Príncipe Bávaro</t>
  </si>
  <si>
    <t>Dignidad Conú&gt; los Estados qüe le son anexos ; seránen adelante uh heredamiento* ú alimentos de un Príncipe Bávaro; del modo lúismo que la dirección de las Ordeñes Teutónica y de Malta reunidas lo serán de un Príncipe de la Casa de Austria. 5 No parán aquí las conjeturas de los políticos: habl</t>
  </si>
  <si>
    <t>Bawduin</t>
  </si>
  <si>
    <t>ballero Lcrrea; El General Armstrong, Ministro plenipotenciario de los Estados-Unidos dé América, á Mr. Bawduin, Ministró plenipotenciario de los Estados-Unidos cerca de S. M. el Rey de España. Mr. de Maillardoz, Enviado extraordinario de la Confederación Suiza, á Mr. deTscIiann, Secretario</t>
  </si>
  <si>
    <t>Bay, Agustín</t>
  </si>
  <si>
    <t>Agustín Bay</t>
  </si>
  <si>
    <t>l Subteniente D. Josef Richenbach; y en el de Preux á Subtenientes de granaderos á los de fusileros D. Agustín Bay y D. Federico Quartery. £n América. S. M. se ha servido nombrar para el empleo de Oficial Real Tesorero de las caxas de Sonsonate á D. Bernardo Domínguez, electo para el de Contador d</t>
  </si>
  <si>
    <t>Bayle Obregonv, Agustín</t>
  </si>
  <si>
    <t>Agustín Bayle Obregonv</t>
  </si>
  <si>
    <t>da al Señor D. Diego Colon y Sierra, en su feii-z enlace con la Sra. Doña María Golfín y Casas, por D. Agustín Bayle Obregonv; perfecciones de Dorila,anacreóntica; distribución de premios en la ciudad .de Tarod dia 31 de Agosto;, noticia de un célebre comiJon Romano, llamado Apicio; noticia Mé un alheyta</t>
  </si>
  <si>
    <t>Bayle y Obregon, Juan</t>
  </si>
  <si>
    <t>Juan Bayle y Obregon</t>
  </si>
  <si>
    <t>16 de septiembre de 1806</t>
  </si>
  <si>
    <t>lde mayor de la villa del Bonillo á D. Juan Peña Medrano; y para la de la Isla de la Gran Canaria á D. Juan Bayle y Obregon» En América. El Rey se ha servido nombrar para el Arcedianato de la Catedral del Cuzco á D. Mariano Paz y Pozo: para la Chantría á D. Patricio Gabriel Melendez : para la Tesorería</t>
  </si>
  <si>
    <t>Bazancourt, Coronel</t>
  </si>
  <si>
    <t>Coronel Bazancourt</t>
  </si>
  <si>
    <t>los corrillos que hagan. Por otro lado se avisa á los habitantes que el Senado ha arreglado con ei Coronel Bazancourt, Comandante de la plaza por el Emperador Napoleón, lo que se ha de dar á cada soldado Francés, y es: de almuerzo, pan y un vaso de aguardiente; á la comida, sopa, media libra de c</t>
  </si>
  <si>
    <t>Bazo Ibáñez, Matías</t>
  </si>
  <si>
    <t>Matías Bazo Ibáñez</t>
  </si>
  <si>
    <t>plaza de Agente de los del número de Indias, vacante por ascenso dé D. Baltasar Santos Maidonado, á D. Matías Bazo Ibañez, El lunes 16 del presente mes de Junio habrá un eclipse visible de so!. La conjunción ó luna nueva se verificará en Madrid á las 4 horr 5 min. y</t>
  </si>
  <si>
    <t>Bazzony, Carlos</t>
  </si>
  <si>
    <t>Carlos Bazzony</t>
  </si>
  <si>
    <t>ines á Mr. Mougnat, Conde de Poully, Comandante de la expedición; título de Consejero de Comercio á D. Carlos Bazzony, Cónsul Imperial y Real en Barcelona &amp;c. ^ GRAN BRETAÑA. ' Londres $ de Noviembre. En un Consejo celebrado á presencia del Rey, aprobó S. M. la proclama por la qnal se disuelve el</t>
  </si>
  <si>
    <t>Beato, Jorge</t>
  </si>
  <si>
    <t>Jorge Beato</t>
  </si>
  <si>
    <t>as, ó mejora á las ya hechas, comparezca en la escribanía de la referida Comisión Regia, que exerce D. Jorge Beato. Por piovidencia de D. Francisco Tarrago y Riquelme, Juez Comisionado Regio para la venta de bienes eclesiásticos, y especial de la Comisión gubernativa del Consejo para la enagen</t>
  </si>
  <si>
    <t>ieré nacer postura á todas ó cada una de dichas casas comparezca en la escribanía Regía# que exerce D. Jorge Beato; con la prevención que su remate está señalado para ci día 20 en las casas consistoriales de la plaza mayor. Quien quisiere hacer postura á los enseres de un lavadero existente en</t>
  </si>
  <si>
    <t>re hacer postura á tedas ó cada una de dichas,casas acuda ata escribanía de la comisión, que exerce D. Jorge Beato; con la prevención de que su remate está señalado para el dia 6 del próximo mes de Octubre, á las once de su mañana, en Las Casas consistoriales de la plaza Mayor. = Asimismo se r</t>
  </si>
  <si>
    <t>hacer postura á qualquiera de dichas fincas comparezca en la escribanía de la comisión, que exerce D. Jorge Beato; con Ja prevención de que su remate está señalado para el dia 14 del próximo mes de Octubre, á las once de su mañana , en las casas consistoriales de la plaza Mayor de dicha ciuda</t>
  </si>
  <si>
    <t>isiere hacer postura á qualquiera de dichas fincas acuda á la escribanía de la comisión, que exerce D, Jorge Beato, con la prevención de que sus remates están señalados para los dias, 14» 18» 21 y 22 del corriente. Por providencia de 2 2 de Setiembre próximo ipasado del Sr. D. Luis Marcelino P</t>
  </si>
  <si>
    <t>hacer postura á todas ó á cada una de dichas casas acuda á la escribanía de la comisión, qué exerce D. Jorge Beato; con la prevención de que su remate está señalado para el dia 6 del próximo mes de Noviembre. Por providencia de D, Josef Garciny de Queralt, Comisionado Regio para la venta de bi</t>
  </si>
  <si>
    <t>á todas ó cada una de dichas fincas, comparezca á la escribanía de la referida comisión que exerce Don Jorge Beato; con la prevención que su remate está señalado para el 22 del corrien-. te en la casa'consistorial de la ciudad de Sigiienza. .&lt; Por providencia de D. Esteban de la Madrid y Monte</t>
  </si>
  <si>
    <t>á todas ó cada una de dichas fincas comparezca en la escribanía de la comisión, que está á cargo de D. Jorge Beato; con la prevención de que su remate está señalado para el dia 6 del corriente. Se halla vacante la plaza de Cirujano titular de la villa de Ocaña, Arzobispado de Toledo: su dotaci</t>
  </si>
  <si>
    <t>~e~bIaduraJ en Zl,SSO. Quien quisiere com~rarlas acuda a la escnbanta de la COmJSIOn t que eXel"Ce D. Jorge Beato; con la p.revencion de que su remate está señalado para el dia J.s del corriente. A voluntad de su dueño se vende una' casa con fuente., sita en esta Corte, en la calle de Hortale</t>
  </si>
  <si>
    <t>Beaumont, General</t>
  </si>
  <si>
    <t>General Beaumont</t>
  </si>
  <si>
    <t>Klein, 6 Regimientos de dragones; el cuerpo del General Watther, 6 Regimientos de dragones; el del General Beaumont, 6 Regimientos de dragones* y el del General Bourcier, otros 6 de dragones. AUSTRIA. Viena 1 y de Mayo. En el Consejo áulico de Guerra va á ponerse una oficina particular que tend</t>
  </si>
  <si>
    <t>la Prusia. DIARIO VIGESIMOQUINTO DEL EXERCITO GRANDE. Berlín d 2 de Noviembre. Hoy ha presentado el General Beaumont al Emperador otras 50 banderas y estandartes tomadas al enemigo, atravesando la ciudad con los dragones de su mando, que llevaban estos trofeos. Ya llegan á 200 las que se han cog</t>
  </si>
  <si>
    <t>30 de diciembre de 1806</t>
  </si>
  <si>
    <t>guarnecer el rio Bsura. El 26 se encontraron las avanzadas, y los Rusos fueron arrollados. Pasó el General Beaumont el Bsura en Lowiez; restableció el puente; mató é hirió algunos húsares Rusos, é hizo algunos Cosacos prisioneros , y ios persiguió hasta Blonic. Ei 27 hubo algunas escaramuzas entr</t>
  </si>
  <si>
    <t>Beaumorit, General</t>
  </si>
  <si>
    <t>General Beaumorit</t>
  </si>
  <si>
    <t>Prusianos, fué cargado por él Regimiento núm. 22 de húsares , y tuvo una pérdida de 300 hombres. Ei General Beaumorit hizo 600 prisioneros de lá guardia del Rey , y tomó todos los equipages de aquel cuerpo. Dos horas antes él‘ Mariscal Soult habia hecho prisioneras dos compañías de lá guardia Rea</t>
  </si>
  <si>
    <t>Becerril, Juan</t>
  </si>
  <si>
    <t>Juan Becerril</t>
  </si>
  <si>
    <t>o que sé ha empleado en$u producción , ó á la de alguno de estos tres elementos del precio natural: D. Juan Becerril, de primero, la riqueza de una nación no: consiste en la cantidad de oro y plata que posee, sino en los valores que produce: D. Mariano Calvete, de tercero, una nación tiene á su</t>
  </si>
  <si>
    <t>Becke-r, General</t>
  </si>
  <si>
    <t>General Becke-r</t>
  </si>
  <si>
    <t>1 estaba el quartel general del Gran Duque de Berg en Friedland; hechas sus disposiciones, mandó al General Becke-r, que con la brigada de dragones del General Boussart acometiese la coluna del General Prusiano Bila, que se hallaba en la llanura inmediata á la ciudad de Ankian. En un instante f</t>
  </si>
  <si>
    <t>Becker</t>
  </si>
  <si>
    <t>na, y regularmente no volverá mas, el Barón de Reden , Ministro Ingles cerca de la Dieta Germánica. Mr. Becker, Consejero de Gotha, ha exhortado á todos los Directores de los teatros de Alemania para que le remitan el producto de una entrada, á fin de sufragar á los gastes del monumento qu</t>
  </si>
  <si>
    <t>Beda Víctor</t>
  </si>
  <si>
    <t>sileros D. Alexandro Steger: en el de Reding, número 2.0, á Sargento mayor al Capitán de granaderos D. Beda Víctor, Conde de Thurn: en el de Traxler á Teniente at Subteniente de granaderos D. Carlos Mullen en el de Betschart á Teniente al Subteniente D. Josef Richenbach; y en el de Preux á Sub</t>
  </si>
  <si>
    <t>Bedoya, Juan Manuel</t>
  </si>
  <si>
    <t>Juan Manuel Bedoya</t>
  </si>
  <si>
    <t>o. El Rey se ha servido nombrar para la Penitenciaría de la Real Iglesia Colegial de S. Ildefonso á D. Juan Manuel Bedoya, Canónigo Lectoral de la misma. S. M. se ha servido nombrar á D. Juan Ferrá para una Canongía de la Catedral de Mallorca: á D. Jacinto Costa para la Canongía Doctoral de la Catedr</t>
  </si>
  <si>
    <t>Beeren, Coronel</t>
  </si>
  <si>
    <t>Coronel Beeren</t>
  </si>
  <si>
    <t>nteras por mucho tiempo. Ratzeburgo 24 de Abril. Ayer volvió aquí el cuerpo Prusiano mandado por el Coronel Beeren. Xas tropas Suecas, de las quales hay todavía 400 hombres en el Lauenburgo, se habian reconcentrado en el paso de Gross-Zecheren, resueltas á defenderlo. Venían marchando en dos c</t>
  </si>
  <si>
    <t>Belayre</t>
  </si>
  <si>
    <t>ciudades, escrita en aíeman por ei Sr. Gaudi, General Prusiano, traducida al francés, y anotada por Mr. Belayre, General de división, y vertida de este idioma al castellano, con aumento de notas, varias láminas , y un discurso preliminar: un tomo en 8.° inarquilla. Esta obra puede considera</t>
  </si>
  <si>
    <t>Béliard, General</t>
  </si>
  <si>
    <t>General Béliard</t>
  </si>
  <si>
    <t>os podido entrar revueltos con los Prusianos, si el Príncipe no-hubiera preferido requerirla por el General Béliard. Fas puer-» tas estaban hechas pedazos*,y el Príncipe de Hoheniohe, promovedor de esta guerra IñíqÚa , viéndose sin esperanza alguna', capituló y'desfiló ante el exército Francés</t>
  </si>
  <si>
    <t>Belle, General</t>
  </si>
  <si>
    <t>General Belle</t>
  </si>
  <si>
    <t>cer nuevas fortalezas en sus Estados. También aseguran las mismas cartas que se han dado órdenes al General Belle— garde de volver á Trieste. Créese que el asunto de la entrega deCáttaro se ha arreglado definitivamente entre Francia y Austria. Hamburgo 26de Noviembre. El 24 Mr. de Bourienne,</t>
  </si>
  <si>
    <t>Bellegarde, General</t>
  </si>
  <si>
    <t>General Bellegarde</t>
  </si>
  <si>
    <t>,y que se remita uno á cada Universidad del Reyno, ISTRIA. - ............ íTM-...Ha llegado aquí el General Bellegarde: 3$ Austríacos se han embarcado para las bocas del Cáttaro á entregar las plazas á los Franceses, con la artillería que había en ellas al tiempo que las oeupáron los r • Rusos. *</t>
  </si>
  <si>
    <t>En varias cartas se asegura que la esquadrilla Austríaca y la tropa que están baxo las órdenes del General Bellegarde han salido de las bocas del Cáttaro para volver á Trieste. Los Ministros del Colegio de los Príncipes de la Confederación del Rhin se han reunido privadamente en Francfort baxo la</t>
  </si>
  <si>
    <t>Belmar y Muñiz, Joaquín</t>
  </si>
  <si>
    <t>Joaquín Belmar y Muñiz</t>
  </si>
  <si>
    <t>ción, afecta á la voz de Tenor en la Capilla de la Catedral de Málaga, vacante por fallecimiento de D. Joaquín Belmar y Muñiz, á D. Manuel María Gutiérrez Ravét para el Préstamo de la Parroquial de la Puebla de Yeltes, en la Diócesis de Ciudad-Rodrigo, vacante por muerte de D. Manuel Fernandez Martínez,</t>
  </si>
  <si>
    <t>Beltran, Gaspar</t>
  </si>
  <si>
    <t>Gaspar Beltran</t>
  </si>
  <si>
    <t>y Acedo : para el Beneficio simple de Bascones, en la Diócesi de Palencia, vacante por promoción de D. Gaspar Beltran á Capellanía de aquella Catedral: para el Préstamo de la Parroquia del lugar de la Aba-: día, en la de Coria, vacante por fallecimiento de D. Pedro Pceyo, y para la Media-Prestame</t>
  </si>
  <si>
    <t>Beltran, Luis</t>
  </si>
  <si>
    <t>Luis Beltran</t>
  </si>
  <si>
    <t>Vicente. En el acto de la adjudicación cedieron la par-: te pecuniaria del premio D. Luis Orellaná, D. Luis Beltran , Doña RafaeH la Peyroíon y Chaubet, y Doña María del' Carmen Dolz del Castellar. Continuó este acto publicándose la adjudicación de 6 premios ofrecidos a las escuelas y enseñanza</t>
  </si>
  <si>
    <t>Bendorp</t>
  </si>
  <si>
    <t>4ff Escriben de Amsterdam, que están alhajando la hermosa casa que ocupaba en otros tiempos Mr. Bendorp para un personage que debe abandonar la carrera política en que ha representado un papel importante. Se acegura que se ha recibido de Hamburgo la noticia de que la escaramuza de S</t>
  </si>
  <si>
    <t>Benedet, Estéban</t>
  </si>
  <si>
    <t>Estéban Benedet</t>
  </si>
  <si>
    <t>ente D. Mariano de Campo; y á Tenientes á los Alféreces D. Josef Ignacio Duran, D. Antonio Cabello, D. Estéban Benedet y D. Antonio Videras. Asimismo en ei Regimiento de infantería Provincial de México se ha dignado el REYpromover á Teniente al Subteniente D. Pedro Valiente ;á Subteniente de compañía</t>
  </si>
  <si>
    <t>Bengoa, Agustín</t>
  </si>
  <si>
    <t>Agustín Bengoa</t>
  </si>
  <si>
    <t>13 de junio de 1806</t>
  </si>
  <si>
    <t>n el Regimiento de infantería de Cantabria Subtenencia de bandera al Sargento primero de granaderos D. Agustín Bengoa. En el Regimiento de caballería de Borbon se ha servido el Rey conceder Tenencia al Alférez D. Fausto Caballero; y en el de Santiago Compañía al Ayudante, graduado de Capitán, D.</t>
  </si>
  <si>
    <t>Bengoechea, Miguel Antonio</t>
  </si>
  <si>
    <t>Miguel Antonio Bengoechea</t>
  </si>
  <si>
    <t>Supl., p. 4</t>
  </si>
  <si>
    <t>.......... Sres. López, Sagastizabal é hijo. Santander...... D. Joser de Escalante. S&gt; Sebastian... D. Miguel Antonio Bengoechea* Bilba».......,.,. Sres. Ardanaz é hijo y Bengoa, EN LA IMPRENTAi REAL r-""&gt; f?? •' • '. &gt;</t>
  </si>
  <si>
    <t>Benigsen, General</t>
  </si>
  <si>
    <t>General Benigsen</t>
  </si>
  <si>
    <t>tos rumores serán exagerados, y no tienen quizás otro fundamento mas que la marcha del exército del General Benigsen por la Prusia meridional. Como quiera, la noticia de la entrada de los Rusos en Varsovia no es cierta; pero podemos afirmar que hay en Polonia una fermentación sorda , excitada po</t>
  </si>
  <si>
    <t>ANDE. Posen d i.° de Diciembre. El quartel general del Duque de Berg se hallaba el 27 en Lowiez. El General Benigsen, que manda el exército Ruso, esperando impedir la entrada de los Franceses en Varsovia, envió una vanguardia á guarnecer el rio Bsura. El 26 se encontraron las avanzadas, y los Ru</t>
  </si>
  <si>
    <t>Benjamín Bucher</t>
  </si>
  <si>
    <t>áneas del norte de Europa. Y, á fin de completar esta colección periódica de Estadística literaria, Mr. Benjamín Bucher, de Dresde, piensa publicar en Leipsick, en la librería de Weigel,una Miscelánea Española y Portuguesa. Es verosímil que en esta, como en las demas Misceláneas , habrá muchas frus</t>
  </si>
  <si>
    <t>Bennengsen, General</t>
  </si>
  <si>
    <t>General Bennengsen</t>
  </si>
  <si>
    <t>iencia de un convenio firmado en Potsdam las tropas mandada* por el General Tolstoy y el cuerpo del General Bennengsen á las órdenes de S. M. Prusiana, y le prometió ademas todo el auxilió deque pudiera necesitar. „ No era muy natural imaginar que la Prusia quisiese aprovecharse de esta circunstan</t>
  </si>
  <si>
    <t>Benningfen, General</t>
  </si>
  <si>
    <t>General Benningfen</t>
  </si>
  <si>
    <t>torizado el Emperador Alexandro á disponer de ellas á su arbitrio, como también de las que manda el General Benningfen en Silesia.</t>
  </si>
  <si>
    <t>Benningsen, General</t>
  </si>
  <si>
    <t>General Benningsen</t>
  </si>
  <si>
    <t>1102 en la ribera derecha del Vístula ¡ manda esta coluna el General Benningsen: el 15 sus batidores reconocieron los caminos de Posen y de Thorn: conforme á lo convenido entre Prusianos y Rusos, la división del General Benningsen debía llegar el 15 de Noviem</t>
  </si>
  <si>
    <t>Bentzen</t>
  </si>
  <si>
    <t>2lS de Dinamarca, al Barón de Reedtz-Thott, á Mr. de Bielk y á Mr. Bentzen. El Barón de Dalberg, Ministro plenipotenciario del Elector de Badén, al Barón de Heynaii y á Mr. Groos. Mr. Bantzen, Ministro plenipotenciario de la República Bátava, al Almirant</t>
  </si>
  <si>
    <t>Benzenberg</t>
  </si>
  <si>
    <t>de repetir !y variar dichos experimentos. También piensa en hacer otros relativos á la 'teórica del Dr. Benzenberg sobre la caída de los cuerpos, á ruegos del Dr. Zeune, que es quien comunica estas noticias en el periódico titulado Frey~ ■ müthige ó el Sincero___Entre los manuscritos preciosos</t>
  </si>
  <si>
    <t>Berdeja, Juan Manuel</t>
  </si>
  <si>
    <t>Juan Manuel Berdeja</t>
  </si>
  <si>
    <t>En América. El Rey se ha servido nombrar para la Dignidad de Dean de la Metropolitana de ¿Charcas á D. Juan Manuel Berdeja: para la Ghantría á D. Manuel de Terrazas: para la Tesorería á D. Francisco Antonio de Areta: para la. Canongía á D. Juan Miguel de Amezaga; y para la Ración, al Medio-Racionero D</t>
  </si>
  <si>
    <t>Berer, Benito</t>
  </si>
  <si>
    <t>Benito Berer</t>
  </si>
  <si>
    <t>eón; y en los de Hibernia y Ordenes Militares Compañías al Teniente D. Juan Pebarthe, y al Ayudante D. Benito Berer.guer, graduados ambos de Capitán. En el Batallón de infantería ligera de Voluntarios de Gerona se ha servido el Rey promover á Subteniente de bandera al Sargento primero Don Josef</t>
  </si>
  <si>
    <t>Beresford, General</t>
  </si>
  <si>
    <t>General Beresford</t>
  </si>
  <si>
    <t>llegado á Sta. Helena una expedición, que ha salido del Cabo á lasórdenes de Sir-Fióme Popham y del General Beresford, y desde allí se ha hecho á la vela para Buenos-Ayres. Una carta de Ceylan, con fecha de 5 de Setiembre último, contiene lo que sigue: „E1 13 de Julio ha llegado á la punta de Gal</t>
  </si>
  <si>
    <t>Beriard, General</t>
  </si>
  <si>
    <t>General Beriard</t>
  </si>
  <si>
    <t>ran Duque de Wurtzburgo. Han llegado aquí el Príncipe Alexandro Berthier, el Gran Duque de Berg, e! General Beriard, y otros muchos Oficiales generales. Mañana llegará el Emperador Napoleón. Nitremberga 2 de Octubre. Dicen que el Rey de Prusia ha llegado á Gotta. En una Gazeta Alemana, en capít</t>
  </si>
  <si>
    <t>Bermejo, Joaquín</t>
  </si>
  <si>
    <t>Joaquín Bermejo</t>
  </si>
  <si>
    <t>de Borricón : de ios^ Caballerizos de Campo D. Fernando María de la Cueva, D. Josef de la Alcázar, D. Joaquin Bermejo y D. Rafael Mateo; y de 8 Pages del Rey, D. Joaquin de la Cueva, D. Manuel Pando, D. Juan de Yanguas, D. Joset María de face, J). Tomas Peñaran</t>
  </si>
  <si>
    <t>ente» Otro para los 4 Caballerizos de Campo , que fuéron D. Fernando de la Cueva, D. Josef Alcázar, D. Joaquin Bermejo y D. Rafael Mateo, que llevaron uniforme grande. La estufa de los Caballeros Pages, que fuéron 8, los- 6 para servir, y 2 sobresalientes, los que llevaron casaca del uniforme bordado</t>
  </si>
  <si>
    <t>Bermudez Villapol, Antonio</t>
  </si>
  <si>
    <t>Antonio Bermudez Villapol</t>
  </si>
  <si>
    <t>uia dé S, Andreé de Masma ,: Diócesi de Mondoñedó , vacante por muerte dé D. Francisco Víilatnil, á D. Antonio Bermudez Villapol. : En el Regimienta de infantería de Córdoba se ha servido el Rey promover á Sargento mayor al Capitán D, Josef de Ozaeta; á Capitán al Teniente de granaderos, graduado de Tenient</t>
  </si>
  <si>
    <t>Bermudez y Armada, Santiago</t>
  </si>
  <si>
    <t>Santiago Bermudez y Armada</t>
  </si>
  <si>
    <t>ta al Cadete D. Juan Flores Valle jo, yb eÁ el de Voluntarios de la Corona al Cadete del de Navarra D. Santiago Bermudez y Armada. El dia 17 del pasado falleció en esta Corte, á los 65 años de edad no cumplidos, el Sr. D. Francisco de Valencia, Conde de Casa-Valencia, Caballero pensionado'de la Real y distin</t>
  </si>
  <si>
    <t>Bernabé Alonso de Hoyes</t>
  </si>
  <si>
    <t>a, tasada con todo lo á ella anexo y perteneciente en 300,578 rs., á la que se ha hecho postura por D. Bernabé Alonso de Hoyes su poseedor en 26c£&gt; is. en esta forma; los 1 20©, que entregó en vales Reales quando compró dicha granja, y los 140© restantes á que dice ascienden en metálico las mejoras hechas</t>
  </si>
  <si>
    <t>Bernabé Alonso de Hoyos</t>
  </si>
  <si>
    <t>del Rey, de esta provincia, tasado todo en 300,578 rs., á cuya hacienda se halla hecha postura por D. Bernabé Alonso de Hoyos, su poseedor, en 260S) rs. en esta forma: los x 20® que entregó en vales Reales quando compró dicha granja, y los 140$) restantes, á que dice ascienden, en metálico, las mejoras h</t>
  </si>
  <si>
    <t>Bernabé Cid</t>
  </si>
  <si>
    <t>la Parroquial de Santa María de la villa de Aranda de Duero, Diócesi de Osma, vacante por muerte de Don Bernabé Cid, á D. Nicolás Ruiz, Presbítero, Capellán de la.misma villa* El Rey se ha servido conferir la Comandancia del tercer batallón del Regimiento de infantería dé Hibernia al Sargento m</t>
  </si>
  <si>
    <t>Bernabé de Otalora</t>
  </si>
  <si>
    <t>D. Sebastian de Navarrete, Don Gerónimo Maza, D. Juan Maza, D; Luis Berganza , D. Alexandro lagoa, D. Bernabé de Otalora, D. Eugenio de Zuloaga, D. Josef María de Bassoco y D. Vicente de Bassoco. Ganáron el premio extraordinario de instrucción religiosa ios Caballeros gefes de trozo D. Pedro Tavira</t>
  </si>
  <si>
    <t>Bernabé de Otálora</t>
  </si>
  <si>
    <t>assóco, D. Vicente Bas$óco,D. Matías de la Torre, D. Joaquín Ossés, D. Gerónimo Maza, D. Juan Maza, Don Bernabé de Otálora, D. Juan de Mazarredo, D. Cárlos Van-Zoelen y Don Sebastian Fernandez Navarrete. Ganaron el premio extraordinario de instrucción religiosa los Caballeros Gefe de sala D. Alonso Al</t>
  </si>
  <si>
    <t>Bernabé Poiledo</t>
  </si>
  <si>
    <t>47o . - ....... . . . .... Subtenientes de granaderos los de fusileros D. Atanasio de Ayesa, D. Bernabé Poiledo y D* Antonio Romeros y á Subtenientes el agregado de esta clase D. Raymundó dg Silva, los Cadetes D, Josef Urquizu, D, Fernando del Joro y D. Ildefonso del Toro, y los Sargentos prime</t>
  </si>
  <si>
    <t>Bernabé San Martín</t>
  </si>
  <si>
    <t>llería de Buenos-Ayres se ha servido promover á Alféreces á D. Jomas Ribera., Don Manuel Naranjo y ,D. Bernabé San Martin los dos primeros Cadetes, y el último paisano; y a. Portaestandarte al Sargento D. JLeandro Muñoz. En la ex tracción, extraordinaria de la Real lotería, executada el lun.es 18 del corrien</t>
  </si>
  <si>
    <t>Bernabé Sancho</t>
  </si>
  <si>
    <t>dro Dalmau, á D. Josef Fr i gol a: para una Ración de la Colegial de Daroca, Diócesi do Zaragoza, á D. Bernabé Sancho; y para un Beneficio de residencia de la Iglesia Parroquial de la villa de Cardona, Diócesi de Solsona, vacante por muerte de D. Domingo Prat, á D. Sebastian Pía. - El Rey sé ha s</t>
  </si>
  <si>
    <t>Bernadotte de Anspach, Mariscal</t>
  </si>
  <si>
    <t>Mariscal Bernadotte de Anspach</t>
  </si>
  <si>
    <t>dentro de pocos dias algunas tropas Prusianas. Háblase también de trasladar el quartel general del Mariscal Bernadotte de Anspach á Bamberga, y qüe le reemplazará el cuerpo de exército del Mariscal Lefebvre. Hamburgo 22 de Setiembre. El Barón de Jacobi ha pasado de incógnito por esta ciudad; vuelve á Inglate</t>
  </si>
  <si>
    <t>Bernadotte, Mariscal</t>
  </si>
  <si>
    <t>Mariscal Bernadotte</t>
  </si>
  <si>
    <t>ones, habiendo todos necho fuego en la acción. Ha muerto el Gefe dé esquadroñ Cháloppin, Edecán del Mariscal Bernadotte. El Capitán Jervé ha muerto de resultas de sus- heridas. Han quedado heridos los Coroneles Lacour, Digeon, Gerard, Mares; los Gefes de batallón Perner, Guye, Schwiter; los Gefes d</t>
  </si>
  <si>
    <t>rcito grande, Schoenbriinn d ¿6 de Diciembre. La posición del exército en el dia es como sigue : el Mariscal Bernadotte ocupa la Bohemia: el Mariscal Morder la , Moravia: el Mariscal Davoust ocupa á Presburgo, capital de la Hungría: el Mariscal Soult ocupa á.Viena: el Mariscal Ney ocupa la Carintia</t>
  </si>
  <si>
    <t>es pensiones de la Francia, Anspach 24 de Febrero* En la Gazeta de Bareuth se lee que ha entrado el Mariscal Bernadotte con 40® hombres en aquel Principado en esta forma: 30® de infantería, 8® de caballería, y 2® de artillería. El Magistrado.ha permitido la entrada de las tropas Francesas, ínterin</t>
  </si>
  <si>
    <t>s Francesas, cuya situación aOtuál en Suabia , Franconia y Baviera es'como sigue: i.° El cuerpo del Mariscal Bernadotte, que está en el territorio de Anspach; Principado de Bamberg, y en el territorio de Nuremberg, se compone de la división Rivaud, de 3 Regimientos de infantería de línea; de la div</t>
  </si>
  <si>
    <t>sor; del nombramiento de Príncipe dé Benevento á Mr. de Talleyrand, y de Príncipe de Ponte-Corvo al Mariscal Bernadotte.---- El Archi-Canciller presentó un mensage del Emperador al Senado, dándole cuenta de las disposiciones referidas: la copia de una carta dirigida por el Barón de Albini, Ministro</t>
  </si>
  <si>
    <t>ue hacen presumir sit probta partida; Se cree que irá por la Wéstfalia al Hannóvér, miéhtras que él Mariscal Bernadotte tomará la misma ruta pasando' por Sehweinfurth y el país de Fulda. GRAN BRETAÑA. Londres 12 de Junio. Al cabo se ha terminado la causa de Lord Meiville cómo se - esperaba,</t>
  </si>
  <si>
    <t>y Holanda; nombramientos de Príncipes al Ministro de Relaciones exteriores Mr. de'Taileyrand, y al Mariscal Bernadotte &amp;c. De España, la Real Cédula en que se señalan las quotas que por razón de anualidad han de pagar en los casos de promoción,, ascenso y primera entrada en las dignidades y preben</t>
  </si>
  <si>
    <t>mpida la comunicación con el país de Bayreuth y con la Saxonia. La caballería ligera del cuerpo det Mariscal Bernadotte, Príncipe de Pontecorvo, se halla en las montañas situadas entre este pueblo y la Saxonia. El i.° del corriente se leyó en la orden la prohibición rigurosa</t>
  </si>
  <si>
    <t>e Benevento, se han suprimido los 19 conventos que habia en aquella ciudad. Mr. Gault, Ayudante del Mariscal Bernadotte, tomó posesión el 7 del corriente del Ducado de Ponte-Corvo. La ceremonia se hizo con mucha solemnidad, y fue acompañada de todas las demostraciones de alegría y de afecto á su nu</t>
  </si>
  <si>
    <t>specie. El Mariscal Davoust acabá de tomar 30 cañones: el Mariscal Soult 3© toneles de harina; y el Mariscal Bernadotte 1500 prisioneros: el exército enemigo está de tal modo disperso y mezclado con nuestras tropas, que uno de sus batallones virio á colocarse en uno de nuestros campamentos, creyend</t>
  </si>
  <si>
    <t>l Duque de Berg en Demmin, que iba á Rostock para impedir que se embarcase el General Blucher___ El Mariscal Bernadotte iba flanqueando al General Blucher, pues el 31 estaba en Neubrandeburgo, y caminaba hacia Wharen, y así debe haber tenido un encuentro el dia i.° con el General Blucher----- La co</t>
  </si>
  <si>
    <t>Bernal, Francisco Julián</t>
  </si>
  <si>
    <t>Francisco Julián Bernal</t>
  </si>
  <si>
    <t>ncia de granadéros en el Batallón de Milicias disciplinadas de Olañcho, en el Reyno de Goatemala, á D. Francisco Julián Bernal; de fusileros á D. Juan Manuel Gallardo, D. Antonio Josef Laso de la Vega , D. Vicente Perez Idiaquez, D. Mateo de Soto, D. Sixto Carrera, D. Remigio.Diaz y D. Mauricio Zelaya; y</t>
  </si>
  <si>
    <t>Bernal, Juan Vicente</t>
  </si>
  <si>
    <t>Juan Vicente Bernal</t>
  </si>
  <si>
    <t>Márquez: para la Dignidad de Tesorero de la de Puebla de los Angeles, vacante por fallecimiento de D. Juan Vicente Bernal, ¿ D. Josef Francisco Suarez: para la Canongía de este al Racionero D. Francisco Angel del Camino: para esta Prebenda á D. Gregorio Fernanes; y para la Media-Ración que este dexa</t>
  </si>
  <si>
    <t>Bernardi</t>
  </si>
  <si>
    <t>to Euscarano del Sr. Erro; reflexiones acerca de Tácito y Tito Livio, extractadas de un discurso de Mr. Bernardi. Se hallarán á 3 rs. en las librerías de Escri</t>
  </si>
  <si>
    <t>Bernardina</t>
  </si>
  <si>
    <t>ef Mariano Muntaner; y, á Teniente en el primer batallón de Voluntarios de Barcelona al Subteniente D. Bernardina ¿Fivaller: -en el de las Ordenes Militares’Ayudantía al Teniente, graduado de Capitán , Don Cleto de Ardanaz; y en el de la Corona Tenencia al Subteniente D. Tomas Toledo: en los</t>
  </si>
  <si>
    <t>Bernardino Asenjo</t>
  </si>
  <si>
    <t>u Capitán, deí Real Cuerpo de Artillería; de Ayudante en el de Avila al de la.misma clase reformado D. Bernardino Asenjo; de Teniente en ios de Murcia? Be</t>
  </si>
  <si>
    <t>Bernardino de la Seda</t>
  </si>
  <si>
    <t>bién St M. á Capitán al Teniente de Carabineros D. Escolástico Quiñones; á esta resulta al Teniente D. Bernardino de la Seda; á Tenientes los Alféreces D. Antonio Esteban, de Carabineros y D. Pedro Mártir * García; á Alférez de Carabineros al Alférez D. Alonso Dávila; y á Alféreces los Sargentos primero</t>
  </si>
  <si>
    <t>Bernardino Pérez y López, Manuel</t>
  </si>
  <si>
    <t>Manuel Bernardino Pérez y López</t>
  </si>
  <si>
    <t>e Marques de Torre alta. También ha nombrado S. M. para el Corregimiento de la ciudad de Betanzos á D. Manuel Bernardino Perez y López. ¿ Deseando dar á la Gazeta todas las mejoras posibles en beneficio del público, se insertarán en ella desde el principio del año próximo de 1807» ademas de las noticias políticas</t>
  </si>
  <si>
    <t>Berruezo, Manuel</t>
  </si>
  <si>
    <t>Manuel Berruezo</t>
  </si>
  <si>
    <t>patriótico Cuerpo d otros alumnos de la misma escuela* Cien reales á D. Santiago Mendez de Vigo: á D. Manuel Berruezo,idem: i I&gt;. Ignacio Collas, ídem; y á D. Cayetano Suarez de la Vega, idem. Escuelas gratuitas d expensas de la Real SociedadEscuela primera ae ninas. A María Arguelles, Josefa Alv</t>
  </si>
  <si>
    <t>Berthier, Alejandro (príncipe)</t>
  </si>
  <si>
    <t>Príncipe Alejandro Berthier</t>
  </si>
  <si>
    <t>an en tan importante trabajo varios magnates de Hungría. WURTEMBERG. Stuttgardt 28 de Setiembre. El Príncipe Alejandro Berthier saldrá de Muqich para Amb,erg, en el Palatinado Superior , luego que reciba un correo que está esperando. Se cree que traerá la orden de que marche todo el exército hácia ia" Fran</t>
  </si>
  <si>
    <t>Berthier, Alexandro (príncipe)</t>
  </si>
  <si>
    <t>Príncipe Alexandro Berthier</t>
  </si>
  <si>
    <t>baxador extraordinario en París. El Oficial Francés que ha traido al Enviado de Francia pliegos del Príncipe Alexandro Berthier, es Mr. de Beaulieu, Capitán agregado aí Estado mayor. Se asegura que un cuerpo crecido de tropas Rusas está pasando ahora yor la Prusia meridional y la Silesia, y que el GeneralC</t>
  </si>
  <si>
    <t>onfederación del Rhin. De hoy en adelante se titulará Gran Duque de Wurtzburgo. Han llegado aquí el Príncipe Alexandro Berthier, el Gran Duque de Berg, e! General Beriard, y otros muchos Oficiales generales. Mañana llegará el Emperador Napoleón. Nitremberga 2 de Octubre. Dicen que el Rey de Prusia ha llega</t>
  </si>
  <si>
    <t>Berthier, General</t>
  </si>
  <si>
    <t>General Berthier</t>
  </si>
  <si>
    <t>rchiduque Carlos emprenderá un víage, según se dice, á Berlín__ _A1 día inmediato de la -venida del General Berthier tuvo el General Andreossy una conferencia con el Conde de Stadion, Ministro de Negocios extrangetos. Las conjeturas que han esparcido los políticos de esta Capital ^con motivo .de</t>
  </si>
  <si>
    <t>Berthier, Mariscal</t>
  </si>
  <si>
    <t>Mariscal Berthier</t>
  </si>
  <si>
    <t>muertos en ei campo del honor. Firmada. = El Mayor General, Mariscal Berthier.” : Francfort 39 de Diciembre. En toda la Alemania se aumentan de día en dia ilas quejas.de los comerciantes contra, la Inglaterra, y en. todas partes sé dice públicamente. que lo</t>
  </si>
  <si>
    <t>e.rrSchoénbriínn 27 de Diciembre de 1805. zzNapoleon.zzVox mandado del Emperador, el Mayor General, Mariscal Berthier.” Proclama. ,, Habitantes de la ciudad de Viena: he firmado la paz con el Emperador de Austria. Pronto á restituirme á mi capital, quiero que sepáis la estimación que os profeso,</t>
  </si>
  <si>
    <t>Schoénbriinn 27 de Diciembre de t^o;. r= Napoleón. = Por mandado del Emperador , el Mayor Generáí, Mariscal Berthier.” Antes de ayer se canto en la Iglesia metropolitana el Te Deum tn hacimiento de gracias por la paz que acaba de firmarse en Presburgo, después de la mas extraordinaria campaña de</t>
  </si>
  <si>
    <t>ia y de Austria al Príncipe de Lichtenstein, y S. M. el Emperador de los Franceses Rey de Italia al Mariscal Berthier, los quales se han convenido en los artículos siguientes: Art. i. Conformé al artículo xxm del tratado de paz, se formará desde este dia un estado de la artillería y de las munici</t>
  </si>
  <si>
    <t>iéndose para venir á París. El Monitor Liguriano anuncia que á fines de Enero pasó por Florencia el Mariscal Berthier, Ministro de la Guerra, con dirección á Roma. En la noche del jueves al viernes 24 de Enero se sintieron en Poitiers dos temblores de tierra: el primero fué bastante fuerte; y el</t>
  </si>
  <si>
    <t>ertos de arribada, desde donde se expedirán para los paises extrangeros adonde vayan destinadas. El Mariscal Berthier envía al Emperador las armaduras siguientes halladas en el Austria: „La armadura completa de Francisco 1, para sí y su caballo, con su figura, tomada en la batalla de Pavía. Las arm</t>
  </si>
  <si>
    <t>scal Augereau, que habia ido á tomar las aguas de Wisbaden; el 2 del corriente llegó á Nuremberg el Mariscal Berthier, y en el mismo dia llegó á Furth el Mariscal Morder. Escriben de Ratisbona, no sabemos con qué fundamento, que muy en bireve se hará en la Dieta Germánica la propuesta de conferir</t>
  </si>
  <si>
    <t>rigen, no ha. cumplido como debía con la Francia . y ha sido traydor=á su amo., Con esta noticia el Mariscal Berthier ha.fliancjado que: ía ciudad de Braunau, que defiende la frontera del Inn, y que debía entregarse el 1.? de . Abril,v nb se entregue. Los cuerpos del* exército grande, que estaban</t>
  </si>
  <si>
    <t>. Las ratificaciones definitivas de la Acta de Confederación del Rhin, que habían sido remitidas al Mariscal Berthier, Príncipe de Neufchátel, por las Altas Partes contratantes, han sido ahora dirigidas con las piezas originales á S. A. Erna, el Príncipe Primado para custodiarlas como Director qu</t>
  </si>
  <si>
    <t>Berthier, Príncipe</t>
  </si>
  <si>
    <t>Príncipe Berthier</t>
  </si>
  <si>
    <t>hace- algún tiempo qu.e no se dará ninguna orden para-que vuelva el exército grande r ¿asta que el Príncipe Berthier, Ministro de Guerra,. tenga noticia de oficio de la. ocupación, de Cáttaro y de los distritos vecinos por las tropas Francesas. P'aris 14 de Julio.. Se va á erigir en el emplazami</t>
  </si>
  <si>
    <t>Berthiert, General</t>
  </si>
  <si>
    <t>General Berthiert</t>
  </si>
  <si>
    <t>sélas el 14 del corriente con dirección 4 Dusseldorf!: al dia siguiente pasó por la misma ciudad el General Berthiert que va igualmente á Dusseldorf!. ESPAÑA. Granada 20 de Marzo. La Real Sociedad económica de amigos del país establecida en esta ciudad, en observancia del tít. 13 de sus estatutos</t>
  </si>
  <si>
    <t>Berthjqr, Mariscal</t>
  </si>
  <si>
    <t>Mariscal Berthjqr</t>
  </si>
  <si>
    <t>es legítimos varones. ..-rv.-ii/j' .i.-,;- v,*. 6.a El sexto deeretotránsfjereyep todasoberanía, aj Mariscal Berthjqr el Principado dé Neufchaícl , con Ja misma propied^d qne ¿p poseía el Rey de Prusia, la que pasará á su descendencia legítima y natural masculina 90p. los mismos títulos. 7.a Por el</t>
  </si>
  <si>
    <t>Bertrand, General</t>
  </si>
  <si>
    <t>General Bertrand</t>
  </si>
  <si>
    <t>olvera, y michos miles de fusile!;—-El General FTuiiiñ há sido1!nombrado Comandante de Berlín.__ El General Bertrand, Edécan del Emperador, ha pasac d &gt; á Spandan, cuya fortaleza se'defiende, v la ha rodeado con los dragones de la división Dupoñr----- 'El Gran Duque de Berg lia ido á Spandaú en</t>
  </si>
  <si>
    <t>uniciones de guerra y de Boca, ha sido bloqueada el 24 por la noche, habiéndola antes reconocido ei General Bertrand, Edecán del Emperador; todo estaba dispuesto para disparar los obuses, é .intimidar la guarnición; pero el General Lannes ha hecho firmar al Comandante la capitulación adjunta-á e</t>
  </si>
  <si>
    <t>Berzabal, Pedro</t>
  </si>
  <si>
    <t>Pedro Berzabal</t>
  </si>
  <si>
    <t>l número 295,231, que se extravió en el correo de 11 de Febrero del presente año, baxo el endoso de D. Pedro Berzabal, Presbítero en Almagro : avisará á dicho Berzabal, en Almagro, ó en Madrid á D. Antonio Causada, en la calle de Cedaceros, núm. 16. Por providencia de D. Luis Pisana y Muñoz , Com</t>
  </si>
  <si>
    <t>Bessieres, Mariscal</t>
  </si>
  <si>
    <t>Mariscal Bessieres</t>
  </si>
  <si>
    <t>desmontados en el exércíto, y á quienes se les dio caballos £n Potsr dam, pasaron ayer revista del Mariscal Bessieres; recibieron algunas piezas de vestuario y montura que les faltaban, é inmediatamente fueron áre unirse á sus cuerpos. El Emperador ha mandado que se cargue una contribución de i?.</t>
  </si>
  <si>
    <t>Betancourt, Sebastián</t>
  </si>
  <si>
    <t>Sebastián Betancourt</t>
  </si>
  <si>
    <t>as, á D. Josef Cleto Gamboa, Doctoral de la misma: para Canónigo de la de ValladoLid de Mechoacan á D. Sebastian Betancourt: para la Ración que dexa á D. Josef Florez Estrada; y para la Media-Ración que resulta á D. Francisco Hilario de Silva, Cura en ía propia Diócesi: para otra Canongía de la Iglesia</t>
  </si>
  <si>
    <t>Beurnonviile, General</t>
  </si>
  <si>
    <t>General Beurnonviile</t>
  </si>
  <si>
    <t>pronto á Francia, y será reemplazado en su embaxada de Roma por Mr. Alquier. Se dice también que el General Beurnonviile vendrá á ocupar su plaza en el Senado, y que tendrá por sucesor en la embaxada de España á Mr. de Beauharnais,;actualmente en.Florenc;ia--! .-•,: • .• V. ; &lt;-.v ,7 Mr. Reinhart, n</t>
  </si>
  <si>
    <t>Beyan Escudero, Manuel Antonio</t>
  </si>
  <si>
    <t>Manuel Antonio Beyan Escudero</t>
  </si>
  <si>
    <t>miento de Letras de la ciudad de Orense á D. Marcos Antonio Bonifaz: para el de la ciudad dé Baza á D. Manuel Antonio Beyan Escudero: para el de la ciudad de Alfaro á D. Juan Josef de Alfaro: para el Corrigimiento político de la ciudad de León á D. Rafael Márquez y Fleuriot; y para lá Vara de Alcalde mayor de l</t>
  </si>
  <si>
    <t>Beyens, Alexandro</t>
  </si>
  <si>
    <t>Alexandro Beyens</t>
  </si>
  <si>
    <t>ado, se mandó citar á qualesquiera acreedores que tuviesen derecho á la testamentaría en quiebra de D. Alexandro Beyens, cuyo concurso pende en dicho Tribunal y su escribanía, para que concurran á deducir su derecho en el preciso y perentorio término de 6 meses; con apercibimiento que de no hacerlo</t>
  </si>
  <si>
    <t>Bezold</t>
  </si>
  <si>
    <t>; se presentarán á saludar á S. A. varios pastores y pastoras Suizas, y baylarán á estilo del país. Mr. Bezold, discípulo del célebre Sebastian Bach, ha tenido la honra de que SS. MM. se dignen oir su melodion, El dictamen unánime de los primeros, sugetos de palacio y de la capital autoriz</t>
  </si>
  <si>
    <t>Bielfed, Barón</t>
  </si>
  <si>
    <t>Barón Bielfed</t>
  </si>
  <si>
    <t>Fenft dePilsach, que estuvo de Embaxador en Copenhague, va con igual destino á Constantinopla, y el Barón Bielfed, que era nuestro Encargado de negocios allí, pasa á otro destino importante. Mr. de Luderitz, Refrendario del Tribunal de Justicia, y muy erudito en las lenguas orientales, irá de</t>
  </si>
  <si>
    <t>Biely, Almirante</t>
  </si>
  <si>
    <t>Almirante Biely</t>
  </si>
  <si>
    <t>dado cuenta ai Virey de Italia que el 29 de Abril un navio y "muchos bricks Rusos , mandados por el Almirante Biely, se presentaron en la rada de la isla de Liesina, en donde mandaba el Capitán Guyard ¿ del Regimiento de línea núm. 23 , que tenia á sus órdenes medio batallón' dei propio Regimie</t>
  </si>
  <si>
    <t>Bigelow</t>
  </si>
  <si>
    <t>e levantáron y se descubrieron al entrar los caudillos Indios : sentáronse todos luego, y el orador Mr. Bigelow se levantó, y habló á los caudillos Indios en estos términos: „ Hermanos, bien venidos seáis cerca del foco del Gran Consejo. Os damos el parabién de vuestro viage, y de la feliz</t>
  </si>
  <si>
    <t>Bila, General</t>
  </si>
  <si>
    <t>General Bila</t>
  </si>
  <si>
    <t>ciplina y valor. El Gran Duque de Berg ha reclamado la caxa y parte de los bagages de la coiuna del General Bila, que habian pasado el Penne , y se hallaban ya en la Pomerania Sueca. El quartel general del Duque estaba el i.° de Noviembre en Demmin. Viendo el General Blucher y el Duque de We</t>
  </si>
  <si>
    <t>Bilderdyk</t>
  </si>
  <si>
    <t>baxo palabra de no tomar las armas contra la Francia , les dexáron las armas, caballos y equipages. Mr. Bilderdyk, que se considera entre nosotros como el mejor Poeta de la nación, hacia mucho tiempo que se había refugiado en Alemania, porque creía que todo el mundo le perseguia. Noticioso el</t>
  </si>
  <si>
    <t>Biot</t>
  </si>
  <si>
    <t>el mismo tiempo. Parte matemática.—— 4.0 Memoria sobre la afinidad de los cuerpos con la luz , por Mr. Biot-----5.° Memoria sobre la adhesión de las moléculas del agua entré sí , por el Conde de Rumford..__ 6.° Elogio histórico de Mr. Cels, por Mr. Ciivier. El premio de la medalla anual que</t>
  </si>
  <si>
    <t>Biot y Mr</t>
  </si>
  <si>
    <t>rts miéntra^ que el Rey vuelve á Holanda, ddñ&amp;e ^se creé que no este mucho tiempo por ahora. * .' 1 Mr. Biot y Mr. Arengo salíéiron él” 2. del corriente de Paris para España. Van á continuar la meridiana de Mrs. Delambre y Mechain hasta las islas Baleares , acompañados de dos Españoles , D. J</t>
  </si>
  <si>
    <t>Biucher, General</t>
  </si>
  <si>
    <t>General Biucher</t>
  </si>
  <si>
    <t>pierde de contado el auxilio de las tropas He$** sesas, y ademas inutilizan el cuerpo que manda el General Biucher, que necesariamente deberá estar empleado en observar á Hes#e de miedo qué los Franceses entren en este país. Federico II no hubiera cometido semejante yerro, pues no se hubiera d</t>
  </si>
  <si>
    <t>k-Oels, hijo del Duque de Brunswick. De esta manera se halláron las tres colunas á las. órdenes del General Biucher, al qual se le habían reunido otros cuerpos poco numerosos. Intentáron varias veces buscar salida por los caminos que los Franceses podían haber de xa do libres; pero con las marc</t>
  </si>
  <si>
    <t>BIucher, General</t>
  </si>
  <si>
    <t>General BIucher</t>
  </si>
  <si>
    <t>reconcentrarse en las fronteras de Saxonia. Aseguran algunas cartas particulares de Hannóver que el General BIucher ha cogido 1© caballos de remonta, que venían del país de Holstein para los asentistas del exército Francés. Aseguran que el haber consentido el Elector de Wurtzburgo en tomar al.e</t>
  </si>
  <si>
    <t>Biuclierdecidme, General</t>
  </si>
  <si>
    <t>General Biuclierdecidme</t>
  </si>
  <si>
    <t>da todavía, escribió5 el! Emperador al Gran Duque de Berg; tenéis cortada una coluna mandada per ei General Biuclierdecidme pronto, que ha te ni</t>
  </si>
  <si>
    <t>Bjarlow, Jorge</t>
  </si>
  <si>
    <t>Jorge Bjarlow</t>
  </si>
  <si>
    <t>e un Gobierno y el principio de otro. También preguntó Lord Melville si se habían enviado órdenes á Sir Jorge Bjarlow para gobernar hasta la llegada de su sucesor; á lo que Lord Minto satisfizo diciendo, se le había hecho saber la suspensión de la comisión de gobierno, si bien se habia hecho esta</t>
  </si>
  <si>
    <t>Blanca</t>
  </si>
  <si>
    <t>ribas, calle de las Carretas, en la de Malacuera, calle del Carmen; y en Barcelona en la de Suarez. Doña Blanca, tragedia de D. Josef María Iñiguez. Se hallará en la librería de Castillo. ^ La colección de los gritos de Madrid, o los revendedores de por las calles: son 7 láminas de 4 figura</t>
  </si>
  <si>
    <t>e la Concepción, á 4 rs. ; y puede ir en carta. Viriato, tragedia de D. Josef María Iñiguez. Esta y Doña Blanca, tragedia del mismo autor, se hallarán en la librería de Castillo, á 6 rs. sueltas, y juntas y en pasta á 1 2. Octavas sobre la construcción de cementerios á beneficio de la salud</t>
  </si>
  <si>
    <t>Blanco y Cieza, Manuel</t>
  </si>
  <si>
    <t>Manuel Blanco y Cieza</t>
  </si>
  <si>
    <t>do á D. Mateo Seoane, y el tercero á D. Miguel Antonio de Parra, habiéndose adjudicado el accésit á D. Manuel Blanco y Cieza; consistiendo todos estos premios en libros escogidos pertenecientes á la instrucción en que sobresalieron----- En la escuela de costura de Do ña Gregoria Bergaño se adjudicó el p</t>
  </si>
  <si>
    <t>Blanco, Antonio</t>
  </si>
  <si>
    <t>Antonio Blanco</t>
  </si>
  <si>
    <t>e c! otro fruto sembradío en la forma ordinaria. Industria. Quátrocientos rs. á Antonio Blanco, vecino de Brañes, de este Concejo de Oviedo, por haber tenido en este año 36 enxambres de abejas: 200 rs. por via de gratificación á Simón Bernardo,, vecino de Santibañez de Murías, Conc</t>
  </si>
  <si>
    <t>Blanco, Ignacio</t>
  </si>
  <si>
    <t>Ignacio Blanco</t>
  </si>
  <si>
    <t>, en el término de 3'0 días. contados desde el día 20 de Noviembre pró~lmo pasado. En el juzgado de D. Ignacio Blanco, ALcalde ordinario de la ciudad de ·Xcrez de la Frol1tera, y escribanía de D. Alva.ro Duque ,se l1an formado y estan siguiendo autos de inveH:ario á los bienes que qaedároD por fa</t>
  </si>
  <si>
    <t>Blanco, Nicolás</t>
  </si>
  <si>
    <t>Nicolás Blanco</t>
  </si>
  <si>
    <t>Ricardo Palacio y Mendoza. El premio 3 .0, de estampas y estuche matemático por valor de 300rs., á D. Nicolás Blanco. Premias adjudicados por el patriótico Cuerpo d otros alumnos de la misma escuela* Cien reales á D. Santiago Mendez de Vigo: á D. Manuel Berruezo,idem: i I&gt;. Ignacio Collas, ídem;</t>
  </si>
  <si>
    <t>Blay, Ramón</t>
  </si>
  <si>
    <t>Ramón Blay</t>
  </si>
  <si>
    <t>eo de Capitan primero al segundo D. Constancio Martínez ; el de Capitán segundo al segundo Ayudante D. Ramón Blay; esta resulta al Teniente D. Félix Llorens ; la Tenencia al Subteniente D. Onofre Noviola, y la de Subteniente de bandera al Cadete D. Félix Grifols. El Rey se ha servido conferir</t>
  </si>
  <si>
    <t>Blondel</t>
  </si>
  <si>
    <t>denal de Rohan, de Madama de la Mota, del Conde de Cagliostro y de otros coacusados, por el Abogado Mr. Blondel, forman un tomo en 8.°, tercera impresión. Se hallará en pasta ó rústica en la librería de Orea, calle de la Montera, frente de S. Luis. En la librería de Burguillos, frente al ce</t>
  </si>
  <si>
    <t>Blpcher, General</t>
  </si>
  <si>
    <t>General Blpcher</t>
  </si>
  <si>
    <t>gerosv_;, v ,r Varios soldados Prusiapos^ue;andan Fagitlvqf .dc^dy, la derrota y;’ren-» diclon d’el General Blpcher, se presentan voluntariamente á las avanzadas Francesas pidiendo, pan y servicio. - -La carta siguiente, escrita por un Oficial,de la;división delGeneíal BJucher á un amigo reside</t>
  </si>
  <si>
    <t>Blucher y del Duque de Weymar, General</t>
  </si>
  <si>
    <t>General Blucher y del Duque de Weymar</t>
  </si>
  <si>
    <t>rlín 3 de Noviembre. , Aun no se ha recibido aviso de haber sido hechas prisioneras las colunas del General Blucher y del Duque de Weymar. He aquí la situación de estas dos divisiones enemigas y la de nuestras tropas. El General Blucher se habia dirigido con su coiuna sobre Stettin; pero teniendo noticia de que ocup</t>
  </si>
  <si>
    <t>Blucher, General</t>
  </si>
  <si>
    <t>General Blucher</t>
  </si>
  <si>
    <t>e á 5c© hombres, número que parece demasiado aun á los mas crédulos.__ De Westfalia escriben que el General Blucher ha executado con su cuerpo de exército las marchas prescritas para efectuar su unión con los Hesseses: como buenos Prusianos celebrarémos que salgan ciertas estas noticias. Las de</t>
  </si>
  <si>
    <t>el Oder, y una excelente línea de operacio?nes-----Luego que las colimas del Duque de Weymar y del General Blucher, que están flanqueadas por derecha é izquierda, y perseguidas por la retaguardia, se rindan, el exército descansará algunos dias. __ No se oye todavía hablar de los Rusos ; desear</t>
  </si>
  <si>
    <t>menor socorro en mi marcha. Cortados los socorros que podría recibir de Li-' chen, y del cuerpo del General Blucher, sin caballería en estado de pelear, sin municiones, y'sobre toda sin víveres; en fin,' persuadido que Sacrificaría la; vida dé é$ta &lt;éórta‘porción-de hombres sin utilidad alguna</t>
  </si>
  <si>
    <t>por cierto que los 14© hombres del Duque han caído ó van á caer en nuestro poder. Por otra parle el General Blucher salió el 29 por la mañana de Rhinsberg con 7® hombreé, dirigiéndose á Stettin; pero como el Mariscal Lannes y el Gran Duque de Berg se le habían adelantado tres marchas, dicha coh</t>
  </si>
  <si>
    <t>cto se han dado las órdenes correspondientes. Aquisgran 28 de Octubre. Escriben de Westfalia que el General Blucher, Comandante de Munster, evacuó aquella plaza con precipitación, habiendo sido llamado al cuerpo principal del exército Prusiano con los 5 ó 6® hombres que habia de guarnición. Ant</t>
  </si>
  <si>
    <t>en la Pomerania Sueca. El quartel general del Duque estaba el i.° de Noviembre en Demmin. Viendo el General Blucher y el Duque de Weymar que estaba cortado el camino de Stettin , tomaron hacia la izquierda como dirigiéndose al Elba; pero el Mariscal Soult habia previsto este movimiento, con lo que</t>
  </si>
  <si>
    <t>rusianos y á los de los aliados dePrusia.: Después de la capitulación del Príncipe de Hohenlohe, el General Blucher, que le seguía, mudó de rumbo, y consiguió reunirse á la coluna del Duque de Weymar, á quien se habia juntado la del Príncipe Federico Guillermo de Brunswick-Oels, hijo del Duque</t>
  </si>
  <si>
    <t>asalle y la división de coraceros de Hautpoul. En esta situación se presentaron á los vencedores el General Blucher, el Príncipe Guillermo de Brunswick-Oels y los demás Generales, pidiendo capitulación, y desfilaron delante del exército Francés. Estas.dos acciones han destruido el ultimo cuerpo</t>
  </si>
  <si>
    <t>ole al paso donde quiera que buscaba una retirada; fatigado,, en fin, de todos modos, el cuerpo del General Blucher, que constaba de 16© hombres, los 4© de caballería, y 80 cañones, fué obligado á capitR</t>
  </si>
  <si>
    <t>plaza. = Por duplicado, en Magdeburgo á 8 de Noviembre de 1806. Siguen las firmas. Capitulación del General Blucher. articulo 1. Las tropas al mando del General Blucher, así la caballería como infantería, artillería, y todo el destacamento que hace parte de las tropas de su mando, quedarán pris</t>
  </si>
  <si>
    <t>Drouet obligó á capitular cerca-de Lauenburgo, donde , se,-, hallaban separados de la división del General Blucher. . . . - w El Sargento mayor Amiel, al frente de un esquadron del 16 de cazadores, destacado por el Mariscal Soult á orillas del Elba, para recoger los fugitivos de la división de</t>
  </si>
  <si>
    <t>n ordenpaleando sin cesar.contra fuerzas superiores, y solo hasta el último trance.ha-, admitido el General Blucher una capitulación honrosa. No pudiendu este General, tan valiente como humano, ver la miseria extrema de sus tropas, que en 15 dias habían carecido hasta de pan, y que rendidas ^6</t>
  </si>
  <si>
    <t>Blucher, Teniente General</t>
  </si>
  <si>
    <t>Teniente General Blucher</t>
  </si>
  <si>
    <t>e\. General Blucher, y el General de división Rivaux. Sigue el estado de las tropas mandadas por el Teniente General Blucher, que ascienden á 33 batallones de infantería y 44 esquadrones de caballería, una compañía de cazadores, 4 cañones de campaña y varios destacamentos.</t>
  </si>
  <si>
    <t>Blucher-----, General</t>
  </si>
  <si>
    <t>General Blucher-----</t>
  </si>
  <si>
    <t>en Neubrandeburgo, y caminaba hacia Wharen, y así debe haber tenido un encuentro el dia i.° con el General Blucher----- La coiuna mandada por ei Duque de Weymar, llegó el 29 de Octubre á Neustrelitz ; pero noticioso desque el camino de Stettin estaba cortado, y habiendo encontrado los puestos avanzado</t>
  </si>
  <si>
    <t>Blucker, General</t>
  </si>
  <si>
    <t>General Blucker</t>
  </si>
  <si>
    <t>erdad, pero que pone á las claras el género de guerra que los Ingleses pueden hacer á la Prusia. El General Blucker ha cometido la torpeza de permitir estas correrías , sin embargo de tener fuerzas bastante respetables á su disposición; pero las tiene hacia los Ducados de Cleves y-de Berg. Ulti</t>
  </si>
  <si>
    <t>Blueher, General</t>
  </si>
  <si>
    <t>General Blueher</t>
  </si>
  <si>
    <t>l enemigo en esta acción, pasan al depósito de Potsdam. ' En el diario 29 se dixo que el cuerpo del General Blueher se componía de 16® hombres, entre los quales habia 4® de caballería. En esto se padeció equivocación, pues se tomaron 21® prisioneros, los 5® de caballería; de suerte, que de resu</t>
  </si>
  <si>
    <t>Bluqher, General</t>
  </si>
  <si>
    <t>General Bluqher</t>
  </si>
  <si>
    <t>volyeráá sus casas. La. fortaleza de Nienaburgp está -cercada. y., Ilamburgo. 1$ de 'Noviembre. Él General Bluqher ha dirigido al Rey de Prusla la relación que sigue de las operaciones del cuerpo de exérciro que mandaba. „Gon el corazón traspasado de dolor me veo precisado á poner en noticia d</t>
  </si>
  <si>
    <t>Boada, Benito</t>
  </si>
  <si>
    <t>Benito Boada</t>
  </si>
  <si>
    <t>D. Froylan Mendez de Vigor para una Canongía de la Catedral de Vique, vacante por fallecimiento de D. Benito Boada, á Don Bartolomé Seoane, Gapellan provisional de la Real Arraadaj y para el Beneficio residencial dé la ParroquiadeS. Justo y Pastor de la ciudad de Barcelona, vacante por muerte</t>
  </si>
  <si>
    <t>Boecop, Teniente General</t>
  </si>
  <si>
    <t>Teniente General Boecop</t>
  </si>
  <si>
    <t>Principados de Hildesheim y Halberstadt, de Eichsfeld, y de las ciudades de Goslar y Muhlhausen. El Teniente General Boecop, Gobernador de Paderborn, ha tomado también posesión de este Principado en nombre del Emperador de los Franceses___ También se ha tomado posesión de Munster y de Osnabruck, y de 1</t>
  </si>
  <si>
    <t>Bofarull, Pedro</t>
  </si>
  <si>
    <t>Pedro Bofarull</t>
  </si>
  <si>
    <t>ávila; á Capitanes segundos á los Tenientes D. Manuel Saviñon, Í &gt;. Josef Fernandez de la Reguera y D. Pedro Bofarull, los dos últimos de granaderos; á Tenientes de granaderos á los de fusileros D. Gabriel Tinajero y D. Domingo Aragón; á Tenientes de fusileros á los Subtenientes D. Josef Arnau y</t>
  </si>
  <si>
    <t>Boitas, Tomás</t>
  </si>
  <si>
    <t>Tomás Boitas</t>
  </si>
  <si>
    <t>Fernandez : para un Beneficio en la villa de Momblaneh, Diócesi de Tarragona, vacante por muerte de D. Tomas Boitas, á D. Lorenzo Guinovar: para otro en la Parroquia de Sta. Pau, Diócesi de Gerona, vacante por fallecimiento de D. Francisca Fluvia, á- D. Paladio Viílarrasa: para otro Beneficio p</t>
  </si>
  <si>
    <t>Boíx, Buenaventura</t>
  </si>
  <si>
    <t>Buenaventura Boíx</t>
  </si>
  <si>
    <t>niente al graduado D. Eugenio Fer-, nandez, Alférez del propio cuerpo ;á Alférez ai Portaestandarte D. Buenaventura Boíx, y á esta resulta al Sargento IV Juan Percheman. , ., *{ En el Regimiento de infantería Provincial de Celaya, en el jReyn.o, de- Nueva-España, se ha servido ei Rey pro^noyer á:.Ca</t>
  </si>
  <si>
    <t>Boixo, Juan</t>
  </si>
  <si>
    <t>Juan Boixo</t>
  </si>
  <si>
    <t>Subteniente de granaderos D. Manuel Muñoz : en el de Irlanda Tenencia al Subteniente de granaderos D. Juan Boixo, y Subtenencia de. bandera al, Sargento primero D. Eugenio Negroni : ene! Fjxo de Ceuta ha promovidoi’Teniente al Subteniente D.i Juan. María Garrido: en.ei deRédiiíg, ¡número 3.°</t>
  </si>
  <si>
    <t>Bollo, Capitán</t>
  </si>
  <si>
    <t>Capitán Bollo</t>
  </si>
  <si>
    <t>de las ruinas de su casa. AFRICA. Argel 5 de Noviembre de 180$. El día 9 de Octubre fondeó aquí el Capitán Bollo, Ge no ves, que había sido comisionado por los Judíos Busnah y Bacri para cargar trigo en el mar Negro. Se alegó que la venta del buque, verificada en la Cancillería de Ragusa, er</t>
  </si>
  <si>
    <t>Bompland</t>
  </si>
  <si>
    <t>s ha remitido el Doctor Mutis con el Barón de Humboldt al Instituto y Museo de París, según anuncia Mr. Bompland, compañero de este en su segundo Fascículo de plantas equinocciales. Si fuesen distintas de las del Perú algunas de las quinas de Sta. Fe, que observaron allí los'Doctores López y</t>
  </si>
  <si>
    <t>Bona, Cardenal</t>
  </si>
  <si>
    <t>Cardenal Bona</t>
  </si>
  <si>
    <t>rral. Segunda impresión de la obra intitulada Camino para eh cielo; escrita en latín por el célebre Cardenal Bona, y traducida al castellano. Esta preciosa óbrita, sacada de ía doctrina de los Santos Padres y de losrantiguos filósofos, *no tiene otro objeto que el de presentar al cristiano un</t>
  </si>
  <si>
    <t>Bonamich, Francisco</t>
  </si>
  <si>
    <t>Francisco Bonamich</t>
  </si>
  <si>
    <t>la librería de’Corral, calle de los Tintes, á Puerta Cerrada, se copiará la música eclesiástica de D. Francisco Bonamich, Maestro de Capilla de la Catedral de Vich, á precio de 8 rs. cada pliego en partitura, y á 10 el de un miserere á grande orquestra. *' ' ' ” EN LA IMPRENTA REAL. = ’</t>
  </si>
  <si>
    <t>Bonaparte, General</t>
  </si>
  <si>
    <t>General Bonaparte</t>
  </si>
  <si>
    <t>a Guerra se cita, ^lama y emplaza á Luis Bentre, Capitán y Armador del corsario Francés nombrado el General Bonaparte, para que dentro del término de tres meses contados desde el 18 del corriente comparezca en dicho Supremo Tribunal, por medio de procurador con poder bastante, al seguimiento de l</t>
  </si>
  <si>
    <t>Bonaparte, Gerónimo</t>
  </si>
  <si>
    <t>Gerónimo Bonaparte</t>
  </si>
  <si>
    <t>recienvenido’s de* América Se puede creer que la esqúadra del Contra-Almirante Willaumez, en la que Mr. Gerónimo Bonaparte, manda el navio el Veterano de 74, ha llegado á la Guadalupe; I rW ah T.-;b;r. &gt;q r*\: i’ : • " -• -s / ' ■ 1 Los fondos Ingleses hanbaxado considerablemente. Se atribuye á la not</t>
  </si>
  <si>
    <t>noticia dé haber entrado en la bahía de Concarneaü el navio el Veterano de 74 cañones, mandado por Mr. Gerónimo Bonaparte. Este navio se separó por un viento fuerte de la escuadra del Contra-Almirante ViÜaumez. Escriben de Bergerac, en el Perigord, que un animal feroz, que se cree ser una hiena, hace</t>
  </si>
  <si>
    <t>Bonaparte, Gerónimo (príncipe)</t>
  </si>
  <si>
    <t>Príncipe Gerónimo Bonaparte</t>
  </si>
  <si>
    <t>El Príncipe Gerónimo Bonaparte de vuelta de su larga campaña llego el 7 del corriente á St. Cloud, adonde inmediatamente le condecoró S. M. con la banda de la Legión de Honor. Desde el 13 de Diciembre último basta</t>
  </si>
  <si>
    <t>icar la propiedad. Se asegura que el Cardenal Mauri ha sido nombrado Limosnero mayor de S. A. I. el Príncipe Gerónimo Bonaparte, y que se halla en el numero de los Cardenales Franceses. El Emperador recibió ayer en audiencia particular al Embaxador de la Sublime Puerta. Escriben de Nanci, con fecha del 19,</t>
  </si>
  <si>
    <t>Bonet, Antonio</t>
  </si>
  <si>
    <t>Antonio Bonet</t>
  </si>
  <si>
    <t>Capiscolía mayor, tercera Dignidad de la Colegiata de S. Feiiu de Gerona, vacante por promoción de D. Antonio Bonet á Canongía de aquella Catedral, á D. Antonio Ouanias: para una.Canongía de la Colegiata de Mora en¡ el Obispado de Teruel, vacante por fallecimiento de D. Pedro Frayre, á D. Joaqu</t>
  </si>
  <si>
    <t>Bonhome, Teniente General</t>
  </si>
  <si>
    <t>Teniente General Bonhome</t>
  </si>
  <si>
    <t>a división de tropas Bátavas, que debe formar una parte del exército del Norte, será mandada por el Teniente General Bonhome, la qual consis</t>
  </si>
  <si>
    <t>Bonhomme, General</t>
  </si>
  <si>
    <t>General Bonhomme</t>
  </si>
  <si>
    <t>e calcula en 5.745,051 florines y 9 sueldos, comprebendido el Estado mayor y el de los Guardias. El General Bonhomme, Director general de la Guerra, ha principiado la nueva organización militar que le ha encargado S. M. Desde luego parece que habrá una reforma considerable de empleados; que se r</t>
  </si>
  <si>
    <t>Bonhomme, Teniente General</t>
  </si>
  <si>
    <t>Teniente General Bonhomme</t>
  </si>
  <si>
    <t>ma de- resultas de haberle arrojado el caballo el domingo ultimo al: tiempo de montar la pavada. El Teniente General Bonhomme ha sido nombrado Director general de</t>
  </si>
  <si>
    <t>Bonifacio</t>
  </si>
  <si>
    <t>á D. Agustiit Amstutz; el empleo de Capitán primero á D. Julio Ghristen; el de Capir* tan segundo á D. Bonifacio: Koppenban ;&gt; Tenencia de granaderos á D. Vicente* Meyer; Tenencia de fusileros á D. Josef- Sutter; Subtenencia de^gra-* naderos á D. Josef V^ohleben; Subtenencia de fusileros ál</t>
  </si>
  <si>
    <t>Bonifaz, Marcos Antonio</t>
  </si>
  <si>
    <t>Marcos Antonio Bonifaz</t>
  </si>
  <si>
    <t>nández Ruano; El Rey se ha dignado nombrar para el Corregimiento de Letras de la ciudad de Orense á D. Marcos Antonio Bonifaz: para el de la ciudad dé Baza á D. Manuel Antonio Beyan Escudero: para el de la ciudad de Alfaro á D. Juan Josef de Alfaro: para el Corrigimiento político de la ciudad de León á D</t>
  </si>
  <si>
    <t>Bonilla, Gerónimo</t>
  </si>
  <si>
    <t>Gerónimo Bonilla</t>
  </si>
  <si>
    <t>to de D. Francisco Xavier Hernández de Madrid, á D. Manuel Ventura Hurtado: para la Maestrescolía á D. Gerónimo Bonilla; y para la Tesorería al Magistral D. Andrés Marcelino Perez: para la Media-Ración de la Metropolitana de México, que vaco por ascenso de D. Josef María Alcalá á Magistral de ella,</t>
  </si>
  <si>
    <t>Bonilla, Manuel</t>
  </si>
  <si>
    <t>Manuel Bonilla</t>
  </si>
  <si>
    <t>r; á Ayudante al Teniente de granaderosD. Francisco Perez; á Teniente de granaderos al de fusileros D. Manuel Bonilla; á Teniente al Subteniente D. Tomas Sangran , y á Subtenientes de bandera á los Cadetes Don Leandro Camuñez y D. Mariano Zepero: en el batallón de infantería de Veracruz Tenencia</t>
  </si>
  <si>
    <t>al de fusileros D*.Antonio Salazar; á Capitán al Ayudante D. Josef Berzabal; á Ayudante al Teniente D. Manuel Bonilla; á Teniente al Subteniente de granaderos D. Francisco Farias; á Subteniente de granaderos al de fa</t>
  </si>
  <si>
    <t>Bonilla, Pedro</t>
  </si>
  <si>
    <t>Pedro Bonilla</t>
  </si>
  <si>
    <t>. conceder Tenencia al Subteniente D. Josef del Trell, y Subtenencia de bandera al Sargento primero D. Pedro Bonilla. En los Regimientos de Milicias Provinciales ha promovido S. M* á Tenientes de granaderos dé los de Logroño y Alcázar á los de fusileros Don Antonio Saenz y Angulo y D. Diego Magn</t>
  </si>
  <si>
    <t>Bootle</t>
  </si>
  <si>
    <t>o á S. M. que la Cámara de los Comunes verá con complacencia este acto del reconocimiento público.” Mr. Bootle, Windham, Jorge Ponsonby, Lord Folkstone, Mrs. Smith y Fox habláron sucesivamente, y apoyaron la propuesta, que se adoptó unánimemente. Escriben de Calcuta, que los vecinos han de</t>
  </si>
  <si>
    <t>Borda, Santiago</t>
  </si>
  <si>
    <t>Santiago Borda</t>
  </si>
  <si>
    <t>Adrián Caballero, D. Francisco Verdejo, D. Josef Valderrago, D. Pedro Mercado, y á los Portaguiones D. Santiago Borda y D. Bernardo Arroyo ; á Alférez al Sargento primero D. Clemente Zapata, yá Portaguiones al Sargento primero D. Gregorio Duran, y al Cadete D. Fabian de Rosas 6 Infantas; y también ha</t>
  </si>
  <si>
    <t>Borkey</t>
  </si>
  <si>
    <t>se aquel pais. Se habla mucho de un testamento muy singular que ha hecho un caballero rico nombrado Mr. Borkey, que acaba de morir en Knight’s-bridge cerca de Londres. Por una cláusula de dicho testamento dexa una pensión de 2 5 libras esterlinas á 4 perros suyos. Este sugeto, de bastantes</t>
  </si>
  <si>
    <t>Borrel, Salvador</t>
  </si>
  <si>
    <t>Salvador Borrel</t>
  </si>
  <si>
    <t>bispado por ascenso de D. Domingo Herrera al Beneficio de Móstoles, también en la propia Diócesi, á D. Salvador Borrel, Capellán reformado de los hospitales nacionales españoles de Santiago y Monserratde la Corte de Roma; y á D. Josef Mariano Andux, Presbítero, Coadjutor y Regente que fue de la Pa</t>
  </si>
  <si>
    <t>Botella, Fulgencio</t>
  </si>
  <si>
    <t>Fulgencio Botella</t>
  </si>
  <si>
    <t>ue se presentaron , y con satisfacción general diéron á luz los frutos de sus respectivas tareas..—.D. Fulgencio Botella abrió el acto con un discurso gratulatorio; siguió D. Benigno Risueño, de edad de 3 años y medió, con la mámfestacion de la Historia sagrada. En forma de diálogo se demostró la Ca</t>
  </si>
  <si>
    <t>Botines, Francisco</t>
  </si>
  <si>
    <t>Francisco Botines</t>
  </si>
  <si>
    <t>ha servido nombrar para una Canongía de la Metropolitana de Tarragona, vacante por fallecimiento de D. Francisco Botines, á Don Pedro Espinosa, Canónigo de la Catedral de Huesca: para otra de dicha Metropolitana, vacante por muerte de D. Juan Morell, á D. Francisco Tru^ yolls, Beneficiado de la Cate</t>
  </si>
  <si>
    <t>Bou</t>
  </si>
  <si>
    <t>a j compuesta de jgual número de Rusos. , Uamburgo 2/ de Diciembre. El 13 del corriente ha recibido Mr. Bou^rienne, Ministro de Francia en esta ciudad, un correo de Berlín, despachado por Mr. Laforét, con la noticia de la victoria de Austerlitz. Aunque en estos últimos dias nos habían a</t>
  </si>
  <si>
    <t>Boucher, Coronel</t>
  </si>
  <si>
    <t>Coronel Boucher</t>
  </si>
  <si>
    <t>St. Laurent, el de Ingenieros el General de esta clase Casals, y los darruages con los pontones el Coronel Boucher. El Emperador manifestó al General Songis lo satisfecho que estaba de su actividad en tener pronta , como Inspector, la artillería para el servicio dd exércitu grande. . &gt; •! . .</t>
  </si>
  <si>
    <t>Bourcier, General</t>
  </si>
  <si>
    <t>General Bourcier</t>
  </si>
  <si>
    <t>al Watther, 6 Regimientos de dragones; el del General Beaumont, 6 Regimientos de dragones* y el del General Bourcier, otros 6 de dragones. AUSTRIA. Viena 1 y de Mayo. En el Consejo áulico de Guerra va á ponerse una oficina particular que tendrá el nombre de Secretaría geográfica , topográfica y</t>
  </si>
  <si>
    <t>Bourienne</t>
  </si>
  <si>
    <t>smo tenor. El Duque de Saxonia Weymar, que ha pasado algunos días en Hamburgo, ha comido en casa de Mr. Bourienne, Ministro de Francia, con el General Leopoldo Berthier y el General Drouet. Va á Berlín, y según parece está resuelto que conservará su soberanía. Brunswick 14 de Noviembre. El ca</t>
  </si>
  <si>
    <t>Bourt, Juan Bautista</t>
  </si>
  <si>
    <t>Juan Bautista Bourt</t>
  </si>
  <si>
    <t>uien supiere de su paradero se servirá avisar eü éstá Corte 4 D. Pablo Sagrista y Soler, en Cádiz á D. Juan Bautista Bourt* e« Alicante i D. Roberto Montgomery y compañía, en Valencia á O. Vicente Calía e hijo*y eA Barcelona a D* Joaquín de Roca y Batí le. Por providencia de D&gt; Manuel de la Piara y Fa</t>
  </si>
  <si>
    <t>Bourtelou, Esteban</t>
  </si>
  <si>
    <t>Esteban Bourtelou</t>
  </si>
  <si>
    <t>perimentos de sus autores : distíngueme particularmente los descubrimientos fisiológicos hechos por D. Esteban Bourtelou, los que son sumamente importantes para los adelantamientos de la agricultura, porque conducen ¿ establecer principios generales. No son menos interesantes otros mu hos artículos,</t>
  </si>
  <si>
    <t>Bousingault, Carlos</t>
  </si>
  <si>
    <t>Carlos Bousingault</t>
  </si>
  <si>
    <t>■■ ; S. M. ha conferido Tenencia en él •Regimiento de dragones de Tusita— nía al Guardia dé Corps* D Carlos Bousingault. En América. EI Réy se ha ísérindo nombrar para la Dignidad de Maestrescuela de ta Catedral de Panamá , vacante por fallecimiento de D. Pedro Juan de Batista, á D. Juan Josef Mart</t>
  </si>
  <si>
    <t>Boussart, General</t>
  </si>
  <si>
    <t>General Boussart</t>
  </si>
  <si>
    <t>n Friedland; hechas sus disposiciones, mandó al General Becke-r, que con la brigada de dragones del General Boussart acometiese la coluna del General Prusiano Bila, que se hallaba en la llanura inmediata á la ciudad de Ankian. En un instante fuéron-arrolladas y perseguidas hasta el pueblo la inf</t>
  </si>
  <si>
    <t>Boutelou, Estéban</t>
  </si>
  <si>
    <t>Estéban Boutelou</t>
  </si>
  <si>
    <t>del ganado vacuno; I3 descripción de un trillo de nueva invención} varias observaciones hechas; por D. Estéban Boutelou en un viage agronómico; el método de construir cubos y cubas de cal y canto para ahorrar las vasijas de madera, sín perjudicar á la calidad del vino, y un ensayo sobre su formación;</t>
  </si>
  <si>
    <t>Boza, Antonio</t>
  </si>
  <si>
    <t>Antonio Boza</t>
  </si>
  <si>
    <t>amaddz , D. Francisco Escribas y D. Josef María Chenard; á Subtenientes de fusileros los de bandera D. Antonio Boza, D, Josef Gregorio de Castilla, D. Andrés Perez y D. Josef Cayetano de Sastre, y á Subtenientes de bandera al Sargento primero D. Nicolás Naranjo, y á los Cadetes D. Antonio Arang</t>
  </si>
  <si>
    <t>Bradfort, Coronel</t>
  </si>
  <si>
    <t>Coronel Bradfort</t>
  </si>
  <si>
    <t>vela,: Ha llégado á aquel puerto Sir Samuel .Auchmusty para tomar. el'mando deja expedición;.con el Coronel Bradfort su Ayudante ,de Campo,. y otros Oficiales dé su Estado mayor.. El: Duque de Yorek: revistará las tropas antes que se embarquen. »</t>
  </si>
  <si>
    <t>Brady, General</t>
  </si>
  <si>
    <t>General Brady</t>
  </si>
  <si>
    <t>cesas habian llegado ya á Ragusa quando; el fuerte de Castel-Nuovo fué entregado á.300 Rusos por el General Brady, que mandaba 2® AustriacoSi Este General ., Ingles de origen, no ha. cumplido como debía con la Francia . y ha sido traydor=á su amo., Con esta noticia el Mariscal Berthier ha.fli</t>
  </si>
  <si>
    <t>stria, adonde tienen mas de 30® hombres. Los Rusos tienen en este momento 1^00 hombres y no mas. El General Brady entregó la fortaleza á los Rusos; el Regimiento de Thurn, que tenia 1600 hombres, hacia la guarnición; y cedió.los fuertes á 3 00 Rusos que llegaron á bordo de dos Fragatas. La mayo</t>
  </si>
  <si>
    <t>Bragation, Príncipe</t>
  </si>
  <si>
    <t>Príncipe Bragation</t>
  </si>
  <si>
    <t>el Principado de Omabruck ha llegado ya un Regimiento. • In mediatamente que llegó á Petersburgo el Príncipe Bragation recibió ée S. M. I., á título de gratificación por sus servicios, un libramiento de 400® rublos contra la Caxa del Monte pió de la nobleza, en lugar de las tierras y aldeanos de q</t>
  </si>
  <si>
    <t>Bragge-Bathurst</t>
  </si>
  <si>
    <t>ros. Mr. Tomás Grenville , primer Lord del Almirantazgo. Mr. Tierney, Presidente de la Contraloría. Mr. Bragge-Bathurst, Superintendente de la Casa de Moneda. 1 El Capitán Whitby, Comandante de la fragata Leandro, que hallándose este verano á vista de Nueva-Yorck mató á un marinero Americano, ha Te</t>
  </si>
  <si>
    <t>Bran</t>
  </si>
  <si>
    <t>do en los términos mas expresivos manifestando á S. E, la parte que le cabe en tan acertado enlace. Mr. Bran, Judío muy cofiocido por su literatura, ba comenzado á publicar aquí todos los papeles y documentos de oficio concernientes al mejoramiento de la suerte y condición de los Judíos</t>
  </si>
  <si>
    <t>Brasé, Carlos</t>
  </si>
  <si>
    <t>Carlos Brasé</t>
  </si>
  <si>
    <t>Oto, D. Benito de Prado Ulloa, D. Tomas de Arsú, D. Pedro Ladrón de Guevara, D. Juan de Xaramillo, D. Carlos Brasé, D. Josef García Aleson, Don Pedro Josef de Marcoleta, D. Dionisio Hurtado de Mendoza y D. Josef Navarro del Dosal: de los Monteros de Guarda y Cámara de S. M. Don Josef Solana, D</t>
  </si>
  <si>
    <t>Bravo y Uribe, Juan Ramón</t>
  </si>
  <si>
    <t>Juan Ramón Bravo y Uribe</t>
  </si>
  <si>
    <t>. M. se ha dignado condecorar con los honores de Alcalde del crimen de la Chancillería de Granada á D. Juan Ramón Bravo y Uribe, Corregidor de la ciudad de Baza, jubilándole al propio tiempo en esta carrera. También se ha dignado S. M. conferir el Gobierno Militar y Político de S. Lúcar de Barrameda al Mar</t>
  </si>
  <si>
    <t>Bravo, Juan</t>
  </si>
  <si>
    <t>Juan Bravo</t>
  </si>
  <si>
    <t>caballo del propio Regimiento; y ha nombrado por Tenjente del expresado Real Cuerpo al Subteniente D. Juan Bravo. ? : En America. S. M. se ha servido nombrar para Ja Canongía Magistral de la Metropolitana de México al Medio-Racionero de ella D. Josef María Alcalá: para una Media-Ración de la</t>
  </si>
  <si>
    <t>Bray, Miguel</t>
  </si>
  <si>
    <t>Miguel Bray</t>
  </si>
  <si>
    <t>nte graduado de Capitán D. Fernando Zappino: en el de Irlanda Tenencia al Subteniente de granaderos D. Miguel Bray ; y en el de León Subtenencia de bandera al Cadete D. Mariano la Torre..- ■';■■■ i ‘ i’;’ El Rey ha venido en nombrar para una plaza supernumeraria de Alcalde de su Real Casa y Co</t>
  </si>
  <si>
    <t>Bréia</t>
  </si>
  <si>
    <t>ombrado 17 Polacos, miembros de la comisión provincial establecidá én Pósen, baxo lá presidencia de Mr. Bréia. Se han ' agregado á la Regencia 21 nacionales en calidad de Consejeros: el Presi— dente será Mr.* Krzyzanowski: han salido ya diputados para Berlín. Hay aquí muchos Señores Polac</t>
  </si>
  <si>
    <t>Brickdale, Juan</t>
  </si>
  <si>
    <t>Juan Brickdale</t>
  </si>
  <si>
    <t>Coronel del Regimiento de infantería de Hibernia al Comandante del tercer batallón del mismo Cuerpo D. Juan Brickdale. El Rey se ha servido promover á Coronel del Regimiento Suizo de Reding, número 3.°, al Coronel D. Nazario Reding, Teniente Coronel dei mismo s y á Subteniente de granaderos al de</t>
  </si>
  <si>
    <t>Briere de Monaetour</t>
  </si>
  <si>
    <t>antó \ su encuentro hasta la entrada del coro, y lo conduxo hasta las gradas del altar mayor, donde Mr. Briere de Monaetour, uno de los Corregidores Diputados cerca de S.M., dirigió un discurso al Cardenal Arzobispo y al Cabildo en nombre de la Diputación, manifestando la estimación que había hecho el</t>
  </si>
  <si>
    <t>Brioso, Pedro</t>
  </si>
  <si>
    <t>Pedro Brioso</t>
  </si>
  <si>
    <t>M. se na servido nombrar para la Canongía vacante en la Catedral "de Astorga, por fallecimiento de D. Pedro Brioso, á D. Francisco de Paula Zapata, Presbítero; y para el Curato rural de la Parroquia de la Magdalena de la ciudad de Plasencia, vacante por muerte de D. Lorenzo Tirado, á D. Doming</t>
  </si>
  <si>
    <t>Brisson</t>
  </si>
  <si>
    <t>Príncipe Electoral de Badén y su esposa partieron el i.° del corriente de St. Cloud para Carlsruhe. Mr. Brisson, miembro deí Instituto, autor de un curso de física y de otras muchas obras, ha fallecido hace pocos dias en una edad muy.avanzada. ■ Mr. d’Oubril llego á Strasburgo el 29 de Juni</t>
  </si>
  <si>
    <t>os como modernos, y confirmadas por la experiencia*, escritos en francés por el ciud. Brisson, y traducidos al castellano, y aumentados con notas, que contienen todas las fórmulas del movimiento, fuerzas centrales &amp;c., por Don Julián Antonio Rodríguez.</t>
  </si>
  <si>
    <t>Briz, Benito</t>
  </si>
  <si>
    <t>Benito Briz</t>
  </si>
  <si>
    <t>n ¿5 ó mas acciones propias deberán hacerlo constar en la Secretaría del citado Banco, del cargo de D. Benito Briz, exhibiendo las mismas acciones, ó entregando testimonio suficiente l$ue acredite su pertenencia, y los números que com rehendan, y si son adquiridas por endosos, á quien están ll</t>
  </si>
  <si>
    <t>Broc Mayordomo, Coronel</t>
  </si>
  <si>
    <t>Coronel Broc Mayordomo</t>
  </si>
  <si>
    <t>stro Plenipotenciario cerca del Emperador Napoleón; al Teniente General Noguez Ballestero mayor; al Coronel Broc Mayordomo</t>
  </si>
  <si>
    <t>Bronchal, Juan</t>
  </si>
  <si>
    <t>Juan Bronchal</t>
  </si>
  <si>
    <t>entes de granaderos D. Manuel de la Revilla y Don Martin de Sierra ; y en el de Jaén ai Subteniente D. Juan Bronchal: Subtenencias de bandera en el de Zaragoza al Sargento primero D. Francisco Rafael: en el de Córdoba á D. Bartolomé Aguilera y Aguilera, Cadete del de Reales Guardias Españolas: e</t>
  </si>
  <si>
    <t>Brooke, Lord</t>
  </si>
  <si>
    <t>Lord Brooke</t>
  </si>
  <si>
    <t>Tomados todos los votos, el Lord Canciller dio el suyo. La qiiestion se puso en .esta forma: „Juan Lord Brooke, Henrique Vizconde Melville ¿es reo ó no.de los crímenes y malversaciones de que se le acusa en este capítulo?__ Respuesta. Sobre mi honor digo que no es reo.”___ Votaron los Pare</t>
  </si>
  <si>
    <t>Brosey, Juan</t>
  </si>
  <si>
    <t>Juan Brosey</t>
  </si>
  <si>
    <t>rgento, graduado de Subteniente, .D. Josef Orozco: en el de Reding numero 3.0 Ayudantía al Teniente D. Juan Brosey * Tenencia al Subteniente de granaderos D. Ignacio'Bauman: en el de Traxler empleos de Capitanes segundos á los Tenientes de: granaderos D. Remigio</t>
  </si>
  <si>
    <t>Bruce</t>
  </si>
  <si>
    <t>ado en Abisinia, dé donde trae á un Príncipe Abisinio mozo, pariente de Negad- Ba-Mahomet, de quien Mr. Bruce habla muchas veces en su viage, y dice era su atnigo. Este Príncipe y Mr. Salt han acompañado siempre á Lord Valence* y llegado juntos: han atravesado el istmo de Suez, y de Alexa</t>
  </si>
  <si>
    <t>Bruce, Santiago</t>
  </si>
  <si>
    <t>Santiago Bruce</t>
  </si>
  <si>
    <t>AZETA DE MADRID DEL VIERNES 2j DE JULIO DE 1806. ESTADOS-UNIDOS DE AMERICA. Nueva-Yorck 24 de Mayo. Mr. Santiago Bruce, pasagero de la goleta nombrada la Carlota Augusta &gt; llegó ayer aquí en 9 dias, procedente de Halifax, y nos ha informado que corrian voces en aquel puerto de que el Commodoro Ber</t>
  </si>
  <si>
    <t>Brüggemann</t>
  </si>
  <si>
    <t>uestra Corte ha despachado un correo con (a respuesta definitiva á los pliegos que traxo de Londres Mr. Brüggemann. Ahora depende solo dél</t>
  </si>
  <si>
    <t>Brunaci</t>
  </si>
  <si>
    <t>largo y malo. Los Ingleses y los Rusos registran todavía nuestros buques. Florencia 4 de Julio. El Profesor Brunaci, Rector de la Universidad de Pavía, ha tenido la honra de presentar á la Reyna la obra que ha publicado recientemente con el título de Curso de Matemáticas traicendentes. S. M. le</t>
  </si>
  <si>
    <t>Brunetti, Juan</t>
  </si>
  <si>
    <t>Juan Brunetti</t>
  </si>
  <si>
    <t>Imperiales , con las demas insignias, .dibuxado en S. Cloud por Joaquín Chailly, ambos grabados por D. Juan Brunetti. .Se hallarán en la librería de Escribano, calle de¡las Carretas, á 4 rs. cada uno. ±s En la misma librería se hallan diversas estampas de dicho grabador, y entre ellas la del cor</t>
  </si>
  <si>
    <t>heridas recibidas en el combate. Pintado de medio cuerpo en París por J. J. Ramonet, y grabado por D. Juan Brunetti. Hace juego con el del Almirante Nelson, muerto por los Españoles. Se hallará en la librería de Escribano, calle de las Carretas, con otros varios retratos , á 4 rs., y el del Exc</t>
  </si>
  <si>
    <t>el madero de la cruz; en tamaño de medio pliego de marca mayor, pintado por Amiconi, y grabado por D. Juan Brunetti. Se hallará en la librería &gt; de Escribano , calle deJas Carretas ,'á 6 rs. - : , En IaJibrería de Dávila, calle de las Carretas, sé halla una pieza para guitarra de la marcha de J</t>
  </si>
  <si>
    <t>Bruno Ballarino</t>
  </si>
  <si>
    <t>Real Audiencia de Valencia á D. Manuel Domingo Morales. Y en atención á los méritos y servicios de D. Bruno Ballarino, Promotor-Fiscal del Juzgado de Ingenieros, y Asesor de todas Rentas de la Provincia de Cádiz, ha venido también S. M. en concederle honores de Aleal-? de del crimen de la Audienc</t>
  </si>
  <si>
    <t>Bruno de Laláing</t>
  </si>
  <si>
    <t>Cuerpos. El dia 16 de Enero próximo pasado falleció á los 66 años y 8 meses de edad, el Excmo. Sr. D. Bruno de Laláing, Calasanz, Rim, Abarca; Grande de España de primera clase; Caballerizo mayor de la Reyna nuestra Señora; Caballero de la insigne Orden del Toyson de Oro ; Gran Cruz de la Real dis</t>
  </si>
  <si>
    <t>Bruno Nasples</t>
  </si>
  <si>
    <t>. M. se ha servido nombrar para una Canongía de la Catedral de Gerona, vacante por fallecimiento de D. Bruno Nasples, á D. Josef Alfonso Cao y Nuñez, Capellán de número de la Real Armada; y para otra dé la Colegiata de Tarrasa, Diócesis de Barcelona, vacante por muerte de Don Juan Rusiñol, á D.</t>
  </si>
  <si>
    <t>Btirg</t>
  </si>
  <si>
    <t>o 6h 9' 5^,3, tiempo verdadero. Empleando pues las tablas de Sol de Mr. De Lambre, y las de Luna de Mr. Btirg, y corrigiendo estás del error en latitud 9^,45-, promedio del que han encontrado por la observación del Depósito Hidrográfico los Capitanes de Fragata D. Josef González Ortiz y D</t>
  </si>
  <si>
    <t>Buchanan</t>
  </si>
  <si>
    <t>se sirven todavía del dialecto Siriaco-Caldeo. Los Obispos de Inglaterra han encargado muy mucho al Doctor Buchanan que exámine el símbolo ú profesión de fe, para decidir si la Iglesia Anglicana debe adoptar á los Cristianos del Malabar, que hoy dia son súbditos de la Inglaterra. Aquellos Obisp</t>
  </si>
  <si>
    <t>Buchet, General</t>
  </si>
  <si>
    <t>General Buchet</t>
  </si>
  <si>
    <t>ito tendrá entendido que el Ministro de la Cluerra Pino fia sido nombrado Gefe del Estado mayor; el General Buchet, Comandante en gefe de la Artillería; y el Coronel Sorbier, Comandante en gefe de Ingenieros.”=: Firmado, El Príncipe Eugenio. Ayer el Gobierno provisional publico una proclama á</t>
  </si>
  <si>
    <t>Buéna-Maison</t>
  </si>
  <si>
    <t>ad de Panamá; inv.asion de varias plazas de América por lós piratas Lolónoís y Morgan : su aütór él Dr. Buéna-Maison.sLas églogas y geórgicas dé Virgilio, rimas , y el Pompéyo , tragedia: su autor Cristóbal de Alésa, uño de lós mejores autores Españoles. =rDesengaño del hombre en él tribunalde l</t>
  </si>
  <si>
    <t>Buendía, Miguel</t>
  </si>
  <si>
    <t>Miguel Buendía</t>
  </si>
  <si>
    <t>clase del Regimiento de caballería del Rey D. Pedro del Castillo, y lia nombrado para su resulta á D. Miguel Buendía, Sargento de la misma Réaí Brigada. En los Regimientos de infantería de Sevilla y Asturias se ha servido S. M. conceder Subtenencias de bandera á los Cadetes D.AntonioJunguito y D</t>
  </si>
  <si>
    <t>Buiow</t>
  </si>
  <si>
    <t>guncia entrarán los que mandan Augereau y Lefevure. Se ha publicado en Berlín una obra, escrita por Mr. Buiow, intitulada Campaña de 180G. En la cubierta del libro se ve una fama, y delante de ella un soldado de los exércitos coaligados, que huye á toda prisa tapándose los oídos con ámbas</t>
  </si>
  <si>
    <t>Bulow</t>
  </si>
  <si>
    <t>ta de los militares de muchas de las grandes Potencias de Europa, quando ménos, con gran severidad. Mr. Bulow es uno de los mas acalorados admiradores del Emperador Napoleón, y todos quantos han leído el libro aseguran que contiene verdades algo fuertes. Hamburgo tp de Julio. En las cartas</t>
  </si>
  <si>
    <t>Burel</t>
  </si>
  <si>
    <t>EL VIERNES 23 DE MAYO DE 1806. TURQUIA. Constantinopla i.° de Abril. Ha salido de aquí para Londres Mr. Burel, Secretario de la Legación' Inglesa. Dícese que Baswan-Oglow, después de haber sido batido por los Servios, les ha propuesto un convenio, en virtud del qual se reunirá á ellos con</t>
  </si>
  <si>
    <t>Bureva, Joaquín</t>
  </si>
  <si>
    <t>Joaquín Bureva</t>
  </si>
  <si>
    <t>e Falencia, vacante por promoción de D. Francisco Xavier Vade jo al Curato de la villa de Osorno, á D. Joaquín Bureva: para el Beneficio simple servidero de la villa de Arroyo del Puerco ^Diócesi de Coria, vacante por muerte de D. Fernando Sánchez Escribano, á D/Fernando Josef Rubio Jurado: para</t>
  </si>
  <si>
    <t>Burg</t>
  </si>
  <si>
    <t>io66'' este importante objete» por no bailarme con las tablas de Mr. Burg, de eme se sirven en ei dia todos los Astrónomos; mas habiéndolas adquirido hace pocos dias, he calculado ia observación del eclipse de Sol del dia 16-de-Junio. Y no teniendo la m</t>
  </si>
  <si>
    <t>Burgarz</t>
  </si>
  <si>
    <t>a considerable del rio. Durante la obra ha manifestado un zelo infatigable el arquitecto hidráulico Mr. Burgarz. La velocidad de la corriente en el parage donde está la obra era " de 2 á 12 pies por segundo; ’ por lo qual puede reputárse la^ tal obra como lo inas grande y , acabado que hay</t>
  </si>
  <si>
    <t>Burgos, Manuel</t>
  </si>
  <si>
    <t>Manuel Burgos</t>
  </si>
  <si>
    <t>ial de Soria, Diócesi de Osma, vacantes por renuncia de D. Manuel Arguiaga y D. Matías Fernandez, á D. Manuel Burgos y á D. Simón piez: para la Canongía, vacante en la Catedral de Sigüenza por fallecimiento de D. Domingo Julián Fariza, á Don Josef Urraca, con retención de ja Dignidad de Prior de l</t>
  </si>
  <si>
    <t>Burke</t>
  </si>
  <si>
    <t>Utiles servicios que hizo Mr. Burke, no siendo-mas que un simple miembro del Parlamento; sin embargo no se le decretó ningún honor público después de su muerte. Y lo que no pudo conseguir Mr. Burke, quien siempre hi</t>
  </si>
  <si>
    <t>Burrueso, Juan Alonso</t>
  </si>
  <si>
    <t>Juan Alonso Burrueso</t>
  </si>
  <si>
    <t>Zúñiga, á D. Gabriel Crespo González, Presbítero: para otra vacante en la de Granada, por muerteMe D. Juan Alonso Burrueso, á D. Josef María de Xerez, Cura de la Parroquial de Sta. Escolástica de aquella ciudad: para una Media-Ración en la Catedral de Cartagena, por fallecimiento de D. Juan Ciríaco de</t>
  </si>
  <si>
    <t>Busching</t>
  </si>
  <si>
    <t>adt 9 que contiene particularidades curiosas; va-inclusa en este diario. : El Príncipe de Hatzfeld; Mr. Busching, Presidente de la Policía; el Presidente Kercheisén; Formey, Consejero íntimo; Polzig, Consejero de -la Municipalidád t'íMts. Ráek i Siegr , Hermensdorif, Consejeros, Diputadds de</t>
  </si>
  <si>
    <t>Butier, Tomás</t>
  </si>
  <si>
    <t>Tomás Butier</t>
  </si>
  <si>
    <t>io Lamas: en los Inmemorial del Rey y de la Re)na Ayudantías á los Tenientes, graduados de Capitán, D. Tomas Butier y D. Josef Coste* en el de las Ordenes Militares Tenencia al Subteniente de granaderos Don Gavina Martínez: en el de Hibernia Subtenencia de bandera ai Cadete D. Pedro Pantaleon Zuloa</t>
  </si>
  <si>
    <t>Bútler, Juan</t>
  </si>
  <si>
    <t>Juan Bútler</t>
  </si>
  <si>
    <t>riga, Abogado de los Reales Consejos. En atención á lo que han representado los Mariscales de Campo Don Juan Bútler, Gobernador Militar y Político del Puerto de Santa María, y IX Francisco de Vargas, que lo es igualmente de; la plaza de Cartagena, ha condescendido el Rey en la permuta de sus re</t>
  </si>
  <si>
    <t>Butler, Ricardo</t>
  </si>
  <si>
    <t>Ricardo Butler</t>
  </si>
  <si>
    <t>Regimiento de infanterías-de^Eliberniá Ayudantía al Tenienté de granaderos, graduado de Capitán , 'D. Ricardo Butler j y en el de Ultoniá Tenencia al Subteniente D. Jayms Alesandriai En el Regimiento Suizo de Preux se ha servido el Rey ¡conceder Te¿ nencias á los Subtenientes de granaderos D. Jo</t>
  </si>
  <si>
    <t>Buxhoefden, General</t>
  </si>
  <si>
    <t>General Buxhoefden</t>
  </si>
  <si>
    <t>e una marcha de seis semanas llegó al Regimiento , y entregó la bandera. 2.a En la misma batalla el General Buxhoefden tenia sus dos hijos consigo. El segundo j que solo contaba 13 años, tuvo orden de permanecer en una altura para observar los movimientos del «xército. Habiendo percibido este jove</t>
  </si>
  <si>
    <t>Byng, Almirante</t>
  </si>
  <si>
    <t>Almirante Byng</t>
  </si>
  <si>
    <t>años, que vi*via en un hospicio. Había sido uno de los seis soldados de marina que arcabucearon al Almirante Byng en 1775___ Muchas veces le habían oido decir que estaba cierto de que la bala de. su fusil había, muerto, al Almirante. Esta idea le había hecho tal impresión, que le volvió loco mu</t>
  </si>
  <si>
    <t>perimentaron su piedad, Én la Gazeta del viernes \ j de Octubre, pág. '878, línea 41, donde dice al Almirante Byng en Í7J$ &gt; debe decir al Almirante Byng en Por providencia del Real y Supremo Consejo de Castilla, dictada el 14 deí presente, ha mandado se vuelva á sacará nueva subasta, portérmino</t>
  </si>
  <si>
    <t>Caballero, Antonio</t>
  </si>
  <si>
    <t>Antonio Caballero</t>
  </si>
  <si>
    <t>ambién se celebrará el de otra huerta sita en dicha ribera, perteneciente á la obra pía fundada por D. Antonio Caballero, apreciada en 5754 rs» 1— Asimismo se están subastando las casas que en la nominada ciudad corresponden á la obra pia fundada en- ella por el ciíad’b O. Antonio Caballero, y están</t>
  </si>
  <si>
    <t>Cabañas, Julián</t>
  </si>
  <si>
    <t>Julián Cabañas</t>
  </si>
  <si>
    <t>á D. Félix Fernandez Cavada, el segundo á D. Cipriano Antonio de Barcenilla y Langayo, sorteado con D. Julián Cabañas, á quien de consiguiente le correspondió el tercero. En la de Agricultura, dirigida por el socio D. Patricio Pastor, se dió premio de primera clase á Don Mariano Santander y Afere</t>
  </si>
  <si>
    <t>Cabello, Antonio</t>
  </si>
  <si>
    <t>Antonio Cabello</t>
  </si>
  <si>
    <t>r á Ayudante al Teniente D. Mariano de Campo; y á Tenientes á los Alféreces D. Josef Ignacio Duran, D. Antonio Cabello, D. Estéban Benedet y D. Antonio Videras. Asimismo en ei Regimiento de infantería Provincial de México se ha dignado el REYpromover á Teniente al Subteniente D. Pedro Valiente ;á</t>
  </si>
  <si>
    <t>Cabero, Francisco</t>
  </si>
  <si>
    <t>Francisco Cabero</t>
  </si>
  <si>
    <t>z de Mercado , D. Ramón María Pardo Montenegro, D. Félix Pérez de Guzman, y al Subteniente agregado D. Francisco Cabero. Teniendo presente el Rey que todos los provistos &lt;en empleos de Real Hacienda de América con Real Título deben presentarse al Juez de Arribadas del puerto que elijan para embarca</t>
  </si>
  <si>
    <t>Cabral y Jaymes, Agustín</t>
  </si>
  <si>
    <t>Agustín Cabral y Jaymes</t>
  </si>
  <si>
    <t>14 de octubre de 1806</t>
  </si>
  <si>
    <t>vacante por promoción de D. Lorenzo Montes de Oca á la Dignidad de Tesorero de ia misma Iglesia, á D. Agustín Cabral y Jaymes, Cura de la Parroquia del lugar de Tenor, de aquella Diócesi; y para el Arciprestazgo de Alcaraz, en el Arzobispado de Toledo, vacante por fallecimiento de D. Francisco Sandoval,</t>
  </si>
  <si>
    <t>Cabrera, Pedro Agustín</t>
  </si>
  <si>
    <t>Pedro Agustín Cabrera</t>
  </si>
  <si>
    <t>Gabriel Melendez : para la Tesorería á D. Josef Narciso Dongo: para la Canongía que dexa Melendez á D. Pedro Agustín Cabrera: para la de Dongo á D. Manuel Ocampo; y para la Ración de Cabrera á D. Mariano Pacheco, Cura en el Obispado de Arequipa. Asimismo, y en consideración á los particulares y dilatado</t>
  </si>
  <si>
    <t>Cacho Negrete, Antonio</t>
  </si>
  <si>
    <t>Antonio Cacho Negrete</t>
  </si>
  <si>
    <t>, cobrados por la Justicia. Los pretendientes dirigirán sus memoriales á dicha villa de Tufleque, á D. Antonio Cacho Negrete, ó á aquel Ayuntamiento. • Se halla vacante el partido de Médico de la villa de VUlanueva de la Serena: tiene de dotación fixa sobre los Propios por reglamento 3-300 rs. anuales,</t>
  </si>
  <si>
    <t>Caffarelli, General</t>
  </si>
  <si>
    <t>General Caffarelli</t>
  </si>
  <si>
    <t>margen izquierda del Danubio, y que llega hasta las orillas del Necker, comprebende la división del General Caffarelli, de 4 Regimientos de infantería de línea y uno de infantería ligera; la división Friant, de 4 Regimientos de infantería de línea y uno de infantería ligera; la división Gudin, com</t>
  </si>
  <si>
    <t>Cáfrlosíii</t>
  </si>
  <si>
    <t>posesiones, que aumentó con la conquista de las islas Batanes , por lo que mereció que el Señor Rey D. Cáfrlosíii le concediese el título de Conde, libre de lanzas y media anata, y que agregase un quartel á sus armas con'las islas conquistadas. Ultimamente obtuvo el Gobierno de Cartagena , \y</t>
  </si>
  <si>
    <t>Caiaffatti</t>
  </si>
  <si>
    <t>ban colgadas de ricas tapicerías___ El día 4 visitó S. A. I., el arsenal, y después dio audiencia á Mr. Caiaffatti, Presidente de la Istria, quien al frente de una diputación de su país pronunció un corto discurso, felicitándose de tener por Soberano á Napoleón el Grande, y á su hijo querido p</t>
  </si>
  <si>
    <t>Calama, Antonio</t>
  </si>
  <si>
    <t>Antonio Calama</t>
  </si>
  <si>
    <t>agona: para la Canongíade la Catedral de Sigiienza, vacante por fallecimiento de D. Manuel Arcos, á D. Antonio Calama, Cura Párroco de Villarubia de Ocaña: para una Ración de la Primada de Toledo, vacante por muerte de D. Francisco García, á D. Francisco Calleja, Cura de la Parroquial de ia villa</t>
  </si>
  <si>
    <t>Calder, Almirante</t>
  </si>
  <si>
    <t>Almirante Calder</t>
  </si>
  <si>
    <t>Overissel, y penetrando hasta Embdem , donde se embarcó con sus tropas. El 23 empezará la causa del Almirante Calder, á bordo del Gladiador, en Portsmouth. El Almirante Sir John Warren ha izado su pabellón á bordo del Foudroyant en Portsmouth. Este Oficial tendrá un mando separado , y se pondrán</t>
  </si>
  <si>
    <t>do á hacer, están muy bien fúndalas. En conseqüencia, el Consejo de Guerra cree que la conducta del Almirante Calder no ha procedido de temor ni cobardía , bien que debe atribuirse á un juicio equivocado, por lo qual merece se le reprehenda con severidad, como se hace por la presente.”__ Esta se</t>
  </si>
  <si>
    <t>ma del mismo Emperador despidiéndose de Jos habitantes de Viena; la sentencia sobre la conducta del Almirante Calder; el edicto del Rey de las Dos Sicilias al desembarcar lás tropas Angio-Rusas en Ñapóles para que estuviesen tranquilos los comerciantes Franceses y sus aliados; los artículos de l</t>
  </si>
  <si>
    <t>á las Antillas. A la vuelta acaeció el combate naval, de 22 de Julio contra la esquadra Inglesa del Almirante Calder, en cuya acción,-á juicio de los aliados, y aun al de los enemigos, fueron las acertadas maniobras del General Gravina, que mandaba la vanguardia de la esquadra combinada^ las que</t>
  </si>
  <si>
    <t>Calderón, Felipe</t>
  </si>
  <si>
    <t>Felipe Calderón</t>
  </si>
  <si>
    <t>S. M. promover á Capitán al Teniente D. Joaquín de Traba; á Teniente de granaderos al de fusileros D. Felipe Calderón; á esta resulta al Subte-r niente D. Domingo de Castro; á Subteniente de granaderos al de fusileros D. Juan Josef de la Valle; y á Subteniente de bandera al Sargento primero JO. F</t>
  </si>
  <si>
    <t>Calderón, Juan</t>
  </si>
  <si>
    <t>Juan Calderón</t>
  </si>
  <si>
    <t>Francisco Josef Miura : á Teniente en el batallón Veterano de la Concepción de Chile al Subteniente D. Juan Calderón, y á Subteniente al Cadete D. Pedro Truxillo: Compañía en el batallen fixo de Goatemala al Capitán D. Francisco Aranguren, Teniente del Regimiento de infantería de Ordenes Militar</t>
  </si>
  <si>
    <t>Calixto Ramos</t>
  </si>
  <si>
    <t>encial de la Parroquia de la villa de Binuesa, en el Obispado de Osma, vacante por fallecimiento de D. Calixto Ramos, á D. Francisco Gil Sugadi, Cura de la Parroquia de Fresno en la misma Diócesis: para el Beneficio simple servidero de la Parroquia de la Santísima Trinidad de la villa de Moya, D</t>
  </si>
  <si>
    <t>Calleja, Francisco</t>
  </si>
  <si>
    <t>Francisco Calleja</t>
  </si>
  <si>
    <t>bia de Ocaña: para una Ración de la Primada de Toledo, vacante por muerte de D. Francisco García, á D. Francisco Calleja, Cura de la Parroquial de ia villa del Casar de Talamanca: para el Arciprestazgo de Santa María, Dignidad de la Metropolitana de Zaragoza, vacante por fallecimiento de D. Juan Fra</t>
  </si>
  <si>
    <t>en la de Tortora: para ia Ración vacante en la Catedral de Toledo por renuncia que ha hecho de ella D. Francisco Calleja, á D. Juan Antonio García Pertierra , Dignidad de Tesorero y Canónigo de la Colegiata de Arbas del Puerto en la Diócesis de Oviedo: para la Prestamera de los Molares, en el Arzobi</t>
  </si>
  <si>
    <t>Callejas, Antonio</t>
  </si>
  <si>
    <t>Antonio Callejas</t>
  </si>
  <si>
    <t>naderos ^en los de Málaga, Murcia, Alcázar y Salamanca á los de fusileros D. Juan Laso y Velazquez, D. Antonio Callejas, D. Francisco Melgar y D. Juan Pineda; y á Subtenientes de bandera en los de Sevilla,, Málaga, Bujalance y Valladolivi á ios Cadetes D. Juan de Valenzuela, D. Miguel de Nava y Mér</t>
  </si>
  <si>
    <t>Callimachi, Príncipe</t>
  </si>
  <si>
    <t>Príncipe Callimachi</t>
  </si>
  <si>
    <t>ran Señor ha depuesto á los Príncipes de Moldavia y de Valaquia. Al Príncipe Moruzi le reemplaza el Príncipe Callimachi, y al Príncipe Ipsilanti el Príncipe Alexandro Suzzo. Los dos Príncipes depuestos no pertenecían ya al Imperio Otomano, eri el qual meditaban una revolución, anunciada por las tur</t>
  </si>
  <si>
    <t>Calmet, Agustín</t>
  </si>
  <si>
    <t>Agustín Calmet</t>
  </si>
  <si>
    <t>o que antes. Historia del antiguo y nuevo Testamento, y de los Judíos, escrita en francés por el P. D, Agustín Calmet, traducida al castellano para que sirva de introducción y complemento á la Historia Eclesiástica que se está publicando en español del Abad de Berauit-Bercastel, Canónigo de Noyon</t>
  </si>
  <si>
    <t>Calonge, Nicolás</t>
  </si>
  <si>
    <t>Nicolás Calonge</t>
  </si>
  <si>
    <t>. Sres. Moreda y Ladalid. En Oviedo.............. D. Manuel Rubiano. En Patencia.......... Viuda de D. Nicolás Calonge é hijo mayor. En Palma............. D. Martin Mayol. En Pamplona___ Sres. viuda de Barbería é hijo. En Salamanca...... Sres. Urrero y Casaseca. En Santander. ..... Sres. Vial é hi</t>
  </si>
  <si>
    <t>...... Sres. Moreda y Ladalid. En Oviedo............ D. Manuel Rumano. En Palenda......... Viuda de D. Nicolás Calonge é hijo mayor. En Palma............ D. Martin Mayol. En Pamplona....... Sres. viuda de Barbería é hijo. En Salamanca..... Sres. Urrero y Casaseca. En Santander...... Sres. Vial é h</t>
  </si>
  <si>
    <t>Calvo Cervantes, Joaquín</t>
  </si>
  <si>
    <t>Joaquín Calvo Cervantes</t>
  </si>
  <si>
    <t>de la Colegiata de Mora en¡ el Obispado de Teruel, vacante por fallecimiento de D. Pedro Frayre, á D. Joaquín Calvo Cervantes: para el Ofi ció de Limosnero del Monasterio de S. Juan de la Peña, vacante por promoción de D^ Fr. Andrés Casaus á la Abadía de Ca nproi &gt;11, ,1 Don Fr. Áiexandro .de Salinas;.pa</t>
  </si>
  <si>
    <t>Calvo, Vicente</t>
  </si>
  <si>
    <t>Vicente Calvo</t>
  </si>
  <si>
    <t>co Gutiérrez Vigil de Quiñones, á D. Tomas Casanova de Arnuero y Rada, que lo era Supernumerario: á D. Vicente Calvo para la Vara de Alcalde mayor de la villa de Sepúlveda: á D. Justo Martínez de Baños para la de la ciudad de Málaga : á D. Ramón Macía de Lleopart para la de la ciudad de Ecija; y</t>
  </si>
  <si>
    <t>Camaño, Vicente</t>
  </si>
  <si>
    <t>Vicente Camaño</t>
  </si>
  <si>
    <t>Flores,- D. Josef Olano y D. Josef Elizaíde; y Subtenencias de bandera en el de Asturias al Cadete D. Vicente Camaño: en el de la Princesa al Sargento primero D. Jayme Pes : en el de Murcia Ayudantía al Teniente de granaderos D. Pedro Carrion; y Subtenencias de bandera en el de la Corona al Sarg</t>
  </si>
  <si>
    <t>Cámara, Manuel</t>
  </si>
  <si>
    <t>Manuel Cámara</t>
  </si>
  <si>
    <t>do, D. Josef de Castro, Cadete de Reales Guardias Walonas, Don Josef Fernandez, D. Josef Martínez , D. Manuel Cámara y D. Faustino Vitorica; y los Seminaristas D. Pedro Cendeja, D. Manuel Abbad, D. Carlos Van-Zoelen, D. Juan Ortiz de Zarate, D. Sebastian de Navarrete, Don Gerónimo Maza, D. Juan Maza</t>
  </si>
  <si>
    <t>ndo, D. Josef de Castro, Cadete de Reales Guardias Walonas, Don Josef Fernandez, D. Josef Martínez, D. Manuel Cámara y D. Manuel Abbad: y los Seminaristas D. Ceferino Carrillo, D. Toribio Olalde, Don Pedro Sánchez Pavón, D. Juan Ortiz de Zárate, D. Antonio Albuerne, D. Pablo Unda, D. Josef Silvan, D</t>
  </si>
  <si>
    <t>Cambaceres, Príncipe</t>
  </si>
  <si>
    <t>Príncipe Cambaceres</t>
  </si>
  <si>
    <t>ipales Autoridades constituidas.—El Senado y el Tribunado fuéron presentados áS. M. por S. A. S. el Príncipe Cambaceres, Archi-Canciller del Imperio, los Tribunales de Ca$ac:on y de Apelación por S. E. el Juez-Mayor,,Ministro de la Justicia , y el Ayuntamiento cíe París por el Príncipe Murat. Los P</t>
  </si>
  <si>
    <t>es, los Ministros, los Grandes Oíiciales militares y civiles y los Gefes de palacio ; y S. A. S. el Príncipe Cambaceres presentó á que jurasen los miembros del Cuerpo Legislativo, electos el año anterior, que no habían prestado todavía su juramento. Concluida la ceremonia, S. M. pronunció el discur</t>
  </si>
  <si>
    <t>r al Príncipe Luis Napoleón, la respuesta del Emperador, la aceptación del Reyno, y el discurso del Príncipe Cambaceres al Senado dándole cuenta de esta novedad &amp;c. De España, Real Cédula de S. M. y Señores del Consejo mandando conservar la práctica de admitirse por la Audiencia de Galicia los recu</t>
  </si>
  <si>
    <t>Camborda y Espinosa, Fernando</t>
  </si>
  <si>
    <t>Fernando Camborda y Espinosa</t>
  </si>
  <si>
    <t>ien quisiere hacer postura á dichas fincas acuda á la escribanía de la comisión que está á cargo de D. Fernando Camborda y Espinosa. Se desea saber el paradero de D. Lorenzo Alvarez, natural de Badajoz, que estuvo empleado en las obras de fortificación de Barcelona en el año de 1798, para darle una noticia en</t>
  </si>
  <si>
    <t>Camborda, Fernando</t>
  </si>
  <si>
    <t>Fernando Camborda</t>
  </si>
  <si>
    <t>lsmines de cabida, tasada eft 494,750 rs. Quien quisiere hacer postura acuda á fa escribanía de D. Fernando Camborda, en Ciudad-Real, en el término de 30 dias contados desde el 4 del presente. ? Por providencia de D. Estéban de la Madrid, Juez Comisionado Real, con residencia en la ciudad de Tol</t>
  </si>
  <si>
    <t>Camilo Barrios</t>
  </si>
  <si>
    <t>mismas D. Juan Antonio de Ochayta; y Subtenencia en el Esquadron de Dragones de Moquegua al Cadete D. Camilo Barrios. La feria que se celebra en la villa de Guadalcanal en Extremadura, con el nombre de Guaditoca, y se suspendió en el año anterior, con motivo del contagio padecido eri Málaga y ot</t>
  </si>
  <si>
    <t>Campobasso, Capitán</t>
  </si>
  <si>
    <t>Capitán Campobasso</t>
  </si>
  <si>
    <t>odos; estos encuentros no&gt; hemos perdido nit gun OíLial superior; pues el de mayor grado ha sido el Capitán Campobasso, del 27 Regimiento de infantería ligera, Oficial valeroso y leal. No hemos tenido mas que 40 muertos y 6o heridos. TERCER DIARIO DEL EXERCITO GRANDE. Gerau iz de Octubre* La batal</t>
  </si>
  <si>
    <t>Camps, Manuel</t>
  </si>
  <si>
    <t>Manuel Camps</t>
  </si>
  <si>
    <t>prestazgo de Ayllon, Diócesi de Sigiienza, vacante por fallecimiento de D. Manuel Vicente Martin, á D. Manuel Camps,Sub' diácono Tenor supernumerario de la Real Capilla, y Capellán titular del Convento de las Monjas Franciscas Descalzas Reales de esta Corte: para el Beneficio simple servidero d</t>
  </si>
  <si>
    <t>Can</t>
  </si>
  <si>
    <t>as veces, otros ro ó 12 años mas: entonces tendría derecho de esperar se le sometiesen á su antojo. Mr. Can— ning habló contra el bilíSir Joba Newpoxt lo apoyó. La mayoría se desestimó á mayoría de iix votos contra 54. Los amigos de Lord Melviile e« Edimburgo, así que supieron la senten</t>
  </si>
  <si>
    <t>Cañada, Gaspar</t>
  </si>
  <si>
    <t>Gaspar Cañada</t>
  </si>
  <si>
    <t>D. Isidro Franco y D. Felipe Alvaro, y los tres segundos de á 35 pesos á D. Juan Antonio Peíiteyro, D. Gaspar Cañada y D. Lorenzo -dañan a. El día i.° de Mayo próximo pasado falleció en esta Corte,á los 78 años y 7 meses de edad, el limo. Sr. D. Fernando Josef Mangino Fernandez de Lima, Ministro de</t>
  </si>
  <si>
    <t>Canalejo, Nicolás</t>
  </si>
  <si>
    <t>Nicolás Canalejo</t>
  </si>
  <si>
    <t>a resulta al Subteniente de fusileros D. Domingo Gallegos, á Subteniente de fusileros al de bandera D. Nicolás Canalejo, y á Subteniente de bandera al Sargento primero D. Manuel Alvarez. Se ha señalado el dia 31 del presente, ¿ las doce de su mañana, en el juzgad* de provincia del Sr. Alcalde de la</t>
  </si>
  <si>
    <t>Canciller, Lord</t>
  </si>
  <si>
    <t>Lord Canciller</t>
  </si>
  <si>
    <t>inisterio , como se determinó ayer definí ti vaniien te entre el Rey y Lord Grenville. Mr. Erskine, Lord Canciller: Lord Grenville, primer Lord de la Tesorería: Lord Henry Petty, Canciller del Echiquier: Mr. Fox, Ministro de Negocios extrangeros: el Conde de Spencer, Ministro de lo Interior: M</t>
  </si>
  <si>
    <t>y luego'de dos en dos los Barones, Obispos, Vizcondes , Condes, Marqueses, Duques, Arzobispos, y el Lord Canciller. Al tomar sus asientos se descubrieron y saludaron al Presidente de la Cámara de los Comunes y al trono. Luego que se hubieron sentado, el Macero dixo yRepitió en alta voz silenci</t>
  </si>
  <si>
    <t>quien acompañaban 6ode ellos. A las 11 y quarto entráron los Pares con las mismas ceremonias; y el Lord Canciller tomó su asiento. Lo qual hecho, los Directores hiciéron presentar los testigos; de los quales solo dos habian sido examinados ayer. Mr. Adara se sentó junto á Lord Melleville desp</t>
  </si>
  <si>
    <t>eunido tanto concurso en la sala de Westminster. Luego que el supremo Tribunal se juntó, informó el Lord Canciller á los Pares que estaban reunidos para pronunciar la sentencia de Lord Melville, y poniendo la qiiestion sobre el primer capítulo de la acu-&gt; sacion al Barón mas ióven, y sucesivam</t>
  </si>
  <si>
    <t>e el comercio de esclavos era contrario á los principios de la religión cristiana. Lord Holland, el Lord Canciller, el Obispo de S. Asaph y el Conde de Suffblk opinaron de la misma manera. El Conde de Westmoreland y los Lores Fitz-Williams y Sidmouth se opusieron á la resolución, sí bien se ap</t>
  </si>
  <si>
    <t>allándose presente fa de los Comunes, notificada la sanción dada por el Rey á¡ diferentes biles, el Lord Canciller pronunció en nombre de los Comisarios; nombrados á este efecto el discursosiguiente, dirigido á los miembros de ámbas Cámaras. Mitores y Señores* ,,S. M. nos ha mandado informaros</t>
  </si>
  <si>
    <t>vigoren la guerra y seguridad en la paz.” Leída después la comisión para prorogar el Parlamento, el Lord Canciller dixo: Milóres y Señores. ,, En virtud de la comisión de S. M., sellada con su gran sello, y dirigida á nos y á los Lores comisionados, que se os ha leído; en nombre de S. M., y ob</t>
  </si>
  <si>
    <t>l buque Americano, y tenia viento muy favorable. El Rey ha nombrado al Arzobispo de Cantorbery-f al Lord Canciller y á Lord Spencer Comisarios para prorogar el Parlamento á 9 de Octubre próximo; á cuyo efecto pasáron estos Señores á la Cámara de los Pares, y comunicáion ,esta resolución de S. M.</t>
  </si>
  <si>
    <t>lá memoria déf célebre Lord Chatam. Presidió él acompañamiento Lord Holland ¿ y asistiéron á él el Lord Canciller, casi todos los Ministros, y varias personas dé distinción. El Príncipe de Gales había venido á Londres con-ánimo de dar esta pruéba de consideración á la memoria de’Mt. Fox^ pero</t>
  </si>
  <si>
    <t>Cándido</t>
  </si>
  <si>
    <t>a el Beneficio servidero de la Parroquia de Pilas, Diócesi de Sevilla, vacante por fallecimiento de D. Cándido* María de Trigueros, á D. Rosario Petralla: para la Media-Ración de la Catedral de Sigiienza, vacante por muerte de D. Patricio López Blanco, á D. Antonio García, Cura de Garvajos</t>
  </si>
  <si>
    <t>Cándido María Trigueros</t>
  </si>
  <si>
    <t>ntenebro, calle de las Carretas. Teatro español burlesco,-ó Quixote de los teatros: obra postuma de D. Cándido María Trigueros, de mucha instrucción y muy divertida para los: aficionados. Se hallará en la librería de Castillo, frente á las gradas de S. Felipe. Plano y descripción de Madrid en Ó4 láminas,</t>
  </si>
  <si>
    <t>en Granada en la de Colon. K - Mis Pasatiempos, ó Almacén de fruslerías agradables: obra postuma de Don Cándido María Trigueros. El autor, después de formar su crítica del prodigioso número de novelas extrangeras que inundan la nación, y de sus pésimas traducciones, se propone y desempeña el proyecto de co</t>
  </si>
  <si>
    <t>Cándido Turit</t>
  </si>
  <si>
    <t>, D. Felipe Casalduc, D. Josef Moya, D* Domingo de los Santos, D. Marías Cruz, D. Josef Valenzueta, D. Cándido Turit, D* Nicolás Dehesa y D. Manuel Barba* El Rey nuestro Señor, á consulta del Supremo Consejo de Castilla de 5 de Octubre de 1806, se ha dignado conceder licencia y facultad á la vil</t>
  </si>
  <si>
    <t>Canning</t>
  </si>
  <si>
    <t>jsterio. Pqr consiguiente los gefe.s del partido serán.Lord Hawkesbury en la Cámara de los Pare$, y Mr. Canning en la de los Comunes. {The. Sunx zn el día Gazeta de ja oposición.) ,y El convoy para jas Indias Occidentales se ha;hecho á la vela de'Cork el dia 3, en número de 152 velas, en cons</t>
  </si>
  <si>
    <t>ia al acusado se había dado con la imparcialidad y reflexión que exigía la importancia de la causa. Mr. Canning dixo que al ver el calor con que el honorable Secretario (Mr. Fox) había hablado , podía sospecharse qué el brazo terrible del poder iba á levantarse sobre Lora Melleville, y en e</t>
  </si>
  <si>
    <t>los voluntarios de Mr. Pitt; y,su discurso, que duró muchas horas, fué muy aplaudido. La ©pinion de Mr. Canning tuvo 119 votos, y la propuesta de Mr. Windham para la segunda lectura del bilí no pasó sino á la mayoría de 119 contra 235. „Los Ministros, dice con este motivo el Correo, no espe</t>
  </si>
  <si>
    <t>Canning y Mr</t>
  </si>
  <si>
    <t>apoyaron con mucha fuerza esta cláusula, á que se opusieron fuertemente Sir James PuUney, Mr.Yorke, Mr. Canning y Mr. Percival. A las 4 de la mañana empezó la votación; 254 votároa por la cláusula, y 125 en contra: mayoría 12y. SUIZA. Basilea ij de Mayo, Se han habilitado los salones de la casa</t>
  </si>
  <si>
    <t>Cano Manuel, Antonio</t>
  </si>
  <si>
    <t>Antonio Cano Manuel</t>
  </si>
  <si>
    <t>o y escribanía de provincia de D. Miguel García de la Madrid. En virtud de auto proveído por el Sr. D. Antonio Cano Manuel, Alcalde de Casa y Corte, ante el Escribano de provincia E&gt;. Julián-Alonso y Entrada, se ha mandado sacar á pública subasta^segunda vez por término de 8 dias, y el último de ellos</t>
  </si>
  <si>
    <t>sé por 15 mas, que se verificó ; y por auto de 29 de Abril de este año, proveído por el Sr. Alcalde D. Antonio Cano Manuel, ha mandado se sa</t>
  </si>
  <si>
    <t>rs. fanega. Quien quisiere hacer postura á dichas fincas acuda en el término de 30 días ante el Sr. D. Antonio Cano Manuel, del Consejo de S. M., su Alcalde de Casa y Corte, á quien está cometida dicha Real facultad, por la escribanía de D. Juan Garrido, que se admitirán las que se Jiicigsen no; siend</t>
  </si>
  <si>
    <t>su Real y Supremo Consejo de la Cámara de Castilla, cometida al Sr. Alcalde de su Real Casa y Corte D. Antonio Cano Manuel, se han sacado á.pública subasta para su venta las fincas» que, con expresión de sus situaciones^yr justiprecios, se anunció en el Diario y Gazeta de 28 &lt; de Octubre»; 25 y 3 o de</t>
  </si>
  <si>
    <t>ra á dichas fincas juntas ó separadas acuda en el término de 30, dias ante el referido- Sr. Alcalde D. Antonio Cano Manuel, por la escribanía? de provincia de D. Juan Garrido. Por decreto del Real Consejo de las Ordenes, de 9 de Mayo último, se halla aprobado el segundo y último remate de los frutos,</t>
  </si>
  <si>
    <t>lcalde, por la escribanía de D. Juan Antonio Díaz Moriega. Por providencia del Sr. Alcalde de Corte D. Antonio Cano Manuel se subastan las tierras y heredades siguientes. Tierras sitas .en término de esta Corte. Una tierra á la salida del puente de Segovia, á mano derecha, de caber 2 fanegas, 3 celemi</t>
  </si>
  <si>
    <t>, que se verificó; como asimismo en proveído de 29 dq Abril de este año, dictado por el Sr. Alcalde D. Antonio Cano Manuel, mando se sacase al pregón dicha casa por 8 dias mas, lo que se ha executado; y últimamente por auto dado por dicho Sr. Alcalde en r6 de Jumo ultimo ha señalado para el remate de</t>
  </si>
  <si>
    <t>no de esta Corte, de 90 fan., á 750 rs. cada una, acuda ante el Sr. Alcalde de la Real Casa y Corte D. Antonio Cano Manuel , por la escribanía de D. Juan Garrido, que se admitirán las que se hiciesen no siendo manos muertas, ni baxando del precio de su tasación. Se venden dos tierras en término de Cos</t>
  </si>
  <si>
    <t>l todo de su tasa á metálico. Quien quisiere mejorar a acu a an e * " calde de la Real Casa y Corte D. Antonio Cano Manuel, por la escribanía de Don J“4Se&lt;llndc0ía fábrica de curtidos de h villa de Aravaca .con todas sus corrientes para las elaboraciones, casa edificada en ella, quadras, ame ,</t>
  </si>
  <si>
    <t>rmará á los licitadores de las circunstancias y precio de cada una de las expresadas fincas. El Sr. D. Antonio Cano Manuel, del Consejo de S. M., su Alcalde en la Real Casa y Corte, ha señalado el dia 4 de Octubre próximo, á Iaá doce de su mañana, en su audiencia, para el remate de una casa sita en la</t>
  </si>
  <si>
    <t>róximo, á las doce de su mañana, en el juzgado de provincia del Sr. Alcalde de la Real Casa y Corte D. Antonio Cano Manuel, Ce** misionado al efecto. Quien quisiere mejorar dicha postura acuda ante dicho Señor, por la escribanía de D. Juan Garrido , no siendo? manos muertas. - .3 Se halla vacante la p</t>
  </si>
  <si>
    <t>a en el todo de su tasa. Quien quisiere mejorarla acuda ante el Sr. Alcalde de la Real Casa y Corte D. Antonio Cano Manuel, por la escribanía de D. Juan Garrido, no siendo manos muertas. Sermones quadragesimales del P. Fr. Andrés de Valldigna, Capuchino de la Provincia de Valencia, varón doctísimo, pl</t>
  </si>
  <si>
    <t>esente, ¿ las doce de su mañana, en el juzgad* de provincia del Sr. Alcalde de la Real Casa y Corte D. Antonio Cano Manuel, para el remate de las lincas siguientes-. En la Mancha , término y jurisdicción do Villar de Cañas. La vega llamada de Alcolea, y tierras adyacentes, denominadas de los Altos, Ho</t>
  </si>
  <si>
    <t>de esta Corte, de 90 fan. , át75° rs¿.*:cada una* acuda ante el Sn. Alcalde de la Real Casa y Corte D. Antonio Cano Manuel, por la escribanía de D. Juan Garrido, que se admitirán las que sevbficiércnTió siendo manos muertas, ni baxando dei precio de su tasación; previniéndose- se ha señaltdo para su r</t>
  </si>
  <si>
    <t>Cano, Sebastián</t>
  </si>
  <si>
    <t>Sebastián Cano</t>
  </si>
  <si>
    <t>l Subteniente D. Rafael Maroto: en el de Murcia Compañía ai Ayudante, graduado de Teniente Coronel, D. Sebastian Cano.</t>
  </si>
  <si>
    <t>Canseco, Carlos Ramón</t>
  </si>
  <si>
    <t>Carlos Ramón Canseco</t>
  </si>
  <si>
    <t>I). Manuel de,la Serna; á Alfé^tcces al Portaestandarte D. Pedro Antonio yillajnayor y al Sargento Don Carlos Ramón Canseco; y á Portaestandarte .al Cadete D. Eusébio Medra* no; asimismo en el Regimiento de Milicias disciplinadas.de caballería de Buenos-Ayres se ha servido promover á Alféreces á D. Jom</t>
  </si>
  <si>
    <t>Canseco, Francisco</t>
  </si>
  <si>
    <t>Francisco Canseco</t>
  </si>
  <si>
    <t>a Subteniente de granaderos, al de fusileros D. Tadeo Martí, y á Subtenientes de bandera aí Cadete D. Francisco Canseco, y al Sargento primero de granaderos D. Josef Cano: se ha dignado conferir el Regimiento de infantería de la Luisiana al Coronel D. Carlos Howar, Teniente Coronel del mismo cuerpo</t>
  </si>
  <si>
    <t>Cantero, Matías</t>
  </si>
  <si>
    <t>Matías Cantero</t>
  </si>
  <si>
    <t>dias Españolas: en el de España al Sargento -primero Don Josef Salinas; y en el de Burgos al Cadete D. Matías Cantero. S. M. se ha servido nombrar para la Vara de Alcalde mayor del Gobierno de la Villa de Valencia de Alcántara, territeVio -de la mism? Orden, de primera clase ó entrada, á D. Rafae</t>
  </si>
  <si>
    <t>Cantos, Pedro</t>
  </si>
  <si>
    <t>Pedro Cantos</t>
  </si>
  <si>
    <t>pos de fábrica-moderna, en 220,124 rs. en venta, y 7800 en renta. En Chiclana: Obra pia iundada\por D. Pedro Cantos. Una huerta en el pago de la Rana, su tierra, plantío* noria,alberca, tajaderas, piletas y demas que le pertenece, en 22,485 rs. en venta, y ii8o en renta. Obra pia fundada por D.</t>
  </si>
  <si>
    <t>Caparros, Juan Julián</t>
  </si>
  <si>
    <t>Juan Julián Caparros</t>
  </si>
  <si>
    <t>aducción de las epístolas y evangelios de las misas que contiene, por el Dr. D. Juan Julián Caparros, Presbítero»: quien deseando facilitar al público una obra tan útil para la instrucción de las familias, ¿iñ qüe apronten desdé lúego todo su coste, la da dé quatró'en quatro tomos separados</t>
  </si>
  <si>
    <t>tos Españoles, y con la traducción de las epístolas y evangelios, por el Dr. D. Juan Julián Caparros, Presbítero: quien cumpliendo con exactitud la oferta hecha al público, de dar de tres en tres meses quatro tomos de la misma obra hasta completarla, tiene ya prontos para su venta los meses</t>
  </si>
  <si>
    <t>Capdevila y Francisco Manuel Delgado, Joaquín</t>
  </si>
  <si>
    <t>Joaquín Capdevila y Francisco Manuel Delgado</t>
  </si>
  <si>
    <t>servido nombrar para tres Raciones de la Iglesia Metropolitana de Zaragoza á D. Ignacio Esparbiel, D. Joaquín Capdevila y Don Francisco Manuel Delgado; y para un Beneficio de residencia ,baxo la invocación de S. Miguel» unido á otro de la misma invocación de la Catedral de Solsona, vacante por muerte de D. Antonio Font, i D. Ram</t>
  </si>
  <si>
    <t>Capellá, Tomás</t>
  </si>
  <si>
    <t>Tomás Capellá</t>
  </si>
  <si>
    <t>arroquia de Constan— ti, en la misma Dióceis de Tarragona, vacante por muerte de D. Antonio Roca, á D. Tomas Capellá. El Rey se ha servido conceder en el Regimiento de infantería de Navarra Tenencia al Subteniente D. Juan Colorado, y Subtenencia de bandera al Sargento primero D. Juan Casado: en</t>
  </si>
  <si>
    <t>Capella, Tomás</t>
  </si>
  <si>
    <t>Tomás Capella</t>
  </si>
  <si>
    <t>nti, Diócesi de Tarragona, vacante por fallecimiento de •D. Antonio Roca, y por no haberlo admitido D. Tomas Capella. En América, S. M. se ha dignado promover á Comandante de las quiltro Compañías-de Milicias disciplinadas de infantería de Valparaíso á Don Gregorio de Andía y Vareia, Capitán de</t>
  </si>
  <si>
    <t>Capellán, Hemeterio</t>
  </si>
  <si>
    <t>Hemeterio Capellán</t>
  </si>
  <si>
    <t>para otro titulado Areiprestazgo de Lará en el Arzobispado de Burgos, vacante por fallecimiento de D. Hemeterio Capellán, á D. Antonio Ventura Sustaeta, Clérigo'de Prima Tonsura ópara el Pontifical de la villa de Pilas en el Arzobispado de Sevilla, vacante por muerte de D. Manuel López Brun, á D. Jo</t>
  </si>
  <si>
    <t>Caprara, Cardenal</t>
  </si>
  <si>
    <t>Cardenal Caprara</t>
  </si>
  <si>
    <t>edió al aOto civil del matrimonio, y desempeñó las formalidades prescritas por el Código civil...El Cardenal Caprara, asistido de Mr. de Roban, Limosnero mayor de S. M. la Emperatriz, antiguo Arzobispo de Cambray, del antiguo Obispo de Rennes, Canónigo de S. Dionisio, y de Mr. Costaz, Cura de la</t>
  </si>
  <si>
    <t>Caráza, Antonio</t>
  </si>
  <si>
    <t>Antonio Caráza</t>
  </si>
  <si>
    <t>Conejo. En el Regimiento de caballería dej Rey se ha servido 'S-'M. conceder Ayudantía al Teniente D. Antonio Caráza: Teneiicia^en'los dél Príncipe y Montesa á los Alféreces D. Baltasar del Corral' y/IX Juan Herrera: en el de dragones de Villaviciosa Ayudantía al Teniente. D.^Migud Rodríguez, y</t>
  </si>
  <si>
    <t>Carbonell</t>
  </si>
  <si>
    <t>re la aplicación de la química á la doctrina médica de la fiebre amarilla, compuesto también por el Doctor Carbonell baxo el mismo objeto de la memoria; y van añadido^ los dictámenes insertos en los periódicos de Medicina de París sobre la presente memoria, y sobre el sistema químico-médico publ</t>
  </si>
  <si>
    <t>Carbonell y Bravo, Francisco</t>
  </si>
  <si>
    <t>Francisco Carbonell y Bravo</t>
  </si>
  <si>
    <t>. Memoria sobre el uso y abuso de la aplicación de la Química á la Medicina, publicada en latín por D. Francisco Carbonell y Bravo, Doctor en Medicina, y profesor de Química en la ciudad de Barcelona &amp;c., y traducida al castellano por el Dr. D. Antonio Vilaseca y Auge, Médico de número de los Reales Exércitos</t>
  </si>
  <si>
    <t>Carbonell, Antonio</t>
  </si>
  <si>
    <t>Antonio Carbonell</t>
  </si>
  <si>
    <t>para la Ración, al Medio-Racionero D. Pedro Josef Mendez. Para el Arcedianato de la de Goatemala á D. Antonio Carbonell: para la Maestrescolía á D. Antonio García: para la Tesorería á D. Blas Josef Clá; y para la Canongía que este dexa á D. Bernardo Martínez, Cura .mas antiguo de la misma Catedral.</t>
  </si>
  <si>
    <t>Cardeña, Francisco</t>
  </si>
  <si>
    <t>Francisco Cardeña</t>
  </si>
  <si>
    <t>na plaza de Alcalde mayor de lo civil de la Real Audiencia de Galicia, vacante por fallecimiento de D. Francisco Cardeña, ha nombrado $. M. á D. Josef Arago y Fita, Alcalde mayor del Crimen mas antiguo de ella; y para esta resulta á D. Josef Garriga, Abogado de los Reales Consejos. En atención á lo</t>
  </si>
  <si>
    <t>Carlos Luis</t>
  </si>
  <si>
    <t>la Gone de gala en el Real Sitio de S. Lorenzo, con motivo del cumpleaños del Sr. Infante de España Don Carlos Luis , Rey de Etruria. S. M. se ha servido nombrar para la Canongía de la Catedral de Mondoñedo, vacante por fallecimiento de D. Pedro Alvarez de la Peña, a Don Francisco Xavier Moreou</t>
  </si>
  <si>
    <t>Carlos María</t>
  </si>
  <si>
    <t>atos de nuestros Señores Don Cárlos y Doña María Luisa de Borbon, y el del Serenísimo Señor Infante D. Cárlos María, Hermano mayor de este Real Cuerpo._Dió principio ¿1 acto D. Luis Dávila y Maza, como Teniente de S. A. R., por una oración en elogio de nuestra Soberana y de las Matemáticas. En</t>
  </si>
  <si>
    <t>ersonas de distinción, que con tan plausible motivo , y el de ser igualmente dias del Señor Infante D. Carlos María, de la Señora Infanta Princesa del Brasil, y del Señor Infante Rey de Etruria, concurriéron á cumplimentar á SS. MM. y AA. En el mismo dia se celebró la apertura de la Real Escuel</t>
  </si>
  <si>
    <t>Carlos, Archiduque</t>
  </si>
  <si>
    <t>Archiduque Carlos</t>
  </si>
  <si>
    <t>que como metal, vale mas de 12 millones de florines del Imperio (mas de 31 millones de pesetas). El Archiduque Carlos ha ocupado en la Croacia las ciudades de Agram, Sisseek. y Cartstadt en las fronteras de la Esclavonia___ Ayer se pusieron en marcha 2 divisiones de tropas Francesas pa/at U IIuAg</t>
  </si>
  <si>
    <t>ra. En la Gazeta de Viena de 28 del pasado se dice que ei Emperador Napoleón dio audiencia ei 27 al Archiduque Carlos en PremersdorfF, luego comiéron juntos, y el Monarca regalo al Archiduque una espada primorosa. Es incbpensable que tenga felices resultas la conferencia deS. M. I. con un Príncipe</t>
  </si>
  <si>
    <t>IA. Viena 4 de Febrero. El día de la entrada en esta capital de las tropas mandadas por S. A. R. el Archiduque Carlos, se han distribuido medallas de oro y de plata á 21 Oficiales subalternos y soldados, que lian mostrado la mayor bizarría en el exércita de Italia. -_Se ha diferido el viage á Pra</t>
  </si>
  <si>
    <t>i;9 El Archiduque Carlos ha venido en tomar á su cargo la dirección de todos ios negocios militares, y se esperan con mucha razón las mejores resultas en vista de las repetidas pruebas que ha dado S. A. d</t>
  </si>
  <si>
    <t>o en la última guerra. _ Escriben también que el Emperador ha nombrado Generalísimo de sus armas al Archiduque Carlos, confiándole todos los ramos militares de la Monarquía. Añaden que pronto se dará al público la instrucción relativa ¿ dicho nombramiento. El Emperador, como co-Estado del Imperio</t>
  </si>
  <si>
    <t>rá en fomento de-la industria nacional. í' El nombramiento de Generalísimo que- recibid S; A. R. el Archiduque Carlos es del tenor siguiente» „Mi querido hermano: después de los funestos suceso*'acaecidos últimamente, y de la paz conseguida á costa de tan grandes sacrificios, es indispensabfemente</t>
  </si>
  <si>
    <t>R. tendrá btaxo de sus ordenes una población de casi 8oo© almas, y mas de cc© soldados. S. A. R. el Archiduque Cárlos, Generalísimo, tiene freqüentes juntas con el objeto de poner en un pie respetable el estado militar en todos sus ramos quanto ántes sea posible.__ Se confirma la noticia de que s</t>
  </si>
  <si>
    <t>a que corrió impresa en muchos periódicos de que el Emperador Napoleón habia regalado una espada al Archiduque Cárlos. Lo que hay de cierto es, que el Archiduque, acompañado del General Conde de Grunn, comió con el Emperador en Stammersdorf. El General Ruso Buxhoefden , que se dixó haber muerto e</t>
  </si>
  <si>
    <t>muy en breve á esta capital , y el Conde Felipe de Cobentzel saldrá'de aquí para Paris. S. A. R. el Archiduque Carlos emprenderá un víage, según se dice, á Berlín__ _A1 día inmediato de la -venida del General Berthier tuvo el General Andreossy una conferencia con el Conde de Stadion, Ministro de Ne</t>
  </si>
  <si>
    <t>Cárlós, Archiduque</t>
  </si>
  <si>
    <t>Archiduque Cárlós</t>
  </si>
  <si>
    <t>onsiderablemente el número^ de enfermos en. nuestros hospitales militares , ha mandado S.. A. R. el Archiduque Cárlós que se supriman los, hospitales y boticas, de campaña desde i.° del corriente.—Ya han llegado, á Sohoenbrünn 3. caballos árabes hermosísimos, que hacen parte de los regalos; que e</t>
  </si>
  <si>
    <t>und y al mar Báltico una esquadra Inglesa compuesta de 6 navios de línea. Escriben de Viena qtte el Archiduque Carlos, Generalísimo de los exércitos Austríacos y Ministro de la Guerra , tiene que hacer muy pronto Un viagé de muchas semanas. Parece que $. A. S. ha resuelto visitar las posiciones d</t>
  </si>
  <si>
    <t>n usar de rigor contra los su-¡ blevados. — 'AUSTRIA. • • ó' • ■■ , Yiena de Mayo* $. A. I. y R. el Archiduque Carlos, en, su qualidad de Generalísimo* es Gefe supremo en todo lo concerniente á los asuntos militares. Se ha dividido esta administración en 2 ramos: i.° en Administración militar; 2.</t>
  </si>
  <si>
    <t>mez de Parientes, General y Consejero áulico de Guerra. El 6 de este mes á presencia de S. A. R. el Archiduque Carlos se ha hecho la primera prueba del plan del Coronel Meyer, del Regimiento dé Kcrpen, dirigido á acelerar la marcha de las tropas quando están en movimiento, de manera que se gane u</t>
  </si>
  <si>
    <t>inaria, tiernas- lágrimas, y reiterada?, plegarias fian enternecido é,inclinado - la clemencia xíel Archiduque Carlos. El Príncipe ha .log^Bo ¿1 perdón del reo; pero este no lo há sabido sino en el cadalso, ál. tiempo mismo que .iba á recibir el golpe mortal. Su desconsolado amigoi fiabia seguido</t>
  </si>
  <si>
    <t>ficio el estado militar de la Monarquía Austríaca. El Austria tiene actualmente un Generalísimo (el Archiduque Cárlos), 8 Feld-Mariscales, 31 Generales de caballería y Feid-Zeug-Maestres, 117 Tenientes Feld-Mariscales, y 272 Mayores Generales, La infantería se compone de 64, Regimientos de línea</t>
  </si>
  <si>
    <t>ara, En las Gazetas de Franconia se habla mucho ahora de las providencias de precaución que toma el Archiduque Carlos para que el Austria pueda mantener su neutralidad con energía, en el caso de encenderse otra vez la guerra en el Continente. Aseguran que el exército Austríaco se halla en un pie</t>
  </si>
  <si>
    <t>Carlos, Duque</t>
  </si>
  <si>
    <t>Duque Carlos</t>
  </si>
  <si>
    <t>s órdenes recibidas de Munich se ha puesto en marcha para la Suabia el Regimiento de infantería del Duque Carlos j un batallón se dirige á Ulma, y otro á Keinpten, Parece que pronto se arreglarán las desavenencias suscitadas entre la Baviera y Wirtemberg, con motivo de las nuevas adquisicion</t>
  </si>
  <si>
    <t>Carlos, Príncipe</t>
  </si>
  <si>
    <t>Príncipe Carlos</t>
  </si>
  <si>
    <t>a vista deoioo© Alemanes, y ¡de 6o©-Rusos* habrían levantádóse ciertamente en cuerpo los HúngaroseL Príncipe Cárlos, nos habría acometido por: eli]tíost2doi^G0tt} 30©: hpipbres y cdexando otros tantos para retardar , la: marcha de Massena en las montanas de la Carintiá;. y, en este caso;, era i</t>
  </si>
  <si>
    <t>e Hungría, están ya implorando el auxilio de los Franceses en contra di.......... los; Alemanes. El Príncipe Carlos acaba de entrar en¿ Hungría con, 30® I jótólbres huyendo de Massena;, quien ya se 'ha- juntado con:-.nosotros;;:p cóle® entrará en Hungría; y se acabará este pleytp.J J = 5 .'á vl</t>
  </si>
  <si>
    <t>ipotenciarios del Emperador de Austria son el Príncipe Juan de Lichtenstein y el General Giulay. El'Príncipe Carlos ha pedido hablar con el Emperador. S. M. recibirá mañana á este Príncipe en la casa de campo de Stamersdorf, á 3 leguas de Viena. El Emperador pasa hoy revista á la división de Le</t>
  </si>
  <si>
    <t>18 de febrero de 1806</t>
  </si>
  <si>
    <t>n la orden deí día , publicada en el quairtel general de Hollitsch el 2? del corriente, S. A. I. el Príncipe Carlos ha comunicado á su exército la noticia de haberse firmado la paz, y que por lo mismo que las tropas tomarán quarteles de Invierno. S. A. I. les ha dado gracias por el afecto que h</t>
  </si>
  <si>
    <t>ó Gran Maestrazgo dé la Orden de S. Juan de Jerusalen, ¿ la Lengua Bávara, en favor de S. A. R. el Príncipe Carlos.de Baviera; y queS. M. I. ha dado parte de esta su disposición al Rey de Baviera y á las Cortes de Stuttgardt y de Carlsruhe, exhortándolas á quedexen el Gran Priorato en el goce</t>
  </si>
  <si>
    <t>Negocios extrangeros el Conde de Stadion, á las quales ha concurrido el General Gruñe á nombre del Príncipe Carlos. . Stuttgardt 20 de Febrero. Cada día recibe nuevos refuerzos el ejército Francés que hay entre el Lahn y el Necker, y señaladamente en la ribera del Mein. Lo manda el</t>
  </si>
  <si>
    <t>do cuenta de tener tratado el casamiento de la Princesa Estefanía, sobrina de ia Emperatriz, con el Príncipe Carlos, heredero del Elector de Badén. CUERPO LEGISLATIVO. El dia 4 se trato de elección de oficios y otros puntos particulares; y gleses quieren enganar á todos; pero no quieren dexarse</t>
  </si>
  <si>
    <t>ación. El Emperador de Austria ha nombrado para el Obispado de Waitzen, en Hungría, á su sobrino el Príncipe Carlos, hijo del Archiduque Fernando : vale en renta anual aquella Mitra unos 20© florines. Con fecha de 16 del corriente escriben de Hamburgo que de resultas de las mudanzas acaecidas e</t>
  </si>
  <si>
    <t>ta pérdida inesperada ha causado un sentimiento muy vivo á todos los habitantes de aquel Ducado. El Príncipe Carlos había nacido en Londres en 8 de Febrero de 1766, y casó en ,179o con la Princesa Federica Luisa dé Oraoge. : r^ : *-,:: ' 'Hann&amp;úer 21 de Setiembre. Sé ha transferido á Mulhaüsén</t>
  </si>
  <si>
    <t>Carlota de Gales, Princesa</t>
  </si>
  <si>
    <t>Princesa Carlota de Gales</t>
  </si>
  <si>
    <t>Ministro se aumentarán las rentas de los Príncipes desde 12 hasta 18® libras esterlinas: las de la Princesa Carlota de Gales desde 6 hasta 7®: las de las Princesas desde 5 hasta 6® : las de la Princesa Sofía de Glocester desde 4 hasta 5® anuales; y las del Duque de Glocester de 8 hasta 14®. A la Duquesa vi</t>
  </si>
  <si>
    <t>Carlota Federica de Mecklemburgo Schwerín, Princesa</t>
  </si>
  <si>
    <t>Princesa Carlota Federica de Mecklemburgo Schwerín</t>
  </si>
  <si>
    <t>nicado de oficio i nuestro Senado el matrimonio del Príncipe Cristiano Federico de Dinamarca con Ja Princesa Carlota Federica de Mecklemburgo Schwerín. El Senado ha contestado en los términos mas expresivos manifestando á S. E, la parte que le cabe en tan acertado enlace. Mr. Bran, Judío muy cofiocido por su literatura, ba comen</t>
  </si>
  <si>
    <t>Carlota Federica, Princesa</t>
  </si>
  <si>
    <t>Princesa Carlota Federica</t>
  </si>
  <si>
    <t>o con motivo del próximo enlace matrimonial de S. A. R. el Príncipe Cristiano Federico con S. A. la Princesa Carlota Federica, hija de S. A. S. el Duque de Mecklenburgo-Schwerin-GustroWr El 13 del corriente salió'de Cuxhaven para Londres el Conde de Múnster , que estaba nombrado para gobernar el Electora</t>
  </si>
  <si>
    <t>Carlota, Princesa</t>
  </si>
  <si>
    <t>Princesa Carlota</t>
  </si>
  <si>
    <t>n asistencia de toda la Corte vestida de gata, se celebró la augusta ceremonia del matrimonio de la Princesa Carlota, hija de S. A. el Duque reynanre de Mecklenburg-Schwerin, con S. A. R. el Príncipe Cristiano Federico de Dinamarca. Aliona 2 2 de Junio. En varios periódicos de Inglaterra se ha p</t>
  </si>
  <si>
    <t>Carmena, Manuel Salvador</t>
  </si>
  <si>
    <t>Manuel Salvador Carmena</t>
  </si>
  <si>
    <t>ds marca mayor, que representa el descanso en Egipto, pintado por Federico Barrocio, y grabado por D. Manuel Salvador Carmena, Grabador de Cámara de S. M. Se hallará en las librerías de Barco, carrera de S. Gerónimo, de Escribano, calle de las Carretas, y de Esparza, puerta del Sol, con otras obras del m</t>
  </si>
  <si>
    <t>Carmona, Francisco Salvador</t>
  </si>
  <si>
    <t>Francisco Salvador Carmona</t>
  </si>
  <si>
    <t>ar de Cueva de Juañós : para íá Capellanía de -Reyes nuevos de Toledo, vacante por fallecimiento de D. Francisco Salvador Carmona, á D. Manuel Pinilla, Cura de la Parroquia de la villa del Molar, en el mismo Arzobispado: para el Beneficio simple servidero de la Parroquia'de la villa de Oropesa, Diócesi de Av</t>
  </si>
  <si>
    <t>Carmona, Manuel Salvador</t>
  </si>
  <si>
    <t>Manuel Salvador Carmona</t>
  </si>
  <si>
    <t>arta. Estampa nueva que representa al Patriarca S. Josef, en tamaño de quartilla mayor, grabada por D. Manuel Salvador Carmona, Grabador de Cámara de S. M. y Director en la Real Academia de S Fernando, por el quadro de Murillo—Otra del mismo autor y mismo tamaño, que representa á Sta. Casilda con el Rey M</t>
  </si>
  <si>
    <t>aylo, calle de las Carretas, a4rs. Estam pa de S. Antonio de Padua, de medio pliego, grabada ya por D. Manuel Salvador Carmona en el año de *7?o,*y ahora por un discípulo suyo. Se hallará en la librería de Barco, carrera de'S. Gerónimo, y en el puesto del Diario de la calle de Atocha, á 3 rs. ‘ . .. , . . ,</t>
  </si>
  <si>
    <t>riano Maella, primer Pintor de Cámara de S. M., grabado y dedicado al Rey por su Grabador de Cámara D. Manuel Salvador Carmona. Se hallará en las librerías de Barco, Carrera de S. Gerónimo, de Escribano, calle de las Carretas, y de Esparza, puerta del Sol. Estampa en pliego de marca mayor, que representa</t>
  </si>
  <si>
    <t>Carpegna, Ramón</t>
  </si>
  <si>
    <t>Ramón Carpegna</t>
  </si>
  <si>
    <t>allos; y Subtenencias de bandera en el de Ultonia al Sargento primero D. Josef Senekell y al Cadete D. Ramón Carpegna, y en el de Voluntarios de la Corona al Subteniente que fué del de Toledo Don Francisco Osuna y Cervera, y al Sargento primero de granaderos del dev infantería del Príncipe D. Jos</t>
  </si>
  <si>
    <t>Carpintero, Fernando</t>
  </si>
  <si>
    <t>Fernando Carpintero</t>
  </si>
  <si>
    <t>ez, y al Cadete D. Joaquín Ximenajy en el de Extremadura Subtenencia de bandera al Sargento primero D. Fernando Carpintero.</t>
  </si>
  <si>
    <t>Carrancio, Manuel Ángel</t>
  </si>
  <si>
    <t>Manuel Ángel Carrancio</t>
  </si>
  <si>
    <t>za, pues pasado dicho término sin hacerla, se llevará á efecto el citado remate. Por providencia de D. Manuel Angel Carrancio, Comisionado Real, su fecha 7 del corriente, se han mandado sacar á pública subasta, por término;de 30 dias, tres tierr.as en término de la villa de Borox; y son, una donde dicen</t>
  </si>
  <si>
    <t>Carranclo, Manuel Ángel</t>
  </si>
  <si>
    <t>Manuel Ángel Carranclo</t>
  </si>
  <si>
    <t>sas consistoriales el dia 4 de Setiembre próximo, á las once de su mañana. Por providencia del Lie. D. Manuel Ángel Carranclo, su fecha 9 del presente, se ha mandado sacar á públi;a subasta, por término de 30 dias, una casa sita en esta Corte en la calle del Tesoro, núm. 3, manz. 433, tasada en 63,085 rs</t>
  </si>
  <si>
    <t>nservador. Quien quisiere hacer postura acuda al referido juzgado. En virtud de providencia del Sr. D. Manuel Angel Carranclo, Comisionado -Real, se han mandado sacar a publica subasta, por término de 30 días contados desde el 13 del presente, 4 casas sitas en esta Corte: una en la plazuela de Matute, nú</t>
  </si>
  <si>
    <t>siere hacer dicha mejora acuda ante dicho Sr. Juez y citada escribanía. En virtud de providencia de D. Manuel Angel Carranclo, Comisionado Real en Madrid, se ha mandado sacar á pública subasta, por término de 30 dias contados desde 20 de Octubre, una casa sita en la calle de Cedaceros, núm. 9, manz. 267,</t>
  </si>
  <si>
    <t>te, saliéron los. números ,56,9, 88, 40 y 4.1; y con ellos han ganado los jugadores 1.118,530 rs. . Don Manuel Ángel Carranclo , Comisionado Regio para la enagenacion de bic^ nes eclesiásticos de Madrid, sú Vicaría eclesiástica y la general de Alcalá de He-nares , en providencia de 13 del corriente, ha ma</t>
  </si>
  <si>
    <t>Carrascal, Pedro</t>
  </si>
  <si>
    <t>Pedro Carrascal</t>
  </si>
  <si>
    <t>gar de Escobosa en aquella Diócesi: para la Ración, vacante en la Catedral de Córdoba por muerte de D. Pedro Carrascal, á D. Juan Clari, Medio-Racionero de ella; y para esta resulta á Don Antonio Alfaro y Vázquez: para el Beneficio servidero de la Parroquia de Pilas, Diócesi de Sevilla, vacante po</t>
  </si>
  <si>
    <t>Carrasco, Juan Vicente</t>
  </si>
  <si>
    <t>Juan Vicente Carrasco</t>
  </si>
  <si>
    <t>rancia, profesor de Anatomía y Fisiología en la escuela de Medicina de Mompeller &amp;c., traducida por D. Juan Vicente Carrasco, Médico de Jos Reales hospitales General y Pasión de esta Corte. Entre las varias obras de Fisiología que se han escrito últimamente, la de Dumas es una de las que mejor se ha rec</t>
  </si>
  <si>
    <t>Carrera, Manuel</t>
  </si>
  <si>
    <t>Manuel Carrera</t>
  </si>
  <si>
    <t>as la riqueza absoluta de una nación, que destinando su capital á surtir los mercados mas próximos: D. Manuel Carrera, de primero, deben contarse en la clase producente todos aquellos que directa ó indirectamente crian valores, ó aumentan el de los ya producidos: D. Antonio Hidalgo , de primero,</t>
  </si>
  <si>
    <t>Carrillo, Alonso</t>
  </si>
  <si>
    <t>Alonso Carrillo</t>
  </si>
  <si>
    <t>Castilla, t .* AI Señor Marques de Quintanar, Regidor perpetuo de la ciudad de Segovia. 2.a Ai Sr. D. Alonso Carrillo, Veinteiquatro de la ciudad de Jaén___ Para las de la Corona de Aragón. hXSt. D. Bartolomé La-Iglesia, Regidor de laciu» dad de Tarazona. , La villa de Ablitas, en cumplimiento de</t>
  </si>
  <si>
    <t>Carrillo, Ramón</t>
  </si>
  <si>
    <t>Ramón Carrillo</t>
  </si>
  <si>
    <t>fantería de Toledo: los Gefes de sala D. Alonso Alvarado, D. Sebastian Gorvea, D. Ramón de Zuloaga, D. Ramón Carrillo y D. Manuel Fernandez: los Gefes de trozo D. Pedro Tavira, D. Manuel Ferrando, D. Josef de Castro, Cadete de Reales Guardias Walonas, Don Josef Fernandez, D. Josef Martínez, D. Manuel</t>
  </si>
  <si>
    <t>Carrion, Pedro</t>
  </si>
  <si>
    <t>Pedro Carrion</t>
  </si>
  <si>
    <t>la Princesa al Sargento primero D. Jayme Pes : en el de Murcia Ayudantía al Teniente de granaderos D. Pedro Carrion; y Subtenencias de bandera en el de la Corona al Sargento primero Í&gt;. Pió Quinto de la Yun</t>
  </si>
  <si>
    <t>Cartes, Domingo</t>
  </si>
  <si>
    <t>Domingo Cartes</t>
  </si>
  <si>
    <t>a D. Teínas Burgués pata urta Ración ó Cóménsalía de la Catedral de Tortoja., vacante por muerte de D. Domingo Cartes: á Don Josef Marques para un Beneficio Subdiaconil de la misma Catedral, vacante por fallecimiento de D. Juan Cartes; y á D. Juan Olives para una Canongíá de ia Colegiata de Liado</t>
  </si>
  <si>
    <t>Cartes, Juan</t>
  </si>
  <si>
    <t>Juan Cartes</t>
  </si>
  <si>
    <t>Don Josef Marques para un Beneficio Subdiaconil de la misma Catedral, vacante por fallecimiento de D. Juan Cartes; y á D. Juan Olives para una Canongíá de ia Colegiata de Liado, Obispado de Gerona. • El Rey se lia servido conferir el empleo de Sargento: mayor ^eí Regimiento de infantería de H</t>
  </si>
  <si>
    <t>Cartwright</t>
  </si>
  <si>
    <t>Castlereagh, este Ministro puso sobre la tabla varias piezas relativas al tratado hecho con Rusia. Mr. Cartwright. ,,La Cámara recordará que durante ió anos Mr. Pitt, último Canciller del Echiquier, no gozó sino de la simple renta afecta á sus dos empleos, y que el Gobierno de los Cinco-Puert</t>
  </si>
  <si>
    <t>tase el budjet el viérnes. . . ¡ El Gobierno ha sabido por cartas dé Gibtaítár de i.° de Marzo, que Mr. Cartwright, Agente y Cónsul general de Inglaterra cerca del Dey de Argel, se hábia retirado de aquella residencia el 24 de Febrero, y llegado á Gibraltar el 27 del mismo mes. Como Mr. Cartwr</t>
  </si>
  <si>
    <t>Carvajal, Felipe</t>
  </si>
  <si>
    <t>Felipe Carvajal</t>
  </si>
  <si>
    <t>e de granaderos al de fusileros D. Salvador Valdejuli; á Subtenientes de fusileros á los de bandera D. Felipe Carvajal, D. Silvestre Ramírez y D. Josef López; y ¿ Subtenientes de bandera al Sargento primero de granaderos D. Miguel García, y á los Cadetes D. Juan Nuñez, D. Carlos Nuñez y D. Francis</t>
  </si>
  <si>
    <t>CasadevaU, Ramón</t>
  </si>
  <si>
    <t>Ramón CasadevaU</t>
  </si>
  <si>
    <t>quia de Santa María del Mar de Barcelona * vacante por fallecimiento de D. Antonio Santa María; y á D. Ramón CasadevaU para un Beneficio residencial de la Parroquia de S. Cucufate de Barcelona, vacante por muerte de D. Josef Antich, S. M. se ha servido nombrar para la Canongía de la Metropolitana</t>
  </si>
  <si>
    <t>Casado, Juan</t>
  </si>
  <si>
    <t>Juan Casado</t>
  </si>
  <si>
    <t>a de Navarra Tenencia al Subteniente D. Juan Colorado, y Subtenencia de bandera al Sargento primero D. Juan Casado: en el de Hibernia Tenencia al Subteniente de granaderos D. Guillermo Lions; y en el de Ultonia Subtenencia de bandera al Cadete D. Pedro Guardiola y Borras. S. M. vse ha seívido</t>
  </si>
  <si>
    <t>Casalduc, Felipe</t>
  </si>
  <si>
    <t>Felipe Casalduc</t>
  </si>
  <si>
    <t>ropio Real cuerpo D. Mariano Negre, D. Alexandro Oiavarria, D* Pablo Iglesias, D* Francisco Guarro, D. Felipe Casalduc, D. Josef Moya, D* Domingo de los Santos, D. Marías Cruz, D. Josef Valenzueta, D. Cándido Turit, D* Nicolás Dehesa y D. Manuel Barba* El Rey nuestro Señor, á consulta del Supremo</t>
  </si>
  <si>
    <t>Casamayor, Pedro</t>
  </si>
  <si>
    <t>Pedro Casamayor</t>
  </si>
  <si>
    <t>94449, y habiendo sido extraviados, el que supiese su paradero se servirá avisar en Sevilla á dicho D. Pedro Casamayor, y en Madrid á los referidos Sicilia y Martínez, baxada de Sta. Cruz. En 8 del presente mes de Mayo se remató en 526,584 rs., pagaderos en efectivo, una casa sita en la plazuela d</t>
  </si>
  <si>
    <t>Casanova de Arnuero y Rada, Tomás</t>
  </si>
  <si>
    <t>Tomás Casanova de Arnuero y Rada</t>
  </si>
  <si>
    <t>e de su Real Casa y Corte, vacante por fallecimiento de D. Francisco Gutiérrez Vigil de Quiñones, á D. Tomas Casanova de Arnuero y Rada, que lo era Supernumerario: á D. Vicente Calvo para la Vara de Alcalde mayor de la villa de Sepúlveda: á D. Justo Martínez de Baños para la de la ciudad de Málaga : á D. Ramón Mac</t>
  </si>
  <si>
    <t>Casanovas, Francisco</t>
  </si>
  <si>
    <t>Francisco Casanovas</t>
  </si>
  <si>
    <t>rio de Artillería de la plaza de Ciudad-Rodrigo ai Guarda-Almacén extraordinario de la de Barcelona D. Francisco Casanovas. En América. En el Regimiento de infantería de Puebla en Nueva,España se ha servido el Rey promover á Capitán al Ayudante D. Gabriel Bachiller; á Ayudante al Teniente de granadero</t>
  </si>
  <si>
    <t>Casiano Antonino Pérez Beltran</t>
  </si>
  <si>
    <t>ntonio Alberto, vecino de la ciudad de Cuenca. Quien supiere su paradero lo avisará en esta Corte á D. Casiano Antonino Perez Beltran, Agente de los Reales Consejos, que vive calle de Jesús del Valle, casa nueva sin número, quarto principal, ó en Cuenca al expresado Juan Antonio Alberto. Por. decreto de los Sres</t>
  </si>
  <si>
    <t>Casimiro Antonio Gómez</t>
  </si>
  <si>
    <t>en el todo de sus tasaciones en vales Reales. Quien quisiere hacer mejora acuda á la escribanía de D. Casimiro Antonio Gómez. En Zalamea de la Serena , provincia de Extremadura, se vende una dehesa cerrada de pasto y labor, nominada de Guadamez, la qual comprehende tres millares de tierra de buena calid</t>
  </si>
  <si>
    <t>Señores, los presenten, en el término de 30 dias contados desde el 25 de Junio, en la escribanía de D. Casimiro Antonio Gómez, y acudan á liquidarlos con D. Josef Rubio; en inteligencia de que pasado dicho término Ies parará el perjuicio que haya lugar. Por providencia del Sr. D. Alfonso Duran y Barazaba</t>
  </si>
  <si>
    <t>Casou, Juan</t>
  </si>
  <si>
    <t>Juan Casou</t>
  </si>
  <si>
    <t>situada én la Reai Aduana, y en las provincias i los comisionados siguientes: En Alicante......;.. D. Juan Casou jr eómpafiía. En Amia,*............ D. Josef Piguerás Gómez. En Badajoz.......... D. Francisco Fernandez de la 'Peña y 5. Miguel. En Barcelona....... D. Ramón de Liordeíla é hijo.</t>
  </si>
  <si>
    <t>n situada en la Real Aduana, yen las provincias á los comisionados siguientes: En Alicante.*....... D. Juan Casou y compañía. En Avila............... D. Josef Piqueras Gómez. En Badajoz......... D. Francisco Fernandez de la Peña y S. Miguel. En Barcelona....... D. Ramón de Llordella é hijo. En</t>
  </si>
  <si>
    <t>ituada en la Real Aduana, yen las provincias á los comisionaaos siguientes: ^ En Alicante.......... D. Juan Casou y compañía. En Avila.............. D. Josef Piqueras Gómez. En Badajoz.......... D. Francisco Fernandez de lJ*Peña y S. Miguel. En Barcelona....... D. Ramón de Llordella é hijo. En</t>
  </si>
  <si>
    <t>Castañeda y Matos, Manuel</t>
  </si>
  <si>
    <t>Manuel Castañeda y Matos</t>
  </si>
  <si>
    <t>del Regimiento de Milicias urbanas de caballería de S. Pablo de Chalequeé, en el Reyno del Perú, á D. Manuel Castañeda y Matos, Capitán del mismo cuerpo.. Edicto llamando á oposición á la cátedra de Física experimental vacante en el Real Seminario de Nobles de Madrid. Don Andrés López de, Sa</t>
  </si>
  <si>
    <t>Castañer, Vicente</t>
  </si>
  <si>
    <t>Vicente Castañer</t>
  </si>
  <si>
    <t>Roca para una Canongía de fa Catedral de Gerona, vacante por talle cimiento de D. Antonio Doria: á D. Vicente Castañer para otra Canongía de la Colegiata de Sra. Ana de Barcelona t vacante por muerte de D. Antonio Vinals ; y á D. Tomas Ribo para la Dignidad de Chantre de la Catedral de Sobona, vac</t>
  </si>
  <si>
    <t>Castaño, Antonio</t>
  </si>
  <si>
    <t>Antonio Castaño</t>
  </si>
  <si>
    <t>ara otro también servidero en dicha Iglesia con el título de S. Pedro, vacante por fallecimiento de D. Antonio Castaño, á D. Eugenio Lorenzo Vidal; y para otro igual titulado de S. Miguel en Ja Parroquia de S. Juan de la propia villa, que se halla vacante por ascenso de D. Manuel López Gutiérrez a</t>
  </si>
  <si>
    <t>Castañon Rodríguez, Domingo</t>
  </si>
  <si>
    <t>Domingo Castañon Rodríguez</t>
  </si>
  <si>
    <t>, y rs. en dinero. Quien quisiere hacer postura acuda á la escribanía de dicha comisión, que exerce D. Domingo Castañon Rodríguez, antes del referido dia 21. , En virtud de providencia del Sr. D. Francisco Xavier Uriortua, del Consejo de S. M. en la Real Junta; general de Comercio y Moneda, Asesor de la Inte</t>
  </si>
  <si>
    <t>odas ó á qualesquiera de las fincas, acuda á la escribanía de la Comisión de obras pías, que exerce D. Domingo Castañon Rodríguez; en la inteligencia de que se rematarán, con otros bienes, los dias 28 y 29 del presente, á las once y doce de sus mañanas, en las casas consistoriales de la ciudad de León. En vi</t>
  </si>
  <si>
    <t>Castaños, Juan Felipe</t>
  </si>
  <si>
    <t>Juan Felipe Castaños</t>
  </si>
  <si>
    <t>etario de las Intendencias de Galicia, Aragón y campaña de Portugal baxo las órdenes del Intendente D. Juan Felipe Castaños; en el de las de Contador de Exéixito de la expedición á la América Meridional, y mas particularmente en el arreglo de la administración de la Aduana de Cádiz, que se le éonfió en</t>
  </si>
  <si>
    <t>Castillo Negrece, Manuel</t>
  </si>
  <si>
    <t>Manuel Castillo Negrece</t>
  </si>
  <si>
    <t>Asimismo ha nombrado S. M. para la Regencia de su Real Audiencia de México, vacante por ascenso de D. Manuel Castillo Negrece á la Fiscalía del Consejo de Indias, departamento de Nueva-España, á D. Pedro Catani: para la que este dexa en la Audiencia de Guadalaxara á D. Antonio Villaurrutia, Oidor de Char</t>
  </si>
  <si>
    <t>Castillo Negrete, Manuel</t>
  </si>
  <si>
    <t>Manuel Castillo Negrete</t>
  </si>
  <si>
    <t>se ha dignado S. M. nombrar para la Regencia, vacante en la Audiencia de Guatemala por promoción de D. Manuel Castillo Negrete á la dé México, á D. Josef Bernardo Astiguieta: para la plaza de Oidor de Caracas, que este dexa, á D. Antonio Julián Alvarez, Abogado de los Rea</t>
  </si>
  <si>
    <t>Castillo, Antonio</t>
  </si>
  <si>
    <t>Antonio Castillo</t>
  </si>
  <si>
    <t>Supl., p. 2</t>
  </si>
  <si>
    <t>do posible lograr un dibuxo que llenase todos mis deseos, ; Se suscribe en Madrid en la Librería de D. Antonio Castillo, frente dé las'grada^ dé S. Felipe éliReal, sin obligación de adelantar dinero algctiió* sino; soló de pagar'lo^quader nos al tiempo de recibirlos. Eí^fécio de cada uño pata los S</t>
  </si>
  <si>
    <t>Castlereagh, Lord</t>
  </si>
  <si>
    <t>Lord Castlereagh</t>
  </si>
  <si>
    <t>de Yorck, quien luego después conferenció largamente con su hermano el Duque de Cambridge y con el Lord Castlereagh. La fragata Vestal, que llegó á Yarmouth el lunes, luego que recibió á bordo ai Lord Cathcarty á su hijo, se hizo á la vela para el Continente— El Duque de Cambridge se embarcará</t>
  </si>
  <si>
    <t>Castlereágh, Lord</t>
  </si>
  <si>
    <t>Lord Castlereágh</t>
  </si>
  <si>
    <t>expuestos, y los medios de disipar la tempestad que se forma en el horizonte de la «Gran Bretaña.” Lord Castlereágh respondió que los Ministros de S. M. echarían fácilmente por tierra los cargos que pudiesen hacerse contra ellos, por lo que no pedían ninguna dilación, pues no la necesitaban par</t>
  </si>
  <si>
    <t>declararle excelente estadista ?..... Me opongo pues a ella, como mi deber y conciencia lo dictan. Lord Castlereagh. „No hay mas que ver el incremento de nuestras fuerzas militares, su poderosa eficacia en todas las ocasiones en que se han</t>
  </si>
  <si>
    <t>ra paso después á la votación. Por la propuesta de Mr. Lascelies votaron 238, y 89 en contra. Nata. Lord Castlereagh anunció á varios miembros , que el día z8 se presentarían á la Cámara los tratados y documentos relativos á la guerra continental. • El 5 de Octubre último ha muerto el Marques de</t>
  </si>
  <si>
    <t>. GRAN BRETAÑA. «. V Lóndres 7 de Febrero, '- Cdiñara de los Comunes. Junta del 2 7 de Enero-. -i#* Lord Castlereagh dixo al presentar las copias de los tratados ajustados</t>
  </si>
  <si>
    <t>ía se mé dixése sí la* falta re éste tratado con el Austria es' una supresión ó una omifciom” ; ; ; Lord Castlereagh. ,, Hay tres tratados puestos sobre la tabla ; son los que se ajustáron con Suecia y Rusia, y el convenio, por el qual el Austria accedió á lós tratados hechos con Rusia y Suecia.</t>
  </si>
  <si>
    <t>razones poderosas que tengo para apoyar la propuesta hecha en su favor.** Adoptada la propuesta de Lord Castlereagh, este Ministro puso sobre la tabla varias piezas relativas al tratado hecho con Rusia. Mr. Cartwright. ,,La Cámara recordará que durante ió anos Mr. Pitt, último Canciller del Ech</t>
  </si>
  <si>
    <t>2 de Abril. El día 4 Mr. Windham presentó en la Cámara de los Comunes su plan de defensa del Reyno. Lord Castlereagh le combatió terriblemente, y Mr. Fox le defendió con un discurso , cuyo extracto publicaremos. Conforme á dicho plan los soldados sentarán plaza por tiempo limitado, y no para sie</t>
  </si>
  <si>
    <t>Castleréagh, Lord</t>
  </si>
  <si>
    <t>Lord Castleréagh</t>
  </si>
  <si>
    <t>nvicción de su. necesidad? ¿ Acaso es el estado próspero de la Irlanda el que aumenta el orgullo d* Lord Castleréagh? ¿ Es feliz la India, está tranquila y floreciente ? ¿ Qúál es pues este lecho de rosas, sobre el qual nos han dexado nuestros predecesores? Es una ironía atroz decirme que estoy</t>
  </si>
  <si>
    <t>esperarse sentid inientos tan odiosos en una Nación incapaz de tolerarlos. Concebimos muy bien que Lord Castlereagh, Jorge Rose, Lord Mulgrave &amp;cc. esperen que el fallecimiento de Mr. Fox ocasione mudanza del Ministerio: estos Señores abandonáron los negocios, y salieron de la carrea ra polític</t>
  </si>
  <si>
    <t>precia estos viles aduladores; Ni ofenderemos á los Lores Fitz-William, Moira &amp;c. comparándolos con Lord Castlereagh, Lord Mulgrave y Mr. Jorge Rose, ó .‘suponiendo que estando la elección en manos de Lord Grenviile titubease un solo instante. t Pero ¿por qué los Señores de la Oposición no busca</t>
  </si>
  <si>
    <t>Castlereagk, Lord</t>
  </si>
  <si>
    <t>Lord Castlereagk</t>
  </si>
  <si>
    <t>. Londres 19 de Abril. El dia 3 Mr. de Windham presentó en la Cámara de los Comunes suplan militar: Lord Castlereagk se opuso á él. Mr. Fox habló después</t>
  </si>
  <si>
    <t>Castro, Manuel Antonio</t>
  </si>
  <si>
    <t>Manuel Antonio Castro</t>
  </si>
  <si>
    <t>ara otra Media-Ración de la Iglesia de Buenos-Ayres, vacante por muerte de D. Juan Antonio Gómez, á D. Manuel Antonio Castro, Cura de la Parroquia de nuestra Señora de la Piedad de' aquella capital. * S. M. se ha dignado conceder Tenencia veterana en el batallón de Milicias disciplinadas de Españoles de</t>
  </si>
  <si>
    <t>Catalina Germán</t>
  </si>
  <si>
    <t>n................ D. Pedro Gil de Tejada. En Málaga.......... D. Juan Ximeno. En Maltón............ Doña Catalina Germán y. Hugalde. En Murcia........... Sres. Moreda y Ladalid. En Oviedo............ D. Manuel Rumano. En Palenda......... Viuda de D. Nicolás Calonge é hijo mayor. En Palma............ D</t>
  </si>
  <si>
    <t>Catalina Germán y Húgalde</t>
  </si>
  <si>
    <t>ón...*............X). Pedro Gil de Tejada. En Málaga...... . D. Juan 'Ximéno. En Mahon............. Doña Catalina Germán y Húgalde. En Murcia............ Sres. Moreda y Ladalid. En Oviedo.......... . D. Manuel Rubiano. En Pálénciú.......... Viuda deD. Nicolas Cálonge é hijo twayOr. En Palma..... ........ D. M</t>
  </si>
  <si>
    <t>Catalina Germán y Hugalde</t>
  </si>
  <si>
    <t>................ D. Pedro Gil de Tejada. En Málaga........... D. Juan Ximeno. En Mahon............. Doña Catalina Germán y Hugalde. En Murcia............ Sres. Moreda y Ladalid. En Oviedo.............. D. Manuel Rubiano. En Patencia.......... Viuda de D. Nicolás Calonge é hijo mayor. En Palma............. D.</t>
  </si>
  <si>
    <t>Catalina Pawlowna, Duquesa</t>
  </si>
  <si>
    <t>Duquesa Catalina Pawlowna</t>
  </si>
  <si>
    <t>ada del 21.__ El dia anterior habian salido á recibirle en Gatschina las dos Emperatrices y la Gran Duquesa Catalina Pawlowna. Todo aquel dia hubo un gentío inmenso fuera de esta ciudad esperando con ansia ver á su Emperador; pero no tuvo esta satisfacción hasta que á la mañana siguiente se tremolo el es</t>
  </si>
  <si>
    <t>Catani, Pedro</t>
  </si>
  <si>
    <t>Pedro Catani</t>
  </si>
  <si>
    <t>de D. Manuel Castillo Negrece á la Fiscalía del Consejo de Indias, departamento de Nueva-España, á D. Pedro Catani: para la que este dexa en la Audiencia de Guadalaxara á D. Antonio Villaurrutia, Oidor de Charcas, y para esta resulta á D. Gaspar Ramírez, Conde de S. Xavier : para la Regencia d</t>
  </si>
  <si>
    <t>Cathcard, Lord</t>
  </si>
  <si>
    <t>Lord Cathcard</t>
  </si>
  <si>
    <t>Corren voces de que las resultas del Cojrsejo de Guerra celebrado en Niemburgo, y presidido por el Lord Cathcard, han sido evacuar el Hannóver las tropas Inglesas, y reembarcarse antes que llegue el exército Francés mandado por el Príncipe Luis. Es cosa muy digna de notarse que hay ahora mis</t>
  </si>
  <si>
    <t>Cathcart, Lord</t>
  </si>
  <si>
    <t>Lord Cathcart</t>
  </si>
  <si>
    <t>se igualmente en defensa de la Holanda, de losPaisesBaxos y del Baxo-Rhin. Ayer salió de Londres el Lord Cathcart para ir á tomar el mando del exército Ingles en el Continente. El Teniente General Dundas, que se embarcará con él,mandará la infantería, y los Mariscales de Campo Mackenzie, Fraz</t>
  </si>
  <si>
    <t>a guerra en aquel país. Parece que Scindiah y Holkar han juntado fuerzas, y entrado en el Guzarate. Lord Cathcart, que ha sido últimamente nombrado Comandante de las tropas Británicas en el Continente, se vio á los principios de la guerra anterior en una situación poco diferente de la en que</t>
  </si>
  <si>
    <t>ngleses, y 20 buques de transporte á Cuxhaven ; en ellos se reembarcarán las tropas mandadas por el Lord Cathcart. El Lord ILarrowhy y Mr. Hammond han pasado por esta ciudad de vuelta de Berlín; y han saiido ya con destino á Glukstadt, en donde se embarcarán para Inglaterra á bordo de la frag</t>
  </si>
  <si>
    <t>tan crítica la ha privado de Lord Neison y de Mr. Pitt. (Star.) El Gobierno ha recibido pliegos del Lord Cathcart anunciando que conforme á Jas órdenes del Rey, ha hecho reembarcar sus tropas sin el menor peligro, que era de temer de resultas de la conclusión de la paz, que dexa á los Inglese</t>
  </si>
  <si>
    <t>s militares, de modo qué ios Regimientos se hallan muy incompletos, y necesitan nuevos refuerzos. t Lord Cathcart después de su vuelta del Continente tiene freqiientes conferencias con Windham, Secretario de la Guerra, á quien ha dado nociones exactas del estado de las cosas en Hannóver, y de la</t>
  </si>
  <si>
    <t>5° 2 „ Ea conseqiiencia ruego á V. E. escriba quanto ántes á Lord Cathcart, General en gefe de las tropas de S. M. Británica, inclinándole á tomar sin demora las providencias que juzgare necesarias para este objeto, y en especial de acceder á la propuest</t>
  </si>
  <si>
    <t>Cathcarty, Lord</t>
  </si>
  <si>
    <t>Lord Cathcarty</t>
  </si>
  <si>
    <t>el Lord Castlereagh. La fragata Vestal, que llegó á Yarmouth el lunes, luego que recibió á bordo ai Lord Cathcarty á su hijo, se hizo á la vela para el Continente— El Duque de Cambridge se embarcará dentro de pocos dias en el mismo puerto á bordo de la fragata Orfeo. Se trata de enviar muchos</t>
  </si>
  <si>
    <t>Catncart, Lord</t>
  </si>
  <si>
    <t>Lord Catncart</t>
  </si>
  <si>
    <t>etiembre.______________________ Se-asegura que el Almirantazgo ha recibido esta mañana aviso de que Lord Catncart ha hecho reembarcar sus tropas en los-transportes que habla en el Élba, y en los que á este efecto se han ehvíadó dé Inglaterra. Dentro de poco verémos ia expedición volver cómo s</t>
  </si>
  <si>
    <t>caudillo Elfi-Bey</t>
  </si>
  <si>
    <t>ituir á los Beyes todas las prerogativas de que gozaban en lo antiguo, y que su caudillo Elfi-Bey será nombrado Gobernador de Egipto. La Sublime Puerta ha resuelto que pasen otros muchos navios ál mar Negro á fin de formar una esquadra de observación. Son f</t>
  </si>
  <si>
    <t>caudillo Indios</t>
  </si>
  <si>
    <t>e la Cámara. Todos los individuos se levantáron y se descubrieron al entrar los caudillos Indios : sentáronse todos luego, y el orador Mr. Bigelow se levantó, y habló á los caudillos Indios en estos términos: „ Hermanos, bien venidos seáis cerca del foco d</t>
  </si>
  <si>
    <t>el Gobierno de los Estados-Unidos, una diputación para conferenciar con algunos caudillos Indios. Los comisionados' han conseguido ya que los salvages cultiven varios terrenos, y que aprendan algunos Indios el oficio de herrero , de herrador, de carpintero</t>
  </si>
  <si>
    <t>caudillo Servios</t>
  </si>
  <si>
    <t>ienas Casetas, con fecha de i $ y i8 de Diciembre, anuncian que los principales caudillos Servios han celebrado uña pirita, y en ella han acordado, entre otras cosas, continuar con el mayor tesón el sitió de Belgrado, y asaltar la plaza, si rK&gt; se rinde muy</t>
  </si>
  <si>
    <t>del Obispo. Griego y la prisión de varios Rajaes f ha. enviado diputados'á los caudillos Servios para, hacer las amistades, y ajustar un tratado recíprocamente ventajoso.. Lo¿ Servios han. pedido rehenes para, asegurarse de la sinceridad de las palabras: d</t>
  </si>
  <si>
    <t>tán en venta, y el producto se pasará á la caxa 1 hay noticias deque uno de los caudillos Servios, llamado Metenleo, ha derrotado enterathente en las fronteras de la Bulgaria un cuerpo ? Otomanas compuesto de 6® hombres, baxo las órdenes de Ko— sin axa, que</t>
  </si>
  <si>
    <t>caudillo Turcos</t>
  </si>
  <si>
    <t>forrages: el ío deí corriente fué' recibido con salvas de artillería uno de los caudillos Turcos, llamado Tusum-Agá;.entre otros objetos que ha quitado á los Servios, haa venjdo muchas mugéres y niños, los quales han perdido su libertad y hah sido vendidos</t>
  </si>
  <si>
    <t>Caula</t>
  </si>
  <si>
    <t>ente si los asuntos de lo interior y los de fuera del Reyno permiten la execucion de esta empresa.” Mr. Caula, banquero de la Corte de Wirtemberg, ha destinado un premio del valor de 150 florines para la explicación que se juzgue mas satisfactoria en punto á los esqueletos fósiles, que di</t>
  </si>
  <si>
    <t>Caulaincourt, General</t>
  </si>
  <si>
    <t>General Caulaincourt</t>
  </si>
  <si>
    <t>nado , el Emperador continúo su camino á Wurtzburgo. Entre las oersbnas de su comitiva se hallan el General Caulaincourt, CaballerizoMayor : el General Klarke, Secretario dé Gabinete y Consejero de Estado.^y el General Savary, Comandante de la Gendarmería de la Guardia Imperial. . El dia 5 se hallab</t>
  </si>
  <si>
    <t>Causada, Antonio</t>
  </si>
  <si>
    <t>Antonio Causada</t>
  </si>
  <si>
    <t>o de D. Pedro Berzabal, Presbítero en Almagro : avisará á dicho Berzabal, en Almagro, ó en Madrid á D. Antonio Causada, en la calle de Cedaceros, núm. 16. Por providencia de D. Luis Pisana y Muñoz , Comisionado Real para la venta de bienes eclesiásticos de la Diócesi de Cuenca, se han mandado saca</t>
  </si>
  <si>
    <t>Caycedo, Fernando</t>
  </si>
  <si>
    <t>Fernando Caycedo</t>
  </si>
  <si>
    <t>la villa de Logroño en aquella Diócesi ; y para la Penitenciaría de la Metropolitana de Santa Fe á D. Fernando Caycedo, Medio-Racionero de ella. El Rey se ha dignado conceder los empleos de Coronel y Teniente Coronel del Regimiento de Milicias disciplinadas de infantería de Panamá á D. Pablo Josef</t>
  </si>
  <si>
    <t>Cayetana de Aguirre y Rosales</t>
  </si>
  <si>
    <t>frente á las gradas de S. Felipe. Virginia, ó la Doncella cristiana: obra traducida del francés por Doña Cayetana de Aguirre y Rosales, y dedicada á la Reyna nuestra Señora. Todo el elogio que puede hacerse de ella, es decir que se dirige á instruir y reglar la conducta de las mugeres en el estado mas peligroso y</t>
  </si>
  <si>
    <t>Ce, Pedro</t>
  </si>
  <si>
    <t>Pedro Ce</t>
  </si>
  <si>
    <t>SPAÑA. Madrid 25 de Abril. Con fecha de 22 de este mes se ha dignado el Rey dirigir al Excmo; Señor D. Pedro Ce valí os, primer Secretario de Estadoydel Despacho^ el Real decreto siguiente: ,, Hallándome satisfecho del zelo y amor á mi Real Persona, que ha acreditado constantemente el Capit</t>
  </si>
  <si>
    <t>Cederstrom, Almirante</t>
  </si>
  <si>
    <t>Almirante Cederstrom</t>
  </si>
  <si>
    <t>y destinadopara Stettin, acaba de ser apresado por la fragata Sueca ía Troya, mandada por el Contra-Almirante Cederstrom, y enviado á Carlscrona. HUNGRIA. ,¡"*.o i r¡ Semlinde Junio. Antes de ayer paso por aquí un correo Turco que Tiene de Constantinppla, y se encamina por Viena á París. Ha referido</t>
  </si>
  <si>
    <t>Ceferino Carrillo</t>
  </si>
  <si>
    <t>nas, Don Josef Fernandez, D. Josef Martínez, D. Manuel Cámara y D. Manuel Abbad: y los Seminaristas D. Ceferino Carrillo, D. Toribio Olalde, Don Pedro Sánchez Pavón, D. Juan Ortiz de Zárate, D. Antonio Albuerne, D. Pablo Unda, D. Josef Silvan, D. Pablo Ferrando, D.AIexandro Lagoa, D. Eugenio de Zulo</t>
  </si>
  <si>
    <t>Ceferino Laborda</t>
  </si>
  <si>
    <t>naderos; y á Subteniente de bandera dei primer batallón de Voluntarios de Aragón afSargento primero D. Ceferino Laborda. S. M. se ha servido promover á Guarda-Almacén ordinario de Artillería de la plaza de Ciudad-Rodrigo ai Guarda-Almacén extraordinario de la de Barcelona D. Francisco Casanovas. En</t>
  </si>
  <si>
    <t>Celestino Álvarez, Antonio</t>
  </si>
  <si>
    <t>Antonio Celestino Álvarez</t>
  </si>
  <si>
    <t>o de D. Josef Gabriel de los Ríos, Alcaide mayor de la ciudad de Búrgos, y escribanía del número de D. Antonio Celestino Alvarez, se han mandado subastar en el dia 30 de este mes varios efectos raíces, y son los siguientes: «na casa sita en la calle de Zurradores, tasada en venta en 20,342 rs., y en renta e</t>
  </si>
  <si>
    <t>Cels</t>
  </si>
  <si>
    <t>La Botánica ha perdido uno de los hombres que la cultivaban con mas zelo y esmero en la persona de Mr. Cels, miembro de la primera clase del Instituto y de la comisión encargada de preparar un proyecto de Código ru'aí, que murió el jueves último. Su jardín, que cuidaba con mucha atenció</t>
  </si>
  <si>
    <t>a adhesión de las moléculas del agua entré sí , por el Conde de Rumford..__ 6.° Elogio histórico de Mr. Cels, por Mr. Ciivier. El premio de la medalla anual que fundó Mr. Lalande para el autor de la Memoria mas interesante de Astronomía., se ha adjudicado á Mr. Jons Svanberg, de la Acade</t>
  </si>
  <si>
    <t>Cendeja, Pedro</t>
  </si>
  <si>
    <t>Pedro Cendeja</t>
  </si>
  <si>
    <t>on Josef Fernandez, D. Josef Martínez , D. Manuel Cámara y D. Faustino Vitorica; y los Seminaristas D. Pedro Cendeja, D. Manuel Abbad, D. Carlos Van-Zoelen, D. Juan Ortiz de Zarate, D. Sebastian de Navarrete, Don Gerónimo Maza, D. Juan Maza, D; Luis Berganza , D. Alexandro lagoa, D. Bernabé de O</t>
  </si>
  <si>
    <t>Centelles, Joaquín</t>
  </si>
  <si>
    <t>Joaquín Centelles</t>
  </si>
  <si>
    <t>2, congregada la Asociación en la capilla de la cárcel, y los presos en la sala inmediata, el socio D. Joaquín Centelles, Presbítero, les hizo una breve exhortación sobre el objeto de tan caritativo instituto, y sobre los bienes temporales y espirituales que lograrían en lo sucesivo mediante la apro</t>
  </si>
  <si>
    <t>Ceoollino, Salvador</t>
  </si>
  <si>
    <t>Salvador Ceoollino</t>
  </si>
  <si>
    <t>erald: Tenencias en el Inmemorial del Rey¡yel expresado de Ultonia á los Subtenientes de granaderos D. Salvador Ceoollino y D. Vicente Magrat; y Subtenencia de bandera en el de Voluntarios ;de¡CastiIla al Cadete D. Manuel Sánchez : en elfixo de Ceuta Subtenencia de bandera al Cadete D. Tohias Alvárez dé</t>
  </si>
  <si>
    <t>Cepeda y Lira, Ignacio</t>
  </si>
  <si>
    <t>Ignacio Cepeda y Lira</t>
  </si>
  <si>
    <t>ro de ella D. - Josef Gabriel. de: Ay var;: para la Magistral de la Catedral de Mérida de.Yucatán á D. Ignacio Cepeda y Lira, Cura en esta Diócesi : para Racionero de la Metropolitana de Sta. Fe á D. Joaquin del Barco; y para la Media-Ración que este dexa á D. Luis Igpaeio de Torres,. Cura de Cay¿ima en</t>
  </si>
  <si>
    <t>Cerda, Juan</t>
  </si>
  <si>
    <t>Juan Cerda</t>
  </si>
  <si>
    <t>ligarte ; á Subteniente de granaderos al de fusileros D. Josef Rosario Rodriguez, y de fusileros á D. Juan Cerda y D. Josef Vicente Solórzano, que lo eran de bandera, y á D. Felipe Argiiello y D. Vicente Castilla, vecinos de la jurisdicción de dicho Cuerpo; y á Subtenientes de bandera á D. Josef</t>
  </si>
  <si>
    <t>Cernadas, Pedro Antonio</t>
  </si>
  <si>
    <t>Pedro Antonio Cernadas</t>
  </si>
  <si>
    <t>r promoción del Sr. D. Francisco Ignacio Cortones á Ministro Togadodel Supremo Consejo de Indias, á D. Pedro Antonio Cernadas, Oidor de la del Cuzco, y para esta resulta ¿ D. Pedro Mariano Goyoneche y Barreda, Abogado-de la Audiencia de Lima, Asesor del Consulado y Tribunal de Minería de esta ciudad; y p</t>
  </si>
  <si>
    <t>riano Homboni, Sargento primero de la del partido de Nasca. Asimismo se ha dignado S. M. conceder á D. Pedro Antonio Cernadas, Oidor Decano de la Real Audiencia del Cuzco, en atención á sus dilatados méritos y servicios, honores del supremo Consejo de Indias: los de Oidor de dicha Audiencia á D. Manuel G</t>
  </si>
  <si>
    <t>99^ S. M. se ha servido relevar de la Regencia de la Audiencia de Quito i D. Pedro Antonio Cernadas, y la ha conferido á D. Josef FuentesGonzález Bastillo, y la plaza de Oidor del Cuzco, que dexa, á D. Pedro Mariano Goyeneche. En cumplimiento de la Real cédula de S. M. de 13 de</t>
  </si>
  <si>
    <t>Cerrión</t>
  </si>
  <si>
    <t>n el Cuerpo Legislativo el dia 30 de Abril se abrió la discusiorrdel próyécto de ley sobre aduanas. Mr. Cerrión, Orador- del .Tribunádo:, hizo-mi largo discursos sobre-elasunítoi* manifestando la oportunidad de esta' ley don* siderada. en sus relaciones con el interes de la.Real Hacienda!,</t>
  </si>
  <si>
    <t>César Madrazo</t>
  </si>
  <si>
    <t>el Dosal: de los Monteros de Guarda y Cámara de S. M. Don Josef Solana, D. Ignacio García de Diego, D. César Madrazo, D. Félix Angulo, D. Angel Merino, D. Pedro Gómez, D. Manuel de la Maza y Don Agustín Manuel de Borricón : de ios^ Caballerizos de Campo D. Fernando María de la Cueva, D. Josef de</t>
  </si>
  <si>
    <t>Céspedes, Francisco</t>
  </si>
  <si>
    <t>Francisco Céspedes</t>
  </si>
  <si>
    <t>Rey ha conferido empleo de Alférez en losEsqnzdrones de línea de la Brigada de Carabineros Reales á D. Francisco Céspedes, Alférez del Regimiento de caballería delPríncrpe;y ha nombrado para esta resulta á Don Josef de Iturrígaray, Carabinero de distinción de dicha Real Brigada. En América. §. M. se</t>
  </si>
  <si>
    <t>Cetina, Antonio</t>
  </si>
  <si>
    <t>Antonio Cetina</t>
  </si>
  <si>
    <t>hayan dado, quedando los que no comparezcan dentro del año sin derecho á reclamas. Los herederos de D. Antonio Cetina, natural de la ciudad de Murcia, Teniente Coronel retirado de caballería, que murió en esta Corte 506 años hace, tienen derecho á percibir 6993 rs., y se les entregarán luego que</t>
  </si>
  <si>
    <t>Cevallosprimer Secretario de Estado, Pedro</t>
  </si>
  <si>
    <t>Pedro Cevallosprimer Secretario de Estado</t>
  </si>
  <si>
    <t>Supl., p. 1</t>
  </si>
  <si>
    <t>y nos de Aragón y Navarra, por su Real Orden de (íde Diciembre último, comunicada por el Excmo. Sr. D. Pedro Cevallosprimer Secretario de Estado,' a D. Francisco Xavier La-Pipa* del Consejo Real y Supremo de Castilla, Director y Juez privativo y Conservador dé ambos Canales, que la publica en cumplimiento de la misma Real</t>
  </si>
  <si>
    <t>Chacón, Ignacio</t>
  </si>
  <si>
    <t>Ignacio Chacón</t>
  </si>
  <si>
    <t>aulin y Cotiella, Don Francisco Pareja y Cameros, D. Josef Marco y Espejo, D. Ramón Arias y Toubes, D. Ignacio Chacón, D. Angel Valdes y Diaz Canalizo, D. Julián Morales y Sánchez, D. Flaminio Agacini y Bilbao, D. Tomas de Torres y Zapata, y D. Manuel Croquer. En América. El Rey se ha dignado pro</t>
  </si>
  <si>
    <t>Chacón, Juan Bautista</t>
  </si>
  <si>
    <t>Juan Bautista Chacón</t>
  </si>
  <si>
    <t>dríguez de Cisneros. En atención á la acreditada y distinguida -nobleza y particulares servicios de D. Juan Bautista Chacón, Maestrante de Ronda, y vecino de la</t>
  </si>
  <si>
    <t>Chacón, Nicolás</t>
  </si>
  <si>
    <t>Nicolás Chacón</t>
  </si>
  <si>
    <t>de caballería de la Reyna se ha servido el Rey conferir Compañía al Ayudante, graduado de Capitán, D. Nicolás Chacón:</t>
  </si>
  <si>
    <t>Chamorro, Joaquín</t>
  </si>
  <si>
    <t>Joaquín Chamorro</t>
  </si>
  <si>
    <t>ntes D. Máximo Aviles, de granaderos, y D. Ramón Arguello; á Teniente de granaderos al,de fusileros D. Joaquín Chamorro; y de fusileros á los Subtenientes D. Josef Corneiio Guerrero, de granaderos, D. Faustino Bermudez y D. Hermenegildo ligarte ; á Subteniente de granaderos al de fusileros D. Josef</t>
  </si>
  <si>
    <t>Chaptal</t>
  </si>
  <si>
    <t>Senadores Garat y Lacepede propusiéron se erigiese el monumento triunfal decretado por ei Senado.. Mr. Chaptal pronunció el discurso que sigue: „ Senadores , habéis votado unánimemem te un monumento triunfal al héroe que es la gloria y las delicias del Imperio. Toda la Francia corresponde</t>
  </si>
  <si>
    <t>Chardon, Carlos</t>
  </si>
  <si>
    <t>Carlos Chardon</t>
  </si>
  <si>
    <t>a hecho de ellos desde el tiempo de los Apóstoles hasta el presente, escrita m francés por el R. P. D. Carlos Chardon, traducida por el R. P. D. Fr. Alberico Echandi, Monge Cisterciense, y D. Juan de Campo y Oliva: 8 tomos en 8.° mayor. Se hallará en el despacho de la Imprenta Real, á 144 rs. en</t>
  </si>
  <si>
    <t>Charlton</t>
  </si>
  <si>
    <t>47 6 El tercero fue Mr. Charlton, caxeró de esta casa. Durante el examen de los últimos testigos, Mr. Ploomer ha hecho algunas objeciones legales. Han asistido á esta sesión 150 miembros de la Cámara de los Comun</t>
  </si>
  <si>
    <t>Charpentier, General</t>
  </si>
  <si>
    <t>General Charpentier</t>
  </si>
  <si>
    <t>tida al Ministro de la Guerra, en un oficio de S. A. I., fecho en Munich el 13 del mismo mes-----El General Charpentier está nombrado Gefe del Estado- mayor general.” Ayer presentaron á S. M. sus credenciales ios nuevos Plenipotenciarios del Rey de Wurtemberg y del Príncipe de Lúea y de Piombino.. ES</t>
  </si>
  <si>
    <t>Chasteler, General</t>
  </si>
  <si>
    <t>General Chasteler</t>
  </si>
  <si>
    <t>guardias de la nobleza Húngara han salido de Presburgo para Viena. Quatro batallones del cuerpo del General Chasteler quedarán de guarnición en Gratz, en la Styria. ; Circula en el público de algunos dias á esta parte el documento siguiente: „S. M. el Rey de Baviera ha dado á la Orden de S. Juan</t>
  </si>
  <si>
    <t>Chatam, Lord</t>
  </si>
  <si>
    <t>Lord Chatam</t>
  </si>
  <si>
    <t>los continuos servicios hechos por Mr. Pitt; quando os recordareis que el Estado pagó las deudas de Lord Chatam, y que en iguales circunstancias su digno hijo contraxo las que os propongo paguéis, me lisonjeo que recibiréis con interes la propuesta que ahora os hago de presentar una humilde</t>
  </si>
  <si>
    <t>el cadáver, en ja Iglesia de Westminster, en frente del monumento erigido á lá memoria déf célebre Lord Chatam. Presidió él acompañamiento Lord Holland ¿ y asistiéron á él el Lord Canciller, casi todos los Ministros, y varias personas dé distinción. El Príncipe de Gales había venido á Lond</t>
  </si>
  <si>
    <t>Chatanv, Lord</t>
  </si>
  <si>
    <t>Lord Chatanv</t>
  </si>
  <si>
    <t>os igualo al padre. Usaré las mismas expre*sibries que se emplearon en la propuesta hecha acerca de Lord Chatanv. Propongo que se presefnte una humilde súplica á S. M., pidiéndole se dígne mandar que los despojos mortales del honorable/Willianv Pitt se entier¡ren á expensas del Estado; que s</t>
  </si>
  <si>
    <t>Chathatn, Lord</t>
  </si>
  <si>
    <t>Lord Chathatn</t>
  </si>
  <si>
    <t>adía de Westminster, en el parage donde está colocado el monumento erigido á la memoria de su padre Lord Chathatn. Se hacen las disposiciones para su entierro; pero es imposible se verifique hasta de aquí á tres semanas. Nuestras tropas acaban.de llegar del Continente: créese que desembarcará</t>
  </si>
  <si>
    <t>Chatnpagny</t>
  </si>
  <si>
    <t>2*4 el dia 5 se recibió á Mr. Chatnpagny, Ministro de lo Interior, quien hizo la exposición del estado del Imperio en el año pasado. r Empezó recordando la ceremonia de la coronación, las tareas del Cuerpo Legislativo, y</t>
  </si>
  <si>
    <t>Chavarría, Matías</t>
  </si>
  <si>
    <t>Matías Chavarría</t>
  </si>
  <si>
    <t>$úeítp.$ de infantería,; y en ios. batallones de Pardos de Cartagena y Panamá á EL Manuel Óspiiso y D. Matías Chavarría;, Garzones- dejas¡planascmayores de Blancos de los mismos Cuerpos. - También, ha víionrb'rádoiíePRBy, para una plaza,togada .-del Consejo de Indias , vacante p^ori falfecmíiesito</t>
  </si>
  <si>
    <t>Chavez, Juan</t>
  </si>
  <si>
    <t>Juan Chavez</t>
  </si>
  <si>
    <t>la Tenencia de aquella al Sargento primero de la misma D. Manuel Reyes, y la Subtenencia al Cadete D. Juan Chavez: Compañías en las sueltas de disciplinadas de infantería de Chiloe á D. Cristóbal Olavarria y D. Pedro Olavarria, Tenientes de las mismas; y Tenencia al Subteniente D. Josef Anton</t>
  </si>
  <si>
    <t>Chenard, Juan</t>
  </si>
  <si>
    <t>Juan Chenard</t>
  </si>
  <si>
    <t>es á D. Juan Serrano y D. Juan Montes, Teniente y Ayudante del mismo cuerpo; á Ayudante al Teniente D. Juan Chenard; á Tenientes á los Subtenientes D. Vicente Martínez, D. Lorenzo Díaz, D. Manuel Chenard y D. Josef Ignacio de la Torre y Cárdenas, los tres primeros de granaderos; á Subtenientes</t>
  </si>
  <si>
    <t>Chenard, Manuel</t>
  </si>
  <si>
    <t>Manuel Chenard</t>
  </si>
  <si>
    <t>e al Teniente D. Juan Chenard; á Tenientes á los Subtenientes D. Vicente Martínez, D. Lorenzo Díaz, D. Manuel Chenard y D. Josef Ignacio de la Torre y Cárdenas, los tres primeros de granaderos; á Subtenientes de granaderos á los de fusileros D. Francisco Xavier de Lamaddz , D. Francisco Escribas y D.</t>
  </si>
  <si>
    <t>Chenevix</t>
  </si>
  <si>
    <t>entes instruidas, que por fortuna es falsa la noticia que se ha dado en las Gazetas de la muerte de Mr. Chenevix. Es cierto que la embarcación en que iba zozobró en la entrada del canal de Constantinopla; pero aquel célebre químico Ingles ha^ salvado la vida por su habilidad en el arte de na</t>
  </si>
  <si>
    <t>Chevalier</t>
  </si>
  <si>
    <t>entan en París algunos dias de calor excesivo. El 11 á la una de la tarde señalaba el termómetro de Mr. Chevalier 22 grados y 3 décimos. La cosecha próxima presenta un aspecto favorable. El precio de los granos ha disminuido considerablemente en la Besce y en la Jlrié. Un decreto Imperial pre</t>
  </si>
  <si>
    <t>Chicherio, Basilio</t>
  </si>
  <si>
    <t>Basilio Chicherio</t>
  </si>
  <si>
    <t>l Cadete D. Fidel Spieler; y en el de Traxler Subtenencia de granaderos al Subteniente de fusileros D. Basilio Chicherio. El Teniente General D. Juan María de Villavicencio,Comandante general de Marina en la Havana, ha participado en 2 de Enero ai Excmo. Señor Príncipe de la Paz, Generalísimo de las</t>
  </si>
  <si>
    <t>ia de bandera al Cadete D. Cristóbal Tiill. En el de Traxler, Tenencia al Subteniente de granaderos D. Basilio Chicherio: esta resulta al Subteniente de fusileros Doh Julio Alberto Vicanz. Y la Tenencia Coronela del de Reding, núm, 3.0, al Capitán del mismo cuerpo D. Juan Cristiano Bagnioud. , Atend</t>
  </si>
  <si>
    <t>Chico de Guzman y Salcedo, Pedro</t>
  </si>
  <si>
    <t>Pedro Chico de Guzman y Salcedo</t>
  </si>
  <si>
    <t>le de las Carretas. La Mitologia explicada para la inteligencia de todos, traducida del francés por D. Pedro Chico de Guzman y Salcedo, y adornada con cien láminas bien grabadas. No hay parte alguna de la literatura para cuya inteligencia no sea necesario el conocimiento de la Mitologia. La noticia de los nombres</t>
  </si>
  <si>
    <t>Cía, Francisco</t>
  </si>
  <si>
    <t>Francisco Cía</t>
  </si>
  <si>
    <t>gualmente se ha servido S. M. conceder Tenencia en el Regimiento de dragones de la Reyna al Alférez D. Francisco Cía: en el de Sagunto empleo de Alférez al Portaguión D.. Josef Domínguez; y en el de húsares Españoles Tenencia al Alférez D. Santiago Pierrard. El Brigadier D. Agustín de Figueroa,</t>
  </si>
  <si>
    <t>Cibat, Antonio</t>
  </si>
  <si>
    <t>Antonio Cibat</t>
  </si>
  <si>
    <t>elona. = Elementos de Matemáticas, ó bien sea introducción á la Física experimental, compuestos por Don Antonio Cibat. Estos Elementos son muy apreciables por sw concisión y método, al paso que contienen lo preciso para estudiar después con provecho y adelantamiento la ciencia de la naturaleza. V</t>
  </si>
  <si>
    <t>Cid de Miranda, Julián</t>
  </si>
  <si>
    <t>Julián Cid de Miranda</t>
  </si>
  <si>
    <t>para otra igual plaza de la Audiencia de la Coruña, que resulta por ascenso del citado Galinsoga, á D. Julián Cid de Miranda, Abogado de los Reales Consejos.” Para el Deanato de la Catedral de Jaca, vacante por ascenso de D. Andrés Torres y Gómez, al Obispado de Oviedo, á D. Joset de Asso, Canónigo de l</t>
  </si>
  <si>
    <t>Cídton, Almirante</t>
  </si>
  <si>
    <t>Almirante Cídton</t>
  </si>
  <si>
    <t>ostas del mar Báltico. GRAN BRETAÑA, Londres 13 de Noviembre. La esquadra del Canal, mandada por el Almirante Cídton en ausencia de Lord S. Vicente, ha salido el 4 de Torbay para su apostadero á la vista de Brest. Consta de los navios de iínea S. Jcsef, Londres, Gloria, Príncipe Jorge, Princesa Re</t>
  </si>
  <si>
    <t>Ciine</t>
  </si>
  <si>
    <t>ón, pisadlos algunos dias de intervalo, se le hizo el lunes último la segunda punción,.qúe-verificó Mr. Ciine con su habilidad acostumbrada, y con igualtfdicidad¿Fiv esta operación , qjie puede considerarse como uria contiDuacion de la primera , se le eictraxércng azumbres de aguaVcon 4qq</t>
  </si>
  <si>
    <t>Ciivier</t>
  </si>
  <si>
    <t>las moléculas del agua entré sí , por el Conde de Rumford..__ 6.° Elogio histórico de Mr. Cels, por Mr. Ciivier. El premio de la medalla anual que fundó Mr. Lalande para el autor de la Memoria mas interesante de Astronomía., se ha adjudicado á Mr. Jons Svanberg, de la Academia Real de las C</t>
  </si>
  <si>
    <t>Cióse y Mr, Coronel</t>
  </si>
  <si>
    <t>Coronel Cióse y Mr</t>
  </si>
  <si>
    <t>reducción del poder de Holkar. Con este motivo el Guikavar ha cumplimentado á nuestro Residente. El Coronel Cióse y Mr. Elphinstone han conferenciado en Nagpoor con Atmaran,Ministro de Scindiah; pero este ha evitado entrar en explicaciones sobre las miras y proceder de su Soberano, pretendiendo qu</t>
  </si>
  <si>
    <t>Ciríaco de Arteaga, Juan</t>
  </si>
  <si>
    <t>Juan Ciríaco de Arteaga</t>
  </si>
  <si>
    <t>olástica de aquella ciudad: para una Media-Ración en la Catedral de Cartagena, por fallecimiento de D. Juan Ciríaco de Arteaga, á D. Isidro del Bustillo y Liaño, Cura Párroco y único de la misma Catedral: para el Beneficio simple titulado Abadía de Sto. Domingo de Pedraza y Aldea Rubia, en la Diócesi de S</t>
  </si>
  <si>
    <t>Cirios</t>
  </si>
  <si>
    <t>rte, D. Joaquín de la Raya, vecino de Granada, los hijos de D.‘Santiago Irrisarri, los herederos de D. Cirios y D. Josef Perez, y D. Francisco Miians, ha mandado su Señoría se les dé este aviso, por el que se les cita y emplaza, y á sus herederos por el expresado término; en la inteligencia d</t>
  </si>
  <si>
    <t>Cistup, Antonio</t>
  </si>
  <si>
    <t>Antonio Cistup</t>
  </si>
  <si>
    <t>s, que por ejecutoria del prop*Á $uptfo^ X?ib,un§l de 7 de Agosto de 1787 se declaró corresponder 4 Don Antonio Cistup, ^representación de su rouge* Doña Antonia de Medina, actual poseedora del vinculo fundado por D, Juan de Medina sobre el expresado crédito: cuyos oan reclamado los enunciados Car</t>
  </si>
  <si>
    <t>Claramunr, Francisco</t>
  </si>
  <si>
    <t>Francisco Claramunr</t>
  </si>
  <si>
    <t>a de Burgos i D. Domingo Lassala, Capitán del de Sáboya: Tenencias en el de Zaragoza ai Subteniente D. Francisco Claramunr: en el de Aragón á los Subtenientes de granaderos D. Manuel de la Revilla y Don Martin de Sierra ; y en el de Jaén ai Subteniente D. Juan Bronchal: Subtenencias de bandera en el d</t>
  </si>
  <si>
    <t>Clari, Juan</t>
  </si>
  <si>
    <t>Juan Clari</t>
  </si>
  <si>
    <t>ella Diócesi: para la Ración, vacante en la Catedral de Córdoba por muerte de D. Pedro Carrascal, á D. Juan Clari, Medio-Racionero de ella; y para esta resulta á Don Antonio Alfaro y Vázquez: para el Beneficio servidero de la Parroquia de Pilas, Diócesi de Sevilla, vacante por fallecimiento d</t>
  </si>
  <si>
    <t>Clarke Gobernador, General</t>
  </si>
  <si>
    <t>General Clarke Gobernador</t>
  </si>
  <si>
    <t>que era mas numerosa de lo que se creía: hay también muchos almacenes. El Emperador ha nombrado al General Clarke Gobernador de la ciudad y ciudadela de Erfurth y del país circunvecino. La ciudadela de Erfurth es un hermoso octógono con bastiones, casamatas, y bien fortificado. Es una adquisición preciosa, qu</t>
  </si>
  <si>
    <t>cha á Silesia al frente de la división de Bávaros y de Wirtemburgueses. El Emperador ha nombrado al General Clarke Gobernador general de Berlín y de Prusia , y ha acordado ya lo relativo al Gobierno interior del pais. El Rey de Holanda marcha sobre Hannóver, y el Mariscal Mortier sobre Cassel. DIARIO VIG</t>
  </si>
  <si>
    <t>Clarke, General</t>
  </si>
  <si>
    <t>General Clarke</t>
  </si>
  <si>
    <t>tores dé lá Universidad de esta capital han hecho saber al público que el Gobernador Francés Mr. el General Clarke y los demas tribunales superiores Fraricésés, tanto civiles cómo militares, han declarado tomar baxo su próteccióh especial dicha Universidad, y que sus fondos rentas no se aplicarán á rii</t>
  </si>
  <si>
    <t>s anales de la guerra. El Magistrado y los empleados Austríacos han asistido á la función, y Mr. el General Clarke, Gobernador general de Austria, y el Consejero de Estado Daru fuéron á la Iglesia, acompañados por una división de caballería Francesa y por toda lá caballería del cuerpo de la ci</t>
  </si>
  <si>
    <t>aordinaria diligencia, trayendo un tratado de paz, que. había ajustado el dia 20 de Julio • con el .General Clarke, Plenipotenciario del Gobierno Francés...... :V. . ; ; . . . ,,Este:suceso habría. sido/' tán agradable al Emperador, si el convenio fuera conforme á la dignidad de S. M., á los e</t>
  </si>
  <si>
    <t>eguido la Corte el Príncipe de Benevento, Ministro de Relaciones exteriores. El Mariscal Lannes, el General Clarke, y la mayor parte de ios Oficiales generales que se hallaban en París, han partido para el exército grande. La indisposición del Lord Lauderdale le ha puesto en precisión de ir á</t>
  </si>
  <si>
    <t>fort del Oder , de donde el Rey se ha retirado een 15® hombres escasos, reliquias de su milicia. El General Clarke, Gobernador del país de Erfurt, ha hecho, capitular á un batallón Saxon que andaba errante. ( Véase la cápituiacim'al _fin¡ tfe est$ diario.') . t. s. . . El 2:8* pasó el Emperado</t>
  </si>
  <si>
    <t>a Tenientes y 2 Subtenientes llevarán el Batallón á Saxpnia', siguiendo el itinerario que señale el General Clarke, Gobernador de Erfurt. Se darán pasaportes á los demas Oficiales para transferiísfe individualmente al citado parage.- 5.°~ INo valdrá la presente capitulación, hasta que haya sid</t>
  </si>
  <si>
    <t>los Magistrados de Prusia, Ministros de Estado &amp;c. han prestado el juramento siguiente en manos del General Clarke*. ,, Juro exercer fielmente la autoridad que me ha condado S. M. el Emperador de los Franceses y Rey de Italia; no.emplearla sino para la conservación del buen órden y de la tranq</t>
  </si>
  <si>
    <t>Clemente de Fraga</t>
  </si>
  <si>
    <t>Se desea tener noticia de si existen algunos herederos de Doña María de Novales, viuda que quedó de D. Clemente de Fraga, Agente algún tiempo de los Reales Consejos, y la que falleció después de muertos todos sus hijos. Los herederos que prueben serlo de dicha viuda acudirán al R. P. Abad de S. Salv</t>
  </si>
  <si>
    <t>Clemente de Saxo, Príncipe</t>
  </si>
  <si>
    <t>Príncipe Clemente de Saxo</t>
  </si>
  <si>
    <t>la Wcstfalia , ocupan ahora diferentes puntos de la Weteravia.__ Corre muy valida la voz de que el Príncipe Clemente de Saxo»ia,antuvio Elector de Tréveris y Príncipe Obispo de Augsburgo, recibilá el Capelo cardenalicio, y será Primado de Baviera. BAVIERA. Augsburgo 2$ de Enero. S. M. el Emperador de Au</t>
  </si>
  <si>
    <t>Clemente Ruiz, Manuel</t>
  </si>
  <si>
    <t>Manuel Clemente Ruiz</t>
  </si>
  <si>
    <t>cio García Malo, ¿ . S. M. ha nombrado para el Corregimiento de letras de la chidad de Albarracin á D. Manuel Clemente Ruiz; y para la Alcaldía mayor de Callosa de Segura á D. Benito Dieguez. Ultimamente ha concedido el Rey á D. Antonio Escalera, Corregidor de la ciudad de Lucena, que continúe por el t</t>
  </si>
  <si>
    <t>Clemente Zapata</t>
  </si>
  <si>
    <t>ercado, y á los Portaguiones D. Santiago Borda y D. Bernardo Arroyo ; á Alférez al Sargento primero D. Clemente Zapata, yá Portaguiones al Sargento primero D. Gregorio Duran, y al Cadete D. Fabian de Rosas 6 Infantas; y también ha concedido S. M. la Tenencia Coronela dei Batallón de Milicias urban</t>
  </si>
  <si>
    <t>Clemente, Príncipe</t>
  </si>
  <si>
    <t>Príncipe Clemente</t>
  </si>
  <si>
    <t>: id. del Príncipe Alberto: 1 4 Ofi"ciales, 134 Sargentos, Cabos y Soldados, 128 caballos, id*i del.Príncipe Clemente: 18 Oficiales, 173 Sargentos, Cabos y Soldados., ¿ 168 cabar* llos: id. coraceros de Kochlizki, 3 Oficiales, 60 Sargentos, Cabos y Soldados, 54 caballos: id. de Polentz, un Sargen</t>
  </si>
  <si>
    <t>Clemente, Ramón</t>
  </si>
  <si>
    <t>Ramón Clemente</t>
  </si>
  <si>
    <t>á D. Lamberto La-Iglesia: para un Beneficio de la de la Almunia, en la misma Diócesi de Zaragoza, á D. Ramón Clemente.*. S. M. se ha servido promover á Tenientes del Real Cuerpo de Ingenieros del exército á los Subtenientes del mismo D. Joaquín Ortiz de Zarate, D. Josef y D. Pedro Aguado, D. Manu</t>
  </si>
  <si>
    <t>Cleto de Ardanaz</t>
  </si>
  <si>
    <t>Bernardina ¿Fivaller: -en el de las Ordenes Militares’Ayudantía al Teniente, graduado de Capitán , Don Cleto de Ardanaz; y en el de la Corona Tenencia al Subteniente D. Tomas Toledo: en los de Hibernia, Ultonia y Voluntarios de .Castilla Tenenr cias á los Subtenientes de-granaderos D. Andrés Aguado</t>
  </si>
  <si>
    <t>Cleto Félix de Eguizabal</t>
  </si>
  <si>
    <t>nes de su aplicación y aprovechamiento, y se entregó igual documento á D. Miguel Alvarez y Neyra, á Don Cleto Félix de Eguizabal y á D. Juan Merino Diez. D. Francisco Xavier Mocencos, vecino de la villa de Molina de Aragón, remitió por el correo en 6 de Mayo de este año, con su firma, en blanco, y dirección á</t>
  </si>
  <si>
    <t>Climent y Blanch, Jacinto</t>
  </si>
  <si>
    <t>Jacinto Climent y Blanch</t>
  </si>
  <si>
    <t>989 misma en D. Josef Tuquet y Puente, por decrfeto de 17 de Febrero de 1805 , á D. Jacinto Climent y Blanch. El Re ir se ha*dignado conferir en el Regimiento de infantería de U1 tonta el empleo de Teniente Coronel al Comandante del tercer batallón del de Irlanda, graduado de Coronel, D.</t>
  </si>
  <si>
    <t>Co, Capitán</t>
  </si>
  <si>
    <t>Capitán Co</t>
  </si>
  <si>
    <t>rles pasado revista hicieron varias evoluciones y movimientos á I3 voz del Catedrático Belüsomi, su Capitán Co*~ mandante. S. A. I. manifestó mucha satisfacción por la destreza .con que executáron las maniobras. • v i s&gt;i</t>
  </si>
  <si>
    <t>Cocault, Capitán</t>
  </si>
  <si>
    <t>Capitán Cocault</t>
  </si>
  <si>
    <t>el barlovento por no encallar en la costa. A las n y media se había disipado en parte el humo, y el Capitán Cocault distinguió uno de nuestros navios desmantelado, y que se había prendido fuego a bordo;-los demás» á pesar de la inferioridad de sji fuerza, combatían á todo trance. A la una y med</t>
  </si>
  <si>
    <t>Cochjrane, Almirante</t>
  </si>
  <si>
    <t>Almirante Cochjrane</t>
  </si>
  <si>
    <t>s Orientales á dar aviso, y se dirigió.cpn los $ que de quedaban á la Barbada, donde se le juntó el Almirante Cochjrane coa el Npjrthumberiand y el Atlas. Con estas fuerzas $e puso en crucero delante de la Martinica esperando al enemigo: luego mudó su dirección, y pasó á Santo Domingo, adonde había</t>
  </si>
  <si>
    <t>Cochrane, Alexandro</t>
  </si>
  <si>
    <t>Alexandro Cochrane</t>
  </si>
  <si>
    <t>sar •y el Patriota de 74 fueron los últimos..__.Los navios que estaban reunidos baxo las órdenes de Sir Alexandro Cochrane, á la partida de Sir Eduardo Berry, son los que siguen : el Northumberland, Elefante y Canadá de 74 , el Agamenón de 64, y el Ethulion de 36 cañones.----- Sir J. Warren se hizo 4</t>
  </si>
  <si>
    <t>Cochrane, Almirante</t>
  </si>
  <si>
    <t>Almirante Cochrane</t>
  </si>
  <si>
    <t>dra hasta verla anclar en la Bahía: informado de esto el Almirante Duckworth partió al punto con el Almirante Cochrane á dar batalla al enemigo, la que trabó este último embistiendo pon la almiranta Francesa, y, aunque con pérdida de loo hombres,j la -echó sobre la costa. La acción duró 2 horas, y</t>
  </si>
  <si>
    <t>el Almirantazgo d 2 y de Julio. „Hoy á medio dia ha llegado Sir Eduardo Berry con pliegos del Vice-Almirante Cochrane, fecha de la bahía de Cariisle en la Barbada á 29 de Junio, que anuncian haber entrado en la Martinica en 4 dias diferentes los navios Franceses que siguen en esta forma. El Veter</t>
  </si>
  <si>
    <t>a en que navega Gerónimo Bonaparte pasó á vista de este puerto, y una hora después se avistó la del Almirante Cochrane en número de 4 navios de línea y 3 fragatas. Como los Franceses hiciesen muestras de presentar batalla, no quiso empeñarse con</t>
  </si>
  <si>
    <t>el Capitán del buque Americano. Esperantospeón impaciencia algunas-noticias mas cierras. . • ' , El Almirante Cochrane ha enviado varios avisos á Sir Juan Warren hacia los parages por donde puede dirigirse á las; Barbadas, para informarle de ía posición y rumbo de la esquadra Francesa----- El: 2 d</t>
  </si>
  <si>
    <t>y no pudo llegará la Barbada hasta el 12 de Julio: el 14 se hallaba á la altura de S. Bartolomé. El Almirante Cochrane estaba el 15 á vista de S. Kitt, é ignoraba se le enviaje este refuerzo; sin embargo, como áffibas esquadras estaban á corta distancia una de otra, es probable se hayan reunido el 1</t>
  </si>
  <si>
    <t>Sto. Tomas una embarcación Francesa, que había dexado la esquadra de su nación áí Norte.__ El 8 el Almirante Cochrane llegó á Tórtola cofr toda su esquadra, excepto dos fragatas que habían ido 'á observar hacia el Norte los movimientos de los Franceses, quienes apresáron ó-destruyeron dos ó tres:</t>
  </si>
  <si>
    <t>illas, adonde su presencia inquieta igualmente el comercio y las colonias del enemigo , y obliga al Almirante Cochrane á refugiarse á la Barbada» Saliendo de la Martinica entra en los desembocaderos oe Sto» Domingo,y reprime el vergonzoso latrocinio de algunos aventureros Americanos que trafican c</t>
  </si>
  <si>
    <t>GRAN BRETAÑA. Londres 10 de Setiembre. La goleta Vigilante ha llegado á Portsmouth con pliegos del Almirante Cochrane, que se han desembarcado en Weymouth. Contienen la salida de Tórtola del convoy de las Indias Occidentales en número de cerca de 300 velas, verificada el 3 de Agosto, en conserva</t>
  </si>
  <si>
    <t>Cochrane, Capitán</t>
  </si>
  <si>
    <t>Capitán Cochrane</t>
  </si>
  <si>
    <t>la guarnición que manda el General Ferrand. Supo la llegada de los Franceses á Santo Domingo por el Capitán Cochrane,, que había observado ios movimientos de la esquadra hasta verla anclar en la Bahía: informado de esto el Almirante Duckworth partió al punto con el Almirante Cochrane á dar batal</t>
  </si>
  <si>
    <t>Cochrine, Almirante</t>
  </si>
  <si>
    <t>Almirante Cochrine</t>
  </si>
  <si>
    <t>e por un .buque Dinamarqués; con todo,-..el Almirantazgo uo da entero crédb -toó. la noticia. Si el Almirante Cochrine. -hubiese avistado el dia ó la esquadra enemiga, es probable la hubiese perseguido, teniendo, la ventaja del viento, y estando en su mano el trabar ó no la baralla, según viese la</t>
  </si>
  <si>
    <t>Cockrane, Almirante</t>
  </si>
  <si>
    <t>Almirante Cockrane</t>
  </si>
  <si>
    <t>a Martinica de 12 de Diciembre% El navio de S. M. el Nembrod ha llegado aquí el 10 destacado por el Almirante Cockrane á las diferentes islas, con orden á todos los navios de 5. M. de juntársele inmediatamente, por haber el Almirante tenido aviso (¡fe haberse avistado una esquadra Francesa en aque</t>
  </si>
  <si>
    <t>Coehrane, Almirante</t>
  </si>
  <si>
    <t>Almirante Coehrane</t>
  </si>
  <si>
    <t>a, mandada por Willaumez, se compone de 6 navios de línea, uno de ellos del porte de 84 cañones. El Almirante Coehrane no tiene mas de 4 navios, y entre estos uno de 64: grande diferencia, bien que compensada con -el valor, disciplina y experiencia de nuestra Marina.” El 10 á las 7 de la tarde lle</t>
  </si>
  <si>
    <t>CojUngwood, Lord</t>
  </si>
  <si>
    <t>Lord CojUngwood</t>
  </si>
  <si>
    <t>ha votado una renta anual de 2^1 libras esterlinas á favor de Lady Neison : otra igual á favor del Lord CojUngwood; y otra de 1© para ei Almirante Strachan. Extracto de una carta de la Martinica de 12 de Diciembre% El navio de S. M. el Nembrod ha llegado aquí el 10 destacado por el Almirante C</t>
  </si>
  <si>
    <t>Colaud</t>
  </si>
  <si>
    <t>puerto. Mr. Lesseps, Cónsul general en Egipto, pasa con el mismo destino á Liorna para reemplazar á Mr. Colaud, suspendido de su empleo. Las cartas de Roma hablan de una creación próxima de cinco Cardenales. La Universidad de Wilna ha propuesto por asunto de un premio la qiiestion siguient</t>
  </si>
  <si>
    <t>Coliell, Francisco</t>
  </si>
  <si>
    <t>Francisco Coliell</t>
  </si>
  <si>
    <t>te Coronel, D. Josef María Morcillo; y la Sargentía mayor al Capitán, graduado de Teniente Coronel, D. Francisco Coliell. El Rey se ha servido conferir el empleo de Coronel del Regimiento de Milicias urbanas de caballería de S. Pablo de Chalequeé, en el Reyno del Perú, á D. Manuel Castañeda y Matos,</t>
  </si>
  <si>
    <t>Coll, Manuel</t>
  </si>
  <si>
    <t>Manuel Coll</t>
  </si>
  <si>
    <t>Brigadier D. Roque Parrada ; á Brigadier al Subrigadier D. Manuel Mozota; á Siibrigadier al Cadete D. Manuel Coll; á Cadete de número al Supernumerario D. Gaspar Morales; y á Supernumerario al Guardia D. Juan Talero. En el Regimiento de infantería de la Corona se lia servido el Rey promover d</t>
  </si>
  <si>
    <t>Collado, Antonio</t>
  </si>
  <si>
    <t>Antonio Collado</t>
  </si>
  <si>
    <t>do para su remate el dia 28 de este mes. , Por providencia del Sr. D. Torquato: Antonio Collado, Teniente Corregidor de esta villa, y escribanía de D. Ramón, de. Milla Ciiéllar, 'se han mandado püblí-/ car, por término de 15 dias; contados desde el 17 dét corriente, dos 'casas sitas é</t>
  </si>
  <si>
    <t>35* , , ., , , , __________ __ El Sr. D. Xor^uato Antonio Collado, Teniente Corregidor de esta villa , ha se= fialadopara «1 remate de las fincas que-se expresan los dias ‘siguientes: el 30 del corriente para el de una casa sitaren la calle del Carmen , ^</t>
  </si>
  <si>
    <t>Collaud, General</t>
  </si>
  <si>
    <t>General Collaud</t>
  </si>
  <si>
    <t>a orden comunicada al exército del Norte la semana pasada, que el sueldo de las tropas que manda el General Collaud lo pagará la República Bátava. ITALIA. Roma 21 de Enero. Las cartas mas recientes de Ñápeles anuncian que las tropas Rusas se habían embarcado en virtud de órdenes de su Corte. La</t>
  </si>
  <si>
    <t>Collembuch</t>
  </si>
  <si>
    <t>eille; dfe la oriijá y de los pronósticos que de ella se deducen, artículo escrito en aleman por el Dr. Collembuch; experimentos químicos divertidos; apología de la sombra de Nelson en honor de la literatura Española, artículo comunicado; á Lie i no, imitación de Horacio; Melibeo zeloso,</t>
  </si>
  <si>
    <t>Cóllingwood, Lord</t>
  </si>
  <si>
    <t>Lord Cóllingwood</t>
  </si>
  <si>
    <t>. Acaba de hacerse una. grande promoción en la marina. Setenta Tenientes han ascendido á Capitanes. Lord Cóllingwood ha establecido su crucero delante dél Cabo de Santa María con 14 navios de línea; y ha dexado á la vista de Cádiz y de Cartagena fuerzas suficientes para bloquear estos dos puerto</t>
  </si>
  <si>
    <t>Collingwood, Lord</t>
  </si>
  <si>
    <t>Lord Collingwood</t>
  </si>
  <si>
    <t>puertos que el Almirante Duckworth ha vuelto á su destino, y se ha puesto de nuevo á las órdenes de Lord Collingwood en su apostadero cerca de Cádiz con los navios de S. M. Soberbio y Acasta. El resto de su esquadra ha entrado en Portsmouth y Plymouth, excepto eí Agamenón f que queda en la Barbada</t>
  </si>
  <si>
    <t>,, de 74 cañones;,-que llega de la esquadra que está en crucero á vista de Cádiz, trae pliegos del Lord Collingwood. Se han dado á Lord Hutchinson, que está encargado del mando de una de las expediciones que van á salir, pliegos cerrados, que no abrirá sino á cierta distancia en alta mar. SUIZA</t>
  </si>
  <si>
    <t>Colloredo</t>
  </si>
  <si>
    <t>. A Mr. Lamberti sucederá el Príncipe de Schwarzenbérg; la plaza de Ministro de Gabinete, que tenia Mr. Colloredo, se conferirá á Mr. de Sinzendorff; el Conde de Saurau ha reemplazado’a Mr. de Sumerau en el Ministerio de la Policía ; el Conde de Staaion sucede á Mr. de Cobentzel en el de Nego</t>
  </si>
  <si>
    <t>Colloredo, Príncipe</t>
  </si>
  <si>
    <t>Príncipe Colloredo</t>
  </si>
  <si>
    <t>4^4 que el Príncipe Colloredo piensa renunciarlo á causa de su avanzada edad. S. M. la Emperatriz de Rusia ha remitido con un correo á S. M. la Reyna de Baviera, su hermana, un chal de Cachemira primoroso. Gen</t>
  </si>
  <si>
    <t>Colombier</t>
  </si>
  <si>
    <t>universal de Medicina y Cirugía Prácticas, escrita y publicada de orden del Gobierno Francés por el Dr. Colombier; y traducida al castellano: tomos i.°, 2.0 y 3.0, en los que se trata de las calenturas', y se dan á conocer su naturaleza , sus fenómenos, sus causas y sus epifenómenos, á fin de</t>
  </si>
  <si>
    <t>Colon y Sierra, Diego</t>
  </si>
  <si>
    <t>Diego Colon y Sierra</t>
  </si>
  <si>
    <t>edio fácil para decidir si hay ó iío náonédás antiguas Españolas en lengua vascongada; oda al Señor D. Diego Colon y Sierra, en su feii-z enlace con la Sra. Doña María Golfín y Casas, por D. Agustín Bayle Obregonv; perfecciones de Dorila,anacreóntica; distribución de premios en la ciudad .de Tarod dia</t>
  </si>
  <si>
    <t>Colorado, Juan</t>
  </si>
  <si>
    <t>Juan Colorado</t>
  </si>
  <si>
    <t>lá. El Rey se ha servido conceder en el Regimiento de infantería de Navarra Tenencia al Subteniente D. Juan Colorado, y Subtenencia de bandera al Sargento primero D. Juan Casado: en el de Hibernia Tenencia al Subteniente de granaderos D. Guillermo Lions; y en el de Ultonia Subtenencia de bandera</t>
  </si>
  <si>
    <t>Comandante General</t>
  </si>
  <si>
    <t>y Álgarrga en la de Calatrava, Capitán General de Marina, y Comandante General de la esquadra del Océano____.Sus distinguidos servicios son tan notorios, sobre todo los que ha hecho en ia presente guerra hasta finalizar con todo el esplendor de l</t>
  </si>
  <si>
    <t>darmería Francesa. Los Oficiales solo conservaban sus sables. El General Menou, Comandante General , acompañado del General Gauloisy Comandante del departamento, se puso al frente del batallón , hizo salir á un Sargento y á un soldado, y los mandó meter en u</t>
  </si>
  <si>
    <t>rma de medalla del Excmo. Sr. D. Federico'Gravina, Capitán General de Marina, y Comandante General de la esquadra del Océano, y puede servir en caxa, dibüxado en Paris por Tournier, y grabado por J. B. Se hallará en la librería de Escribano, calle de las Carretas, á</t>
  </si>
  <si>
    <t>provincia de Puno, al Coronel D. Diego Antonio Nieto, Gobernador de Popayan. El Comandante General de la costa de Santander ha dado cuenta al Excmo. Sr. Generalísimo Príncipe de la Paz de que en la tarde del día i.® de julio desembarcó en las playas de Santoña alg</t>
  </si>
  <si>
    <t>Comandante Glavasch</t>
  </si>
  <si>
    <t>plaza de Se haba tz no. seha rendido todavía, pero- está en el mayor apuró* Los Comandantes Servios Czerni-Jorge y Glavasch han ido allí ya'dos ve* Mees con salva-conducto para oír las propuestas de capitulación; qué hacen tos Turcos.”' Escriben de Francfort que los Turcos encerrado</t>
  </si>
  <si>
    <t>Comandante Ingles</t>
  </si>
  <si>
    <t>, cogió todas las cartas y papeles, abriólos, é hizo la mas severa pesquisa. El Comandante Ingles previno al Capitán de Salem que baria lo mismo con otras embarcaciones, que sabia debían arribar pronto á a.juel puerto y á los demas de la costa.__ En la ofic</t>
  </si>
  <si>
    <t>Comandante Ingleses</t>
  </si>
  <si>
    <t>obr; el mismo asunto; la capitulación del General Holandés Mr. Janssens con los Comandantes Ingleses en el Cabo de Buena-Esperanza; el discurso de los Embaxadores de Holanda pidiendo por Rejr al Príncipe Luis Napoleón, la respuesta del Emperador, la aceptación d</t>
  </si>
  <si>
    <t>Comandante Le Seigle</t>
  </si>
  <si>
    <t>tripulación, y Ja, otra 'parte con ,el,Capitán que&lt;h&gt; prisionera. Aquel día el Comandante Le Seigle había dispue&amp;toAarun almuerzo i bordo de su navio aí Gobernador y principales comerciantes de la ciudad* El Imperial montaba 140 cañones. , JPor los pliegos de</t>
  </si>
  <si>
    <t>Comandante Mr</t>
  </si>
  <si>
    <t>staba vivamente excitada con esta novedad, llegó el cúter Nilo, en que venia el Comandante Mr. Johnson acompañado de un Oficial Francés de graduación. Habiendo desembarcado ise fuéronr á la posada dedlos tres Reyes, desde? donde después de descansar ipa</t>
  </si>
  <si>
    <t>Comandante Prusiano</t>
  </si>
  <si>
    <t>s de Lauenburgo. Luego que lo supo el Conde Gustavo de Loewenhijelm escribió al Comandante Prusiano, haciéndole presente que, reiterando el contenido de su oficio de</t>
  </si>
  <si>
    <t>puestos avanzados Suecos un Oficial del Regimiento De Beeren con una carta del Comandante Prusiano para el Conde de Loewenhijelm concebida en estos términos: „Participo á V. que tengo orden del Rey de Prusia mí Amo de entrar con un cuerpo de tropas en Lauenb</t>
  </si>
  <si>
    <t>eal, y en Cádiz en casa de D. Manuel Navarro. Contiene la contestación entre el Comandante Prusiano y el Sueco sobre ocupar al Lauenburgo; manifiesto del Ministerio Sueco sobre la conducta de la Prusia; inensagé del Rey de Inglaterra á la Cámara sobre la interrup</t>
  </si>
  <si>
    <t>Comandante Ruso</t>
  </si>
  <si>
    <t>General Conde de Beilegarde envió al Caballero Epine á 'Cáttaro á comunicar al Comandante Ruso el objeto de su expedición. El Caballero Epine volvió el .2 de Julio diciendo que los Rusos estaban dispuestos á entregar las bocas del Cáttaro., en cumplimiento</t>
  </si>
  <si>
    <t>s las posiciones fuéron defendidas y tomadas una. tras otra con igual valor. El Comandante Ruso concluye su relación del modo siguiente.) Los Franceses hicíéron altó de nuevo en la tercera posición, y allí fuéron reforzados por su tercera línea. Los nuest</t>
  </si>
  <si>
    <t>Comandante Rusos</t>
  </si>
  <si>
    <t>ha desaprobado formalmente la ocupación de las bocas del Cáttaro efectuada por Comandantes Rusos, que sin duda lo han hecho sin orden de su Corte. Ayer llegó de vuelta del quartel general Sueco el Ayudante Bronikowsky. Al punto llevó á Potsdam Mr. de Haugw</t>
  </si>
  <si>
    <t>ra que el Emperador Alexandro ha desaprobado con indignación la conducta de los Comandantes Rusos, á quienes castigará con toda severidad. Es general la voz de que pronto se restablecerá la paz y armonía entre la Francia y la Rusia; y aun añadenque ;el viag</t>
  </si>
  <si>
    <t>Comandante Servios Czerni-Jorge</t>
  </si>
  <si>
    <t>Comandante von Schárnliorst, General</t>
  </si>
  <si>
    <t>General Comandante von Schárnliorst</t>
  </si>
  <si>
    <t>estruidos ó . hechos prisioneros. También quedaron prisioneros -mi ..Tpenien*te Quartel Maestre, e! General Comandante von Schárnliorst, y mi Ayu*fdante general el Capitán de caballería Conde vqn der Goltz*. ,,Las tropas que quedaron, en número de 9© y tantos hombres, no se -reunieron aquella noche : la necesidad</t>
  </si>
  <si>
    <t>Comandante, General</t>
  </si>
  <si>
    <t>General Comandante</t>
  </si>
  <si>
    <t>er, para que entregue en nuestro nombre, en calidad de nuestro Comisario R,eal, dicho Principado al General Comandante de las tropas Francesas, que irán allí para tomar posesión en nombre del Rey de Baviera. En conseqüencia le damos plenos y especiales poderes &amp;c. &amp;c* Fecho en Berlín en 26 de Febrero de</t>
  </si>
  <si>
    <t>Comeau</t>
  </si>
  <si>
    <t>rina, á Mr. de Zuylen de Nyevell, y á Mr. de Brugmans. Mr. de Cetto, Ministro del Rey de Baviera, á Mr. Comeau. El Ma riscal Eefebvre ha pasado de Maguncia á Darmstadt á tratar con el Mariscal Augereau sobre el modo de arreglar los Acantonamientos en que deben repartirse las tropas que sir</t>
  </si>
  <si>
    <t>Compañía, Princesa</t>
  </si>
  <si>
    <t>Princesa Compañía</t>
  </si>
  <si>
    <t>) . MiUtrid, 14 de, Marzo. ... \ El Rey se ha servido conferir en el Regimiento de infantería de la Princesa Compañía al Teniente', graduado de Capitán, D. Joaquín Moreno ; y en el de Guadalaxara Tenencia al Subteniente .dey grana de ros Don Lorenzo. Casado; y Subtenencias de bandea a .los Cadete</t>
  </si>
  <si>
    <t>d pública. Madrid 10 de Octubre. El Rey se ha servido conferir en ei Regimiento de infantería de la Princesa Compañía al Anudante, graduado de Capitánj D. Josef Ximenez; y en el de Asturias Tenencia al Subteniente D. Rafael Maroto: en el de Murcia Compañía ai Ayudante, graduado de Teniente Corone</t>
  </si>
  <si>
    <t>Company, Joaquín</t>
  </si>
  <si>
    <t>Joaquín Company</t>
  </si>
  <si>
    <t>como Protector de la Asociación, y asistió de medio pontifical el Excmo. é limo. Sr. Arzobispo Fr. D. Joaquín Company, con la música de la Catedral, habiendo hecho por sí mismo la exposición y reserva del Santísimo, entonando el Te Deum, y concedido por último 80 dias de indulgencia á todos los a</t>
  </si>
  <si>
    <t>Concuhenco</t>
  </si>
  <si>
    <t>Austerlitsrl f f r : Del 3 de Enero. En virtud dé las órdenes que recibió anoche el Cónsul de Rusia Mr. Concuhenco, ha salido precipitadamente de aquí á las 8 de esta mañana. No lleva en su- compañía mas que un Genízaro y un criado ; y han sido tan severas las órdenes en pinito al setreto dé s</t>
  </si>
  <si>
    <t>Conde de Beilegarde, Teniente General</t>
  </si>
  <si>
    <t>Teniente General Conde de Beilegarde</t>
  </si>
  <si>
    <t>osario, situado en da península de Sabioncello cerca .de Ragusa. A pocos instantes &lt;de su arribo el Teniente General Conde de Beilegarde envió al Caballero Epine á 'Cáttaro á comunicar al Comandante Ruso el objeto de su expedición. El Caballero Epine volvió el .2 de Julio diciendo que los Rusos estaban dispuestos á e</t>
  </si>
  <si>
    <t>Conde de Bellegarde, General</t>
  </si>
  <si>
    <t>General Conde de Bellegarde</t>
  </si>
  <si>
    <t>AUSTRIA. Vicna 26 de Mayo. El General Conde de Bellegarde ha sido nombrado por S. M. el Emperador para recibir de loa Rusos la plaza de Cáttaro, y entregarla á las tropas Francesas. Ha vúelto aquí de Munich el General Francés Andreossi.</t>
  </si>
  <si>
    <t>Conde de Colloredo, Feld-Mariscal</t>
  </si>
  <si>
    <t>Feld-Mariscal Conde de Colloredo</t>
  </si>
  <si>
    <t>definitivamente, y se juntará en la fortaleza de Koenigsgratz, en Bohemia, baxo la presidencia del Feld-Mariscal Conde de Colloredo. Hay noticias deque el General Mack ha remitido un papel justificativo y muy difuso de su conducta á S. M. el Emperador, quien ha tenido á Sien no recibirlo, y ha mandado que se l</t>
  </si>
  <si>
    <t>Conde de Grunn, General</t>
  </si>
  <si>
    <t>General Conde de Grunn</t>
  </si>
  <si>
    <t>egalado una espada al Archiduque Cárlos. Lo que hay de cierto es, que el Archiduque, acompañado del General Conde de Grunn, comió con el Emperador en Stammersdorf. El General Ruso Buxhoefden , que se dixó haber muerto en la batalla de Austerlitz, se halla en Lemberg, donde permanecerá algunos meses. S</t>
  </si>
  <si>
    <t>Conde de Kaikreuth, General</t>
  </si>
  <si>
    <t>General Conde de Kaikreuth</t>
  </si>
  <si>
    <t>ce. Pasado mañana se pondrán en marchados cuerpos muy crecidos; el primero,- baxÓ:láfcJÓiílenes del General Conde de Kaikreuth, parece que va destinado contra la Pqmerania Sueca; el segundo, .mandado por; el Conde de Sehmettau, está reuniéndose entre, Havetberg, Perleberg yiKyjr-itZjá-y Jieva qrden de ocu</t>
  </si>
  <si>
    <t>Conde de Kalkreut, General</t>
  </si>
  <si>
    <t>General Conde de Kalkreut</t>
  </si>
  <si>
    <t>embre. Ayer mañana salió el Regimiento de Laviscb con dirección al Weser. El cuerpo de exército del General Conde de Kalkreut, destinado ántes contra los Suecos, va caminando hacia el pais de Osnabruck. El Colegio de los Diputados dirigió ántes de ayer á los tribunales del pais de Luneburgo, Bremen, Verd</t>
  </si>
  <si>
    <t>Conde de KaLkreuth, General</t>
  </si>
  <si>
    <t>General Conde de KaLkreuth</t>
  </si>
  <si>
    <t>que el mando general se dé entonces al mas antiguo en graduación. Por esta razón debe pertenecer ai General Conde de KaLkreuth , tanto por lo dicho, como porque hallándose en las inmediaciones del enemigo, está mas en proporción de ver lo que convenga hacer. ,, Renuevo áV* E. con este motivo 8cc. &amp;c.zzHít</t>
  </si>
  <si>
    <t>Conde de Kalkreuth, General</t>
  </si>
  <si>
    <t>General Conde de Kalkreuth</t>
  </si>
  <si>
    <t>á Berlín. El exército Sueco va reuniéndose á las inmediaciones de Stralsund. Corren voces de que el General Conde de Kalkreuth ha recibido orden de llevar un cuerpo de 20® hombres á Holstein y á Jutlandia, para cerrar todos los puertos á los Ingleses. Si estas órdenes se executan, no le queda á la Corte d</t>
  </si>
  <si>
    <t>Conde de Kalkreuth, Teniente General</t>
  </si>
  <si>
    <t>Teniente General Conde de Kalkreuth</t>
  </si>
  <si>
    <t>gimiento de Kunheim es el único que se ha puesto en marcha para reunirse con el cuerpo que manda el Teniente General Conde de Kalkreuth. Los demás Regimientos están prontos á marchar al primer aviso. Los preparativos del arsenal se continúan con la mayor actividad, y corren voces de que el Rey de Suecia en su ulti</t>
  </si>
  <si>
    <t>Conde de Kollovrath, General</t>
  </si>
  <si>
    <t>General Conde de Kollovrath</t>
  </si>
  <si>
    <t>tria, deberán en conseqiiencia quedar á su disposición. 111. Quariao esten formados los estados, el General Conde de Kollovrath y el General Andreosy se hallan autorizados para convenirse en el cambio de dichos objetos de artillería Austriaca perteneciente en los Estados de Venecia á S. M. el Emperador de Alem</t>
  </si>
  <si>
    <t>Conde de Kollowrath, General</t>
  </si>
  <si>
    <t>General Conde de Kollowrath</t>
  </si>
  <si>
    <t>escriben que pronto se verificará la ocupación de Braunaa por las tropas Austríacas mandadas por el General Conde de Kollowrath. También se confirma lo que se dixo de la cesión, de la margen izquierda del Isonzo al Austria, y de la derecha al Reyno de Italia. Asimismo se hahla de la cesión de Goritz, Gradi</t>
  </si>
  <si>
    <t>Conde de Meerfeld, Teniente General</t>
  </si>
  <si>
    <t>Teniente General Conde de Meerfeld</t>
  </si>
  <si>
    <t>l, y para cada uno en particular, soy vuestro afectísimo Rey &amp;c.” v AUSTRIA. Viena 2$ de Agosto. El Teniente General Conde de Meerfeld ha sido nombrado Embajador cerca de la Corte Imperial de Rusia, y pronto saldrá para su destino.— La Embaxada de Berlín está destinada, según dicen, para el Barón de Huel.__ El Pr</t>
  </si>
  <si>
    <t>Conde de Schmettau, Teniente General</t>
  </si>
  <si>
    <t>Teniente General Conde de Schmettau</t>
  </si>
  <si>
    <t>antes él‘ Mariscal Soult habia hecho prisioneras dos compañías de lá guardia Real de infantería. El Teniente General Conde de Schmettau, que había quedado prisionero, ha muerto en Weymar. Así pues, de este soberbio exército, que hace pocos días amenazaba invadir la Confederación del Rhin, é inspiraba á su Soberano</t>
  </si>
  <si>
    <t>Conde de Spangen, General</t>
  </si>
  <si>
    <t>General Conde de Spangen</t>
  </si>
  <si>
    <t>a ca-, tástrofe ha hecho aquí mucha impresión. Por el contrario, el exámen de la conducta del Mayor General Conde de Spangen, acusado por la rendición de Memmingen, ha producido efectos diferentes, pues se ha justificado completamente ante sus jueces; y el Emperador le há restituido su empleo de Brigadi</t>
  </si>
  <si>
    <t>Conde de Stutterheim, General</t>
  </si>
  <si>
    <t>General Conde de Stutterheim</t>
  </si>
  <si>
    <t>mentar 6 nuevas compañías de granaderos, ademas de las 2 compañías permanentes que tenían ya---- El General Conde de Stutterheim ha sido enviado á Munich para concertar con ei Encargado de Negocios de Francia todo lo relativo al eange de prisioneros.----Al Conde de Staray se le ha concedido el retiro con la</t>
  </si>
  <si>
    <t>Conde de Tcdstol, General</t>
  </si>
  <si>
    <t>General Conde de Tcdstol</t>
  </si>
  <si>
    <t>do últimamente por Berlín, van caminando háciaia Prusía Oriental y Meridional. El exército Ruso del General Conde de Tcdstol está actualmente en. ma&gt;jha, debia de pasar por Berlín, Francfort Scc.j pero el Gabinete Pr lisia rro ha dispuesto quererme el camino de Mecklenburgp, la Pojnerania Prusiana, y de a</t>
  </si>
  <si>
    <t>Conde de Telstoy, General</t>
  </si>
  <si>
    <t>General Conde de Telstoy</t>
  </si>
  <si>
    <t>iores en Rusia , y que Mr. de Alopeus es el que está nombrado sucesor del Príncipe Czartorinski. El General Conde de Telstoy, que sirvió en la última guerra, y que de vuelta á Rusia pidió su retiro, ha vuelto á entrar en el servicio. Corre muy valida la voz de que los Prusianos habrán atacado ayer la lí</t>
  </si>
  <si>
    <t>Conde de Tolstoy, General</t>
  </si>
  <si>
    <t>General Conde de Tolstoy</t>
  </si>
  <si>
    <t>, y tomará las disposiciones de defensa y seguridad necesarias. Las tropas Rusas, á las órdenes dei General Conde de Tolstoy, están ya á la entera disposición de S. M., habiéndole plenamente autorizado el Emperador Alexandro á disponer de ellas á su arbitrio, como también de las que manda el General Ben</t>
  </si>
  <si>
    <t>Conde Hampos Morner, Coronel</t>
  </si>
  <si>
    <t>Coronel Conde Hampos Morner</t>
  </si>
  <si>
    <t>cs y Greifswald; su artillería está en Grimm; La 2.a línea, baxo las órdenes del Gefe de brigada el Coronel Conde Hampos Morner, compuesta de los dragones de Scania y de los húsares de Morner, con la artillería volante, está distribuida entre Ridebas y Benkenhagen; el quartel general del Gefe de línea y de</t>
  </si>
  <si>
    <t>Conde, Antonio</t>
  </si>
  <si>
    <t>Antonio Conde</t>
  </si>
  <si>
    <t>os de Ciudad-Rodrigo, Toro, Burgos, Plasencia, Guadix y Granada á los Subtenientes D. Juan Obregon, D. Antonio Conde, D. Josef Herrera, D. Antonio Villaarnil, D. Josef Correa y D. Pedro Martinez Coronado: á Subtenientes de granaderos de los de Guadix, Santiago y Tuy á los de fusileros D. Juan de</t>
  </si>
  <si>
    <t>Conde, General</t>
  </si>
  <si>
    <t>General Conde</t>
  </si>
  <si>
    <t>de caballería Conde de Beliegarde irá de Embaxador de nuestra Corte á la de Francia___ El Teniente. General Conde: de Giulay ha sido nombrado Gobernador de Croacia. ■ El Duque de Brunswick ha renunciado en debida forma todos sus derechos sucesivos al Estado dé ÍHannóver. Por cartas del Tirol</t>
  </si>
  <si>
    <t>Conrado Anderwertr, Francisco</t>
  </si>
  <si>
    <t>Francisco Conrado Anderwertr</t>
  </si>
  <si>
    <t>enencia al Sargento D. Antonio Thury; y en el de Reding número 2.0 Subtenencia de bandera al Cadete Don Francisco Conrado Anderwertr en el' Regimiento de infantería de león Tenencia al Subteniente de granaderos D~ Francisco Galdón. Eí día i.° de Octubre próximo se abre el curso de Farmacia en el Real Colegio de e</t>
  </si>
  <si>
    <t>Constancio Martínez</t>
  </si>
  <si>
    <t>do S. M. en el segundo Batallón de Voluntarios de Barcelona el empleo de Capitan primero al segundo D. Constancio Martínez ; el de Capitán segundo al segundo Ayudante D. Ramón Blay; esta resulta al Teniente D. Félix Llorens ; la Tenencia al Subteniente D. Onofre Noviola, y la de Subteniente de bandera</t>
  </si>
  <si>
    <t>Constantino de Rusia, Duque</t>
  </si>
  <si>
    <t>Duque Constantino de Rusia</t>
  </si>
  <si>
    <t>, asciende á unos 20® hombres. ___ No vemos indicios que anuncien próximo viage de S. A. I. el Gran Duque Constantino de Rusia. Las operaciones políticas de nuestro Gabinete están cubiertas con un velo impenetrable; solo podemos afirmar que reyna la mayor actividad; y como nuestro Soberano persevera en su</t>
  </si>
  <si>
    <t>Constantino de Rusia, Príncipe</t>
  </si>
  <si>
    <t>Príncipe Constantino de Rusia</t>
  </si>
  <si>
    <t>ick con un encargo reservado de su Soberano. En varias cartas de Berlín sé asegura que el viage del Príncipe Constantino de Rusia es relativo á las proposiciones de paz que el Emperador Alejandro está en ánimo de Hacer á la Francia por mediación de la Prmia. En ellas se dice asimismo qué va á tomarse un partid</t>
  </si>
  <si>
    <t>Constantino, Duque</t>
  </si>
  <si>
    <t>Duque Constantino</t>
  </si>
  <si>
    <t>nau, Watrell y Hussiatin.' Al frente de la primera iba el Emperador de Rusia con su hermanó el Gran Duque Constantino. Ademas de la artillería de batalla sé ha tomado á lós Rusos un parque entero de 100 cañones-ñon todos sus pertrechos. El Emperador ha ido á ver este parque, y ha mandado que se l</t>
  </si>
  <si>
    <t>d Gower, Embaxador de S. M. Británica , ha regresado í esta capital» Esperamos muy en breve al Gran Duque Constantino. — Para el Duque de Brunswick, que viene de Berlin, están preparándose varias habitaciones del palacio viejo._El invierno sigue muy Benigno; en este año casi no se ha interrumpido</t>
  </si>
  <si>
    <t>ual irá en la próxima primavera al Mediterráneo, RUSIA. Fetershurgo 10 de Marzo* 1 Si A. I. el Gran Duque Constantino ha sido nombrado Ge fe del: se-r gundo cuerpo de Cadetes en* los mismos términos que lo era del primero; Casi todo el día está allí, y algunos desde las ó de la, mañana; ha hecho</t>
  </si>
  <si>
    <t>ito. Leed vuestros diarios, vuestros itinerarios, vuestras ordenes de marchas, y vereis que el Gran Duque Constantino, á la cabeza de la guardia Imperial, que formaba un cuerpo de 16® hombres, componiada retaguardia : ahora bieul, la guardia Imperial estaba en:Oímutz. 4 diás.rhabiai;; luego) habi</t>
  </si>
  <si>
    <t>o, y que sus guardias nan tenido tiempo de socorrerle. También ha acudido con suma presteza el Gran Duque Constantino. Los: conjurados han</t>
  </si>
  <si>
    <t>a de aquí para Berlín. Ha tenido la honra de comer á la mesa de S. M. el Emperador, y á la del Gran Duque Constantino. El Príncipe Lapoukhin, Ministro de la Justicia, ha recibido la gracia de la Orden de S. Vaidomiro, de primera clase; y S. E. el Conde VaislieíF, Ministro de Hacienda, ademas de d</t>
  </si>
  <si>
    <t>eras de aquel, país, han hecho también otro movimiento. Ignoraban el objeto; pero creen que el Gran Duque Constantino, hermano del Emperador de Rusia, estaba próximo á llegar allí, y otras cartas mas recientes afirman de positivo que ya está en la Polonia Rusa*</t>
  </si>
  <si>
    <t>Constantino, Príncipe</t>
  </si>
  <si>
    <t>Príncipe Constantino</t>
  </si>
  <si>
    <t>y ha llegado á Berlín, sin que sepamos el motivo de su viage. También se espera en aquella Corte al Príncipe Constantino, hermano del Emperador de Rusia, y ya se ha puesto en camino para recibirlo en Vo-: gelsdorff el Conde de Douhof, y acompañarlo hasta la capital, en donde se alojará en la habitac</t>
  </si>
  <si>
    <t>ado de varios Consejeros íntimos y de otras personas. ; En la Gazeta de ayer se ha anunciado que el Príncipe Constantino se despidió de S. M. antes de ayer, y que se puso en camino para-Pe ter;$¿ur~; go. S. A. I. había estado á despedirse, en persona, del Ministro de Gabinete Mr. de Hardenberg___ .E</t>
  </si>
  <si>
    <t>esparcidas de que uno de los artículos secretos del tratado concluido con Rusia daba la Polonia al Príncipe Constantino con el título de Rey .; la Silesia aló Austria en cambio de la parte Austríaca,de la Polonia, y el Hannóver á la Inglaterra. Se persuadió en fin que 'estas tres Potencias estaban</t>
  </si>
  <si>
    <t>Constantino----- Era, Príncipe</t>
  </si>
  <si>
    <t>Príncipe Constantino----- Era</t>
  </si>
  <si>
    <t>cartas de Fetersburgo de 5 del corriente confirman la noticia de haber llegado á aquella capital el Príncipe Constantino----- Era infundada la voz de que el Emperador de Rusia había entrado en Brzesc el 30 de Enero último ; peto se asegura que están haciéndose grandes preparativos para recibirlo muy en breve</t>
  </si>
  <si>
    <t>Cónsul Imperial y Real</t>
  </si>
  <si>
    <t>mandante de la expedición; título de Consejero de Comercio á D. Carlos Bazzony, Cónsul Imperial y Real en Barcelona &amp;c. ^ GRAN BRETAÑA. ' Londres $ de Noviembre. En un Consejo celebrado á presencia del Rey, aprobó S. M. la proclama por la qnal se disuelve el Parla</t>
  </si>
  <si>
    <t>Cónsul Ingles</t>
  </si>
  <si>
    <t>o á este puerto la fragata Inglesa Niger el dia 20 de este mes, no quiso que él Cónsul Ingles le presentase al Capitán Mr. Hylliar, „y se lo hizo, presentar por él Cónsul de los Estados-Unidos. En esta presentación expresó eí Dey á Mr. Hylíiar los resen</t>
  </si>
  <si>
    <t>as decisivos, trae dos dias hace muy agitados los habitantes de esta ciudad. El Cónsul Ingles ha dado orden á todos los buques de su nación para que salgan inmediatamente de nuestro puerto, y vayan sin detenerse á Cuxhaveti, donde encontrarán una fragat</t>
  </si>
  <si>
    <t>la Polonia; necesita confirmación esta noticia de un paso tan imprudente. ' Ei Cónsul Ingles residente en Trieste ha comunicado de oficio á la Lonja, que ha salido de Malt2 una esquadra Inglesa, con la intención de bloquear el puerto de Venecia, y que</t>
  </si>
  <si>
    <t>Cónsul Ingles Mr</t>
  </si>
  <si>
    <t>o al pueblo ver ocho cabezas cortadas se ha asegurado la tranquilidad. El nuevo Cónsul Ingles Mr. Kartwright ha sido también echado como su antecesor, aunque de un modo'mas político. No supo aprovecharse de los primeros momentos que tuvo de favor, y despué</t>
  </si>
  <si>
    <t>Cónsul Ruso</t>
  </si>
  <si>
    <t>e nuestros huespedes cristianos?”..... A estas razones sin réplica respondió el Cónsul Ruso por nuevos denuestos. Sucedió este pasage en casa del Musselim, en donde se hallaba el Agente Ruso refiriendo varias patrañas a ver si podia templar la alegría</t>
  </si>
  <si>
    <t>recibió Mr; de Alopeus, Ministro de Rusia en la Corte de Berlín» un pliego del Cónsul Ruso en Stettin, en que ie comunicaba que los Suecos bloqueaban el puerto de Swinaminde. El Gobierno Sueca ha embargado ademas todos los buques Prusianos. En vista de</t>
  </si>
  <si>
    <t>Contreras, Antonio</t>
  </si>
  <si>
    <t>Antonio Contreras</t>
  </si>
  <si>
    <t>gones de Villaviciosa Tenencia al Alférez D. Gregorio Losada; empleos de Alférez á lós Portaguiones D. Antonio Contreras y D. Josef Ausejo ; y esta resulta á los Cadetes D. Antonio Acosta y p. Antonio Valdivieso. En América. El Rey se ha servido nombrar para eipeanato de la Me* tropclitana de Manila, en</t>
  </si>
  <si>
    <t>Coral, Nicolás</t>
  </si>
  <si>
    <t>Nicolás Coral</t>
  </si>
  <si>
    <t>enencia al Alférez D. Manuel Muñoz: en el del Infante empleo de Portaestandarte al Sargento primero D. Nicolás Coral.: en el de dragones del Rey Ayudantía al Teniente, graduado de Capitán, D. Francisco de Armijo: Tenencia en el de Almansa al Alférez D. Joaquín Estado; y en el de húsares Españole</t>
  </si>
  <si>
    <t>Cormari, Juan</t>
  </si>
  <si>
    <t>Juan Cormari</t>
  </si>
  <si>
    <t>para una Canongía de la Colegiata de S. Feliu de la ciudad de Gerona, vacante por fallecimiento de D. Juan Cormari': á D. Pablo Ros y Bordas para un Beneficio vacante en la Capilla del vecindario de Estertieh de la villa de Torruella de Montgri, Obispado de Gerona, por muerte de D. Francisco Gl</t>
  </si>
  <si>
    <t>Cornel, Antonio</t>
  </si>
  <si>
    <t>Antonio Cornel</t>
  </si>
  <si>
    <t>se ha servido nombrar para una plaza de Oidor de la Real Audiencia de Aragón, vacante por muerte de D. Antonio Cornel, á D. Jayme Pastoret y Búfala» Alcalde del Crimen mas antiguo de ella; y para esta resulta á D. Manuel García de Quintana, Abogado de los Reales Consejos. En oficio de 21 de este</t>
  </si>
  <si>
    <t>Cornwaliis, Lord</t>
  </si>
  <si>
    <t>Lord Cornwaliis</t>
  </si>
  <si>
    <t>ortantes posesiones de S. M., por quanto el Gobernador interino habia merecido toda la confianza de Lord Cornwaliis, quien le habia comunicado sus pensamientos y nombrádole executor de su última voluntad para la prosperidad de Bengala. Todo quanto se ha hecho para extender el comercio y él pode</t>
  </si>
  <si>
    <t>Cornwallis de Torbay, Almirante</t>
  </si>
  <si>
    <t>Almirante Cornwallis de Torbay</t>
  </si>
  <si>
    <t>la deRochefort; es probable que haya entrado después. Comoquiera que sea, el jueves pasado salió el Almirante Cornwallis de Torbay para Brest,, y hará sus esfuerzos para encontrar al enemigo. Escriben de“Deat con fecha del 18 de Diciembre, que el 10 habían salido de aquel puerto el Leopardo de 56 cañones, y l</t>
  </si>
  <si>
    <t>Cornwallis, Almirante</t>
  </si>
  <si>
    <t>Almirante Cornwallis</t>
  </si>
  <si>
    <t>ar su viage. Se presume que esta esquadra sea la:de Brest, que se haiaproyechado de la ausencia del Almirante Cornwallis para hacerse á ía vela._Segün cartas de Pommputh. y Pli^: mouth, el buque- par lamentar io Océano ha, avistado la misma esquadra á \ps 4^ grados y 39 iqinuto^ dé, latitud, y otro</t>
  </si>
  <si>
    <t>istros les acusan de una injusta parcialidad en haber dado al Lord S. Vicente el mando que tenia el Almirante Cornwallis. A pesar de los apuros y dificultades que ocasionará el budjet este año, no se cree que la nueva administración se aparte en este punto del sistema de Mr. Pitt. FRANCIA. París 4 d</t>
  </si>
  <si>
    <t>Cornwallis, Lord</t>
  </si>
  <si>
    <t>Lord Cornwallis</t>
  </si>
  <si>
    <t>es 31 de Diciembre de 180$ • El Duque de Cambridge no ha salido aun para el Continente.— pícese que Lord Cornwallis va á dexar el mando de la esquadra del Canal) y le sucederá Lord Gardner. Xiene este mando de 25 á 30O libras esterlinas de dotación. Han perecido en la última tempestad, ademas d</t>
  </si>
  <si>
    <t>a casa de comercio de la ciudad há recibido una carta escrita por un Oñcial que fué á la India, con Lord Cornwallis, con fecha de Ghazeepore á 2 de Noviembre, y.dice en substancia: „El Marques de Cornwallis, cuya salud estaba muy quebrantada quando partió de Inglaterra, prevéia que jamas volver</t>
  </si>
  <si>
    <t>s qualidades....”Con este motivo el Morning-Chronicle hace varias observaciones sobre el sucesor de Lord Cornwallis. ,,Sabemos, dice, que Bonaparte tiene fixa su vista en las posesiones que tenemos en aquella parte del mundo; pero quizá será tiempo todavía de prevenir sus intentos, de impedirle</t>
  </si>
  <si>
    <t>Coronado y Ulloa, Ignacio</t>
  </si>
  <si>
    <t>Ignacio Coronado y Ulloa</t>
  </si>
  <si>
    <t>3°6 les Consejos; y para el Corregimiento de Chiinaltenango, en el Reytió de Goatemala, á D. Ignacio Coronado y Ulloa, Capiran retirado. El dia 4 de Febrero del presente ano talleció en la ciudad de Málaga, á los 58 años y 7 meses de edad, el Excmo. Sr. D. .Francisco Chacón, Manrique de Lara, Mes</t>
  </si>
  <si>
    <t>Corral, Manuel</t>
  </si>
  <si>
    <t>Manuel Corral</t>
  </si>
  <si>
    <t>^ su rondó para forte-piáno, con acomjpáñámiento dé1 Vip|ii5 y Viófoir: su precio 60 r$. ‘ Su Tutor D. Manuel Corral continuará dando ál :pñbjl¿|o;&gt;q^ras varias ("totas Me música,' así vocal como instrujmental. EÑ LA IMPRENTA REAL.</t>
  </si>
  <si>
    <t>Correa, Lord</t>
  </si>
  <si>
    <t>Lord Correa</t>
  </si>
  <si>
    <t>mes, y ¡que toda !a colonia está sometida enteramente. Mr. -Windham ha participado es|a-noticia al Lord Correa ;idor. El Teniente Dale, ;que ha traído los pliegos, ha dexado en el Cabo f os navios Diadema de 64, Diomedes de 50 , Leda de 5-8, y Narciso de 30. El Belicoso , el Rubí y el Razo</t>
  </si>
  <si>
    <t>Corregidor y del Dr, Lord</t>
  </si>
  <si>
    <t>Lord Corregidor y del Dr</t>
  </si>
  <si>
    <t>las franquicias; á las dos extremidades de la caxa están las armas de la ciudad orladas con las del Lord Corregidor y del Dr. Jenner. Detras está grabada una vaca; y en el fondo están escritas estas palabras: Presentada d Eduardo Jenner, M, D. X. X. D. F. R. S., por el Ayuntamiento de Londres, como ana</t>
  </si>
  <si>
    <t>Corregidor, Lord</t>
  </si>
  <si>
    <t>Lord Corregidor</t>
  </si>
  <si>
    <t>os, y entre otras personas 22 señoras, y algunas de ellas de familias distinguidas de Londres. ? El Lord Corregidor y el Ayuntamiento de la ciudad de Londres han resuelto dar al Dr. Jenner un testimonio del reconocimiento público, gratificándole con ciertas distinciones, la franquicia de derechos,</t>
  </si>
  <si>
    <t>ión del Ministerio. Después de esta ceremonia tuvo un Consejo privado. Al presentar el discurso, el Lord Corregidor habló en estos términos: ,,Señor: Quando contemplamos con la mas dolorosa aflicción las desgracias, que han ocasionado con tal prontitud la ruina y la humillación de ia casa de Au</t>
  </si>
  <si>
    <t>nza. Apénas llegaron estos Oficiales, el primer Lord del Almirantazgo escribió la nota siguiente al Lord Corregidor, al mismo tiempo que la artillería del parque y de la torre anunciaba con salvas esta noticia. En el Almirantazgo d 27 de Febrero. ,,Mr. Grey tiene la honra de pasar al Lord Corre</t>
  </si>
  <si>
    <t>5 millones de cédulas del Echiquier. Ayer hubo en la junta del Consejo del Común, presidida por el Lord Corregidor, una discusión bastante viva con motivo de la propuesta que hizo Mr. Sharpe, „de suspender toda disposición relativa á erigir el monumento que anteriormente se habia decretado en</t>
  </si>
  <si>
    <t>te , compuesta de 7 navios de línea y algunas fra-* gatas. : Ayer ha participado el Almirantazgo al Lord Corregidor que la esqua</t>
  </si>
  <si>
    <t>se han arruinado muchas casas, y han muerto algunas personas* Ayer ha comunicado el Almirantazgo al Lord Corregidor eí aviso siguiente: En el Almirantazgo d 2 y de Julio. „Hoy á medio dia ha llegado Sir Eduardo Berry con pliegos del Vice-Almirante Cochrane, fecha de la bahía de Cariisle en la Bar</t>
  </si>
  <si>
    <t>ham y algunos otros Ministros fuéron por la noche al Almirantazgo. El Almirantazgo ha comunicado al Lord Corregidor el 11 del corriente el aviso telegráfico de Plimouth recibido el dia anterior á las 2 de la tarde, ^ue es como sigue: ,, Los 6 navios de línea Franceses, y los 4 del Almirante Coehr</t>
  </si>
  <si>
    <t>omisario del Rey de Inglaterra. Ayer, dia de S. Miguel, Mr. Leighton fué elegido á mayoría de voto» Lord Corregidor para el año de 1807. FRANCIA. Coblentza 3 de Octubre. Las guardias nacionales de la orilla izquierda del Rhin están en movimiento. El i.° de este mes se habrán puesto en marcha pa</t>
  </si>
  <si>
    <t>en pliegos para el General Zach. GRAN BRETAÑA. Londres 4 de Octubre. Mr. Grenville ha comunicado al Lord Corregidor el aviso que sigue; ,, Almirantazgo á j de Octubre a la una de la tarde. Milord, tengo la satisfacción de participar á V. la llegada de un Oficial, enviado por Sir Sa* muel Hood, co</t>
  </si>
  <si>
    <t>omisión de Lord Lauderdale está ya concluida. Ayer á las 4 dadas de la tarde Lord Howick remitió ai Lord Corregidor copia de un despacho telegráfico de Deal, en que se anuncia la llegada de un correo con la noticia de que el Ministro Ingles saldría de París el dia 9. La fragata Clyde tenia orde</t>
  </si>
  <si>
    <t>Cortazar, Francisco</t>
  </si>
  <si>
    <t>Francisco Cortazar</t>
  </si>
  <si>
    <t>urja Media-Ración, vacante en la Catedral de Segovia, por muerte de I&gt;. Gerónimo Ortega Barbolla, á D. Francisco Cortazar: para el Beneficio Préstamo de la Parroquia de Alcalá del rio Xucar, Diócesi de Cartagena, vacante por fallecimiento de B. Gerónimo Motezuma, á D. Luis Gregorio de Isla y Campomán</t>
  </si>
  <si>
    <t>Cortés, Fernando</t>
  </si>
  <si>
    <t>Fernando Cortés</t>
  </si>
  <si>
    <t>de D. Julián Valero de Vicente, á D. Pedro Ignacio de Iturribarría: para la Ración que este dexa á D. Fernando Cortés; y para la Media al Cura de Arispe D. Josef Cayetano Salcedo: para la Chantría de la Iglesia de Comayagua, vacante por fallecimiento de D. Francisco Manuel López, al Maestrescuela</t>
  </si>
  <si>
    <t>Cortes, Manuel</t>
  </si>
  <si>
    <t>Manuel Cortes</t>
  </si>
  <si>
    <t>bre circulación de la industria; y aumentan los precios de los efectos, sin añadirles ningún valor? D. Manuel Cortes, de segundo, el capital es una acumulación de trabajo sobrante, y se puede exigir renta de él, hora esté refundido en un buen sitio, hora se halle en numerario: D. Josef la Cruz,</t>
  </si>
  <si>
    <t>Cortines, Francisco Ignacio</t>
  </si>
  <si>
    <t>Francisco Ignacio Cortines</t>
  </si>
  <si>
    <t>, vacante en el Supremo Consejo de las Indias por jubilación de D. Pedro Jacinto Valenzuela, al Sr. D. Francisco Ignacio Cortines, Regente de la Real Audiencia de Quito. En América. En el Regimiento de infantería de Cuba se ha servido el Rey promover á Capitán de granaderos al de fusileros D. Mariano Calonge</t>
  </si>
  <si>
    <t>Cortones, Francisco Ignacio</t>
  </si>
  <si>
    <t>Francisco Ignacio Cortones</t>
  </si>
  <si>
    <t>e ha dignado S. M. nombrar para la Regencia de la Audiencia de Quito, vacante por promoción del Sr. D. Francisco Ignacio Cortones á Ministro Togadodel Supremo Consejo de Indias, á D. Pedro Antonio Cernadas, Oidor de la del Cuzco, y para esta resulta ¿ D. Pedro Mariano Goyoneche y Barreda, Abogado-de la Audie</t>
  </si>
  <si>
    <t>Cosío, Francisco</t>
  </si>
  <si>
    <t>Francisco Cosío</t>
  </si>
  <si>
    <t>o Valverde ; y en el de Málaga Subtenencia de bandera al Sargento primero de granaderos del de Jaén D. Francisco Cosío. En el Regimiento de caballería del Príncipe se ha servido el Rey conceder empleo de Portaestandarte á D. Olaguer Desvalls, Cadete de Reales Guardias Españolas; y en el de Calatra</t>
  </si>
  <si>
    <t>Cosme Damian Churruca y Elorza</t>
  </si>
  <si>
    <t>admiten subscripciones para Madrid y todas partes. Elogio histórico del Bri^adief de la Real Armada D. Cosme Damian Churruca y Elorza, que fhüríó en él compare -de Trafalgar eñ 21 dé Octubre de 1805, escrito por un amigo SuyorííeVa ai órente su retrató,, grabado en París por uno de los mejores profesores, é impr</t>
  </si>
  <si>
    <t>Costa, Jacinto</t>
  </si>
  <si>
    <t>Jacinto Costa</t>
  </si>
  <si>
    <t>misma. S. M. se ha servido nombrar á D. Juan Ferrá para una Canongía de la Catedral de Mallorca: á D. Jacinto Costa para la Canongía Doctoral de la Catedral de Vique: á D. Francisco Llor para un Beneficio de la Colegial de Manresa, Diócesi de Vique, baxo la invocación de S. Francisco: á Don Fer</t>
  </si>
  <si>
    <t>Costaz</t>
  </si>
  <si>
    <t>peratriz, antiguo Arzobispo de Cambray, del antiguo Obispo de Rennes, Canónigo de S. Dionisio, y de Mr. Costaz, Cura de la Parroquial de la Magdalena, hizo en seguida la ceremonia de los desposorios.. Concluida esta se retiraron SS. MM., acompañados de los nuevos esposos y'de la familia Im</t>
  </si>
  <si>
    <t>Coulomb</t>
  </si>
  <si>
    <t>Negocios será acreditado después cerca del Príncipe Primado en Francfort. El sábado ultimo falleció Mr. Coulomb, antiguo Oficial de Ingenieros, miembro del Instituto, y uno de los mas hábiles geómetras de Europa. Sus interesantes experimentos sobre la electricidad y sobre el imán son bien c</t>
  </si>
  <si>
    <t>Courvoisier</t>
  </si>
  <si>
    <t>Hamburgo que había atravesado por aquella ciudad el 23 del corriente el mensagero de Estado Ingles Mr. Courvoisier, que venia de Berlin para Londres. Las mismas cartas añaden que la Corte de Prusia ha. enviado al General de Pfulh con una comisión cerca del Emperador Napoleón. il FRANCIA. * Par</t>
  </si>
  <si>
    <t>Cousin</t>
  </si>
  <si>
    <t>bra de Sturm, es la prueba mas fidedigna de su utilidad , con todo no debe omitirse que al paso que Mr. Cousin ha coordinado las materias de que trata, ha ampliado también varios artículos, y puesto otros nuevos, valiéndose de los descubrimientos que en nuestros dias se han hecho en la his</t>
  </si>
  <si>
    <t>Cousín Despréaux, Luis</t>
  </si>
  <si>
    <t>Luis Cousín Despréaux</t>
  </si>
  <si>
    <t>. C. C. Sturm, dadas á luz metódicamente en francés con el título de Lecciones de la naturaleza por Mr. Luis Cousín Despréaux, y traducidas al castellano: 3.a impresión, corregida y aumentada. Aunque la general aceptación que ha logrado en España la obra de Sturm, es la prueba mas fidedigna de su utilida</t>
  </si>
  <si>
    <t>Crameyel</t>
  </si>
  <si>
    <t>puede dispensarse de ser tributaria del comercio Ingles. : FRANCIA. . - ■■ * [ Tñriff dd^Jdlio* ' ‘ Mr. Crameyel , Introductor de Embaxadores y Maestro de Ceremonias, llegó á está ciudad el sábado último acompañado de sus hijos : ha , Visitado los establecimientos públicos, y se presume que</t>
  </si>
  <si>
    <t>Craufurd, General</t>
  </si>
  <si>
    <t>General Craufurd</t>
  </si>
  <si>
    <t>e embarcar, 6 en que tienen orden de estar prontos para ello. Tres meses hace que la expedición del General Craufurd pasa sucesivamente de un puerto á otro de Inglaterra, con gran perjuicio de los Oficiales, á quienes arruinan estos viages ; fuera de que es de temer no se manifieste alguna enfer</t>
  </si>
  <si>
    <t>Cráúfurd, General</t>
  </si>
  <si>
    <t>General Cráúfurd</t>
  </si>
  <si>
    <t>tánicas han desmentido esta noticia , añadiendo, como cosa cierta, que la expedición mandada por el General Cráúfurd había salido de Falmouth, y que dicho Almirante montaba el Spencer, de 74 ; los demas baxeles son el Ganges , el Capitán y el Teseo, de 74; las fragatas Nereyda y Liveley, de 44;</t>
  </si>
  <si>
    <t>Crawford y Mr, Coronel</t>
  </si>
  <si>
    <t>Coronel Crawford y Mr</t>
  </si>
  <si>
    <t>mpo de guerra, de los soldados alistados por 7 años, y de 6 meses en tiempo de paz. Mr. Windham, eí Coronel Crawford y Mr. Fox apoyaron con mucha fuerza esta cláusula, á que se opusieron fuertemente Sir James PuUney, Mr.Yorke, Mr. Canning y Mr. Percival. A las 4 de la mañana empezó la votación; 254 v</t>
  </si>
  <si>
    <t>Crawfurd, Coronel</t>
  </si>
  <si>
    <t>Coronel Crawfurd</t>
  </si>
  <si>
    <t>ord Percy es muy poderoso, para que ninguno pueda tener esperanzas fundadas de mayoría de votos. El Coronel Crawfurd, Secretario de Mr. Wíndham, está destinado al mando de una expedición particular. Es conocido este Oficial por haber servido en los exércitos Austríacos como Comisario del Rey de</t>
  </si>
  <si>
    <t>nte, ha entrado en Plymouth: créese que este Almirante no vuelva á mandar la esquadra del Canal. El Coronel Crawfurd ha salido para tomar el mando de la expedición que se dispone en Falmouth: el Almirante Murray mandará la esquadra que escolte las tropas de desembarco: los navios Polifemoj de 64</t>
  </si>
  <si>
    <t>Crespo de Tejada, Diego</t>
  </si>
  <si>
    <t>Diego Crespo de Tejada</t>
  </si>
  <si>
    <t>cía de la Prada, de la Real y distinguida Orcen de Cárlos m, Intendente honorario de Provincia. Sr. D. Diego Crespo de Tejada. Sr. D. Lorenzo Palacio y Gorbea. Sr. D. Josef Antonio de Uriarte, por la Caxa de Consolidación. Y ha nombrado por sus Diputados á los Señores D. Manuel de Ribacoba y Gorbea, y D.</t>
  </si>
  <si>
    <t>Crespo González, Gabriel</t>
  </si>
  <si>
    <t>Gabriel Crespo González</t>
  </si>
  <si>
    <t>cio: para la Ración vacante en la de Avila, por fallecimiento de D. Baltasar de Lazaeta y Zúñiga, á D. Gabriel Crespo González, Presbítero: para otra vacante en la de Granada, por muerteMe D. Juan Alonso Burrueso, á D. Josef María de Xerez, Cura de la Parroquial de Sta. Escolástica de aquella ciudad: para</t>
  </si>
  <si>
    <t>Crisóstomo de la Llave, Juan</t>
  </si>
  <si>
    <t>Juan Crisóstomo de la Llave</t>
  </si>
  <si>
    <t>M. se ha servido conferir la Comandancia general de la costa1 de Asturias y Santander al Brigadier D. Juan Crisóstomo de la Llave, Coronel del Regimiento de infanteria.de Valencia: el Gobierno Militar y Político de la plaza de Málaga al Mariscal de Campo D. Teodoro de Reding, Coronel del Regimiento de infant</t>
  </si>
  <si>
    <t>Cristiano Bagnioud, Juan</t>
  </si>
  <si>
    <t>Juan Cristiano Bagnioud</t>
  </si>
  <si>
    <t>h Julio Alberto Vicanz. Y la Tenencia Coronela del de Reding, núm, 3.0, al Capitán del mismo cuerpo D. Juan Cristiano Bagnioud. , Atendiendo el Rey á los méritos y servicios de D. Pedro Nalda, Con?tador general de Pósitos del Reyno, se ha servido S. M. concederle honores del Tribunal de Contaduría mayor.</t>
  </si>
  <si>
    <t>Cristiano Federico de Dinamarca, Príncipe</t>
  </si>
  <si>
    <t>Príncipe Cristiano Federico de Dinamarca</t>
  </si>
  <si>
    <t>io de la Princesa Carlota, hija de S. A. el Duque reynanre de Mecklenburg-Schwerin, con S. A. R. el Príncipe Cristiano Federico de Dinamarca. Aliona 2 2 de Junio. En varios periódicos de Inglaterra se ha publicado que un zapatero de Fetterwort, en el Condado de Sussex, llamado Horter, ha inventado una máquina, con la q</t>
  </si>
  <si>
    <t>ca en el Círculo de Saxonia la Inferior, ha comunicado de oficio i nuestro Senado el matrimonio del Príncipe Cristiano Federico de Dinamarca con Ja Princesa Carlota Federica de Mecklemburgo Schwerín. El Senado ha contestado en los términos mas expresivos manifestando á S. E, la parte que le cabe en tan acertado enlace.</t>
  </si>
  <si>
    <t>Cristiano Federico, Príncipe</t>
  </si>
  <si>
    <t>Príncipe Cristiano Federico</t>
  </si>
  <si>
    <t>go 16 del corriente habría gala en palacio con motivo del próximo enlace matrimonial de S. A. R. el Príncipe Cristiano Federico con S. A. la Princesa Carlota Federica, hija de S. A. S. el Duque de Mecklenburgo-Schwerin-GustroWr El 13 del corriente salió'de Cuxhaven para Londres el Conde de Múnster , que es</t>
  </si>
  <si>
    <t>Cristiano, Príncipe</t>
  </si>
  <si>
    <t>Príncipe Cristiano</t>
  </si>
  <si>
    <t>—t trangerá, so pena de 50 ríxdálers de multa. Dicen que ha de fixar aquí su residencia S. A. R. el Príncipe Cristiano luego que se efectúe su matrimonio con la Princesa de Mecklenburgo. HUNGRIA. ■ SemliníPidé-Eneróx ' Un crecido cuerpo de tropas Bosniacas ha pasado el Drina, y se ha entrado en te</t>
  </si>
  <si>
    <t>pasado á su Regimiento cerca de Kiel, y en los dias siguientes á los Regimientos de Schleswig y del Príncipe Cristiano. Mr. de Gyldenpalm, Page de S. M. y Secretario de Embaxada en Stockolmo, está nombrado para ir á Madrid á ocupar él mismo destino en aquella Legación. De los Ducados de Holstein y</t>
  </si>
  <si>
    <t>e el que por primera vez vais á ser juzgados con justicia, y así vereisfixada vuestra suerte por un Príncipe Cristiano. S. M. quiere que seáis Franceses ; en vosotros está el aceptar un título semejante; esto se consigue renunciando todo aquello que impide haceros digno de él.”----Leídas las qiies</t>
  </si>
  <si>
    <t>Cristóbal</t>
  </si>
  <si>
    <t>ropio año, sin constar el piíeblo de su naturaleza ; y se avisa para que los legítimos sucesores de D. Cristóbal parezcan á instruirse del estado de los autos, y pedí* lo que les convenga sobre el cobro del referido crédito. Se desea saber el paradero de D. Manuel de Atiala, que residía en M</t>
  </si>
  <si>
    <t>Cristóbal Alonso Pérez</t>
  </si>
  <si>
    <t>n en esta villa á D. León Pablo Blanco, artífice platero, calle de Bordadores, ó en la de Canales á D. Cristóbal Alonso Perez. V ■» I Historia del comercio y de la navegación de los antiguos, escrita en Francés por el limo. Sr. Pedro Daniel Huet, Obispo de Abran ches &amp;c., y traducida at castellano ,por e</t>
  </si>
  <si>
    <t>Cristóbal Bencomo</t>
  </si>
  <si>
    <t>Beneficio simple de S. Félix de Freygeyro, en el Arzobispado de Santiago ¿vacante por promoción de D. Cristóbal Bencomo á la Dignidad de Chantre de la Catedral de Piasencia , á D. .Manuel Matute,; y para el Beneficio siriiple..titulado ;de Nona en la Parroquia de S. Miguel de Tribies.,-Arcipréstazg</t>
  </si>
  <si>
    <t>Cristóbal Blasco</t>
  </si>
  <si>
    <t>el de Portaestandartes á los Cadetes D. Vicente Requesens y D. Ignacio Foxa, y al Sargento primero D. Cristóbal Blasco. También se ha servido el Rey conferir el Regimiento de dragones de Villaviciosa al Coronel Barón de Armendariz, Teniente Coronel del de dragones del Rey; y en el de Sagunto la Sa</t>
  </si>
  <si>
    <t>Cristóbal de Atienza</t>
  </si>
  <si>
    <t>pertenecientes á las obras pías que en la villa de Atienza fundaron el Bachiller Gerónimo Peralta y D. Cristóbal de Atienza, y son correspondientes á la primera: en término del lugar de Madrigal 41 fanegas de tierra de pan llevar, tasadas en 11,085 rs. en principal, y 15^ fanegas de trigo y cebada en r</t>
  </si>
  <si>
    <t>Cristóbal de Vícíiña</t>
  </si>
  <si>
    <t>r. D. Manuel Vicente de Torres , Teniente Corregidor de esta villa, por la escribanía del número de D. Cristóbal de Vícíiña. Quien quisiere hacer postura á sets casas sitas en ésta Corte, una en la calle deChinchilla, núm. 10, manz. 395 , tasada en 54,308' rs.: otra en la calle dél Molino' de Viento, n</t>
  </si>
  <si>
    <t>Cristóbal de Vicuñ</t>
  </si>
  <si>
    <t>el Si*. D. Manuel Vicente de Torres, Teniente Corregidor de esta yi.Ú.a, y escribanía del número de D. Cristóbal de Vicuñ^ , ijeptro del término de 30 di^$ contados desde el 14 del corriente. =5; Ep virtud de Real facultad sé está subastiíjydo úna suerte .de dehesa 1 titulada de Machuca, sjtq en térm</t>
  </si>
  <si>
    <t>Cristóbal de Vicuña</t>
  </si>
  <si>
    <t>te el Sr. D. Manuel Vicente de Torres, Teniente Corregidor.de esta villa, ^escribanía del número de D. Cristóbal de Vicuña, dentro de 30 dias contados, desde el 4 del corriente. Por la audiencia del Sr. D. Torquato Antonio Collado, Teniente Corregidor de esta villa, y escribanía de D. Gervasio Fernand</t>
  </si>
  <si>
    <t>e el Sr. D. Manuel Vicente de Torres, Teniente Corregidor de esta villa, y escribanía del número de D. Cristóbal de Vicuña, dentro del término de 30 dias contados desde el 2 del presente. Por la audiencia del Sr. Teniente D. Torquato Antonio Collado, y escribanía del número de D. Tomas de Sancha y Pra</t>
  </si>
  <si>
    <t>e el Sr, D. Manuel Vicente de Torres, Teniente Corregidor de esta villa, y escribanía del número de D. Cristóbal de Vicuña, dentro de 30 dias contados desde el 9 del corriente. Por la audiencia del Sr. D. Torquato Antonio Collado, Teniente Corregidor de esta villa, y escribanía del número de D. Antoni</t>
  </si>
  <si>
    <t>r. Torres. La persona que quisiere hacer postura, acuda ante su Señoría, y escribanía del número de D. Cristóbal de Vicuña. Por el juzgado de la Auditoría de Guerra de esta Provincia se ha mandado que la casa, jardin y tierras, sito en la villa de Canillejas y sus inmediaciones, tasado todo en 120,610</t>
  </si>
  <si>
    <t>ente de Torres, del Consejo de S. M., Teniente Corregidor de esta villa, y escribanía del número de D. Cristóbal de Vicuña, dentro de 30 dias contados desde el 14 del corriente; previniendo que no están comprehendi ; -s en la tasación las piezas interiores, que están disfrutando en Ja planta baxa deha</t>
  </si>
  <si>
    <t>ro de D. Diego Benigno González. “Por providencia del mismo Sr. Teniente y escribanía del número de Don Cristóbal de Vicuña se subasta otra casa en Ja calle y plazuela de S- Jacinto , número 8 , manz. 364, que tiene de sitio 2072 pies qúadrados superficiales, y está tasada en 1.560,808 rs. Quien quisie</t>
  </si>
  <si>
    <t>r. D. Torquató Antonio Collado, Teniente Corregidor, detesta villa, por la.escribanía del número de D. Cristóbal de Vicuña; previniéndose que está señalado su remate el dia 29 del -presente.' £1 Sr. D. Tomas Moyano* del Consejo de S. M,, su Alcalde de - Casa y- Corte, ha señalado el dia 8 del presente</t>
  </si>
  <si>
    <t>5, Valuada en 175,455 rs. Quien quisiere hacer postura aduda ante dicho Señor, por la escribanía de D. Cristóbal de Vicuña. El remáte de lá casa sita en la calle-ancha de SvnBernardp, núm. 2 , manz. 49,9, tasada en 150,196 -rs., se ha verificadoeñ 100,140 rs. en moneda-metálica; y habiéndose aprobado</t>
  </si>
  <si>
    <t>a'arité el Sr. D. Manuel Vicente de Torres, Teniente Corregidor de esta villa, por la escribanía de D. Cristóbal de Vicuña, dentro dé go dias contados desde el 15 de'-corriente; Quien quisiere comprar- g fanegas de tierra de buena calidad, que se renden 6 (5 á voluntad dé su dueño, en el lugar de Cama</t>
  </si>
  <si>
    <t>ante él Si. D. Manüfel Vicente de Torres, Teniente Gorrégidot dtr esta villa, pck la escribanía de D. Cristóbal de Vicuña, dentro de 30 días contados desde él 14 dél Corriente. En virtud de providencia dél Sr. D. Torquato Antonio Collado, Teniente Corregidor de está villa, se ha mandado sacar á públi</t>
  </si>
  <si>
    <t>a ante el Sr. D„ Torquato Antonio Collado, Teniente Corregidor de esta villa-, por la escribanía de D. Cristóbal de Vicuña, dentro de 30 dias contados desde el 28 de Marzo. Se halla vacanre la plaza de Médico del lugar de Mocejon, jurisdicción de la ciudad de Toledo; y*el salario asignado porei Real C</t>
  </si>
  <si>
    <t>da ante el Sr. D. Torquato Antonio Coliado, lenicnte Corregidor de esta villa, por la escribanía de D. Cristóbal de Vicuña, dentro de 30 dias contados desde dicho decreto. *• A conseqiiencia de orden de los Sres. de la Comisión gubernativa se ha mandado volver á sacar á pública subasta, por término de</t>
  </si>
  <si>
    <t>a ante el Sr. D. Torquato Antonio Collado, Teniente Corregidor de esta villa,1 por la éscnbánfa fie D. Cristóbal de Vicuña, dentro de 30 dias contados desde el 21 del pasad». Se halla vacante el partido de Médico titular de la villa de Torrecilla de la Orden, del partido y provincia de la ciudad de To</t>
  </si>
  <si>
    <t>da ante el Sr. D. Torquato Antonio Collado, Teniente Corregidor de esta villa, por la escribanía de D. Cristóbal de Vicuña, dentro de 30 días 'contados desde el 21 del pasado. Se halla vacante el partido de Médico de la villa de Villa nueva del Rey, Obis</t>
  </si>
  <si>
    <t>rs., acuda ante el Sr. D. León de Sagasta, Teniente Corregidor de esta villa, por la escribanía de D. Cristóbal de Vicuña, dentro del término de 30 dias contados desde el 26 de Agosto ultimo. A voluntad de sus dueños, por el juzgado del Sr. Teniente Corregidor Don León de Sagasta, y escribanía de D.</t>
  </si>
  <si>
    <t>Cristóbal de Virués, Capitán</t>
  </si>
  <si>
    <t>Capitán Cristóbal de Virués</t>
  </si>
  <si>
    <t>r D. Juan Francisco de Masdcu: un tomo en 8.? marquilla, con el retrato de S. S.r=El Monserrate del Capitán Cristóbal de Virués, quarta impresión, añadida, y notablemente mejorada, con un discurso preliminar en que se da razón de la vida y escritos de este autor: un tomo en 8.° marquilla. zzzRobo de Proser</t>
  </si>
  <si>
    <t>Cristóbal Krucker</t>
  </si>
  <si>
    <t>resulta al Subteniente de granaderos D. Juan Miguel Roth: Subtenencia de granaderos al de fusileros D. Cristóbal Krucker; y Subtenencia de bandera al Cadete D. Cristóbal Tiill. En el de Traxler, Tenencia al Subteniente de granaderos D. Basilio Chicherio: esta resulta al Subteniente de fusileros Doh</t>
  </si>
  <si>
    <t>Cristóbal Olavarria</t>
  </si>
  <si>
    <t>encia al Cadete D. Juan Chavez: Compañías en las sueltas de disciplinadas de infantería de Chiloe á D. Cristóbal Olavarria y D. Pedro Olavarria, Tenientes de las mismas; y Tenencia al Subteniente D. Josef Antonio Vargas. S. M. se ha dignado promover á Coroneles en los Regimientos de Milicias urbanas de in</t>
  </si>
  <si>
    <t>Cristóbal Pérez</t>
  </si>
  <si>
    <t>amaniego: Ayudantías á los Tenientes D. Josef de Cárdenas y D. Lu is Rey: Tenencias á los Alféreces D. Cristóbal Perez, D. Lúeas de ~la Peña y D. Josef Alberch ¿empleos de Alférez á los Portaestandartes Don **Pablo Solana, D. Josef de Torres y D. Juan de Cuellar, y el de Portaestandartes á los Cad</t>
  </si>
  <si>
    <t>Cristóbal Tiill</t>
  </si>
  <si>
    <t>Subtenencia de granaderos al de fusileros D. Cristóbal Krucker; y Subtenencia de bandera al Cadete D. Cristóbal Tiill. En el de Traxler, Tenencia al Subteniente de granaderos D. Basilio Chicherio: esta resulta al Subteniente de fusileros Doh Julio Alberto Vicanz. Y la Tenencia Coronela del de Red</t>
  </si>
  <si>
    <t>Croquer, Manuel</t>
  </si>
  <si>
    <t>Manuel Croquer</t>
  </si>
  <si>
    <t>Canalizo, D. Julián Morales y Sánchez, D. Flaminio Agacini y Bilbao, D. Tomas de Torres y Zapata, y D. Manuel Croquer. En América. El Rey se ha dignado promover á Capitán de la Compañía de infantería veterana íixa de Popayan al Capitán D. Antonio Alaix, Teniente de la misma; á Teniente al Subteni</t>
  </si>
  <si>
    <t>Crowningshield</t>
  </si>
  <si>
    <t>, reclamando á un hijo suyo que le han cogido los Ingleses. Con ocasión de esta queja hizo presente Mr. Crowningshield que, en virtud de una resolución tomada por el Congreso en el año anterior, se ha formado una lista general de los marineros Americanos cogidos de leva por la marina Británica, y</t>
  </si>
  <si>
    <t>Cuervo, Juan Antonio</t>
  </si>
  <si>
    <t>Juan Antonio Cuervo</t>
  </si>
  <si>
    <t>amante, tasados, el solar en 27,624 rs. 16 mrs. ,• y Jos enseres en 27,660 rs., que se remataron en D. Juan Antonio Cuervo, aquel en el todo de su tasación, y estos en las dos terceras partes de ella, todo á pagar en vales Reales; y que pasado dicho término se rematen.uno y otros en él mejor póstoívQu</t>
  </si>
  <si>
    <t>Currau</t>
  </si>
  <si>
    <t>mentable daba motivo á nueva elección ; y después de decir que Mr. Sheridan, Sir Francis Burdett, y Mr. Currau habían rehusado presentarse como candidatos, propuso á Lord Percy , como sugeto que reunía en sí las qualidades propias para determinar la elección presente. Fué muy aplaudida est</t>
  </si>
  <si>
    <t>Custodio Martín Zancudo</t>
  </si>
  <si>
    <t>Dr. D. Mariano Lafuente y Poyanos, Alcalde mayor por S. M. de la villa de Yepes, y por el oficio de D. Custodio Martin Zancudo, dei número y Ayuntamiento de ella, se remató á pública subasta el dia 4 de Junio último la dehesa intitulada de la Torre de Fernand Gudiel, sita en su término, en 1.652,199 rs.,</t>
  </si>
  <si>
    <t>Czartc</t>
  </si>
  <si>
    <t>ne ya licencia para permanecer aquí el Cónsul general Lesseps, y ha tenido algunas conferencias con Mr. Czartc riski, Ministro de Negocios extranjeros. La Compañía de comercio de AiñéíieadiáTécibíab, péFimedio del Capitán Lisanski, noticias de los dos navios que había enviado á Codjak. Lue</t>
  </si>
  <si>
    <t>Czartorinski, Príncipe</t>
  </si>
  <si>
    <t>Príncipe Czartorinski</t>
  </si>
  <si>
    <t>sterio de Relaciones exteriores en Rusia , y que Mr. de Alopeus es el que está nombrado sucesor del Príncipe Czartorinski. El General Conde de Telstoy, que sirvió en la última guerra, y que de vuelta á Rusia pidió su retiro, ha vuelto á entrar en el servicio. Corre muy valida la voz de que los Prusia</t>
  </si>
  <si>
    <t>Czartorinsky, Príncipe</t>
  </si>
  <si>
    <t>Príncipe Czartorinsky</t>
  </si>
  <si>
    <t>hasta aquí; ¡pero estrechará mas y mas los vínculos, de aquella Corte con la nuestra. Dícese que el Príncipe Czartorinsky, Ministro de los Negocios extrangero_s, .]?a hecho dimisión de su empleo, y que el Príncipe Kourakin, cuyo modp.de densar es bien notorio , reemplazará al difunto Conde de VVoronz</t>
  </si>
  <si>
    <t>o 8 dias en el viage desde Petersburgo á Stralsund. Escriben de aquella, capital de la Rusia que el Príncipe Czartorinsky eÓnservará todos sus empleos, excepto el de Ministro de Relaciones exteriores. Por consiguiente continuará sirviendo su plaza en el: Senado y en el Consejo de Estado, y en la Junta</t>
  </si>
  <si>
    <t>Czartorisky del Ministerio, Príncipe</t>
  </si>
  <si>
    <t>Príncipe Czartorisky del Ministerio</t>
  </si>
  <si>
    <t>esperan en aquella capital á Mr. de Jacobi-Kleist, Ministro de Prusia en Inglaterra. El retiro del Príncipe Czartorisky del Ministerio de los negocios ex— trarigeros basta para tranquilizarnos en quanto á las intenciones de la Rusia. Corren voces de que muy en breve se publicará a nueva organización 2 de Alemania. Parec</t>
  </si>
  <si>
    <t>Czartorisky, Príncipe</t>
  </si>
  <si>
    <t>Príncipe Czartorisky</t>
  </si>
  <si>
    <t>eyno de Polonia ha sido inspirado al Emperador Alexandro por su Ministro de Negocios extrangeros el Príncipe Czartorisky, Polaco de origen, hijo de un personage que hizo gran papel emlas turbulencias de su patria, y por Madama Narischkin, hija; del Príncipe Czetwertinsky, uno de los sugetos que dese</t>
  </si>
  <si>
    <t>Czartory, Príncipe</t>
  </si>
  <si>
    <t>Príncipe Czartory</t>
  </si>
  <si>
    <t>or la Justicia, solo que. entónces;se. rompió el hielo, y se amontonó á dos brazas de altura.. El ¡ Príncipe Czartory sky,, Ministro de los Negocios extrangeros, ha solici tado y conseguido el permiso de dexar su empleo. .El Barón deBúdberg ha sido nombradojá’ra sucederle en su eminente plaza..Es</t>
  </si>
  <si>
    <t>Czatorinski, Princesa</t>
  </si>
  <si>
    <t>Princesa Czatorinski</t>
  </si>
  <si>
    <t>se privó del honor de comer á la mesa del Monarca por no saludar al Enviado Prusiano. El odio de la Princesa Czatorinski á la Prusia ha hecho un gran papel en las juntas de Poulowi , en las quales se meditó atacar la Prusia para obligarla á que entrase por fuerza en la coalición. Esta Señora nunca j</t>
  </si>
  <si>
    <t>Czatorinski, Príncipe</t>
  </si>
  <si>
    <t>Príncipe Czatorinski</t>
  </si>
  <si>
    <t>grathion, todas las hechuras del Príncipe Czatorinski, y aun la Emperatriz madre, han creído que aquel Príncipe respetable es un hombre falso, pérfido y extremadamente cumplimentero. Casi todos los dias ha comido S. A. con la Emperat</t>
  </si>
  <si>
    <t>Czetwertinsky, Príncipe</t>
  </si>
  <si>
    <t>Príncipe Czetwertinsky</t>
  </si>
  <si>
    <t>n personage que hizo gran papel emlas turbulencias de su patria, y por Madama Narischkin, hija; del Príncipe Czetwertinsky, uno de los sugetos que desean con el mayor ahinco la independencia de la Polonia. Los Franceses han evacuado ya enteramente la fortaleza de Hameln , y los Prusianos la ocupan aho</t>
  </si>
  <si>
    <t>Dachs, Pedro</t>
  </si>
  <si>
    <t>Pedro Dachs</t>
  </si>
  <si>
    <t>ispensa á las artes y á las ciencias. ESPAÑA. Madrid 12 de Setiembre. S. M. se ha servido nombrar á D. Pedro Dachs para la Canongía Penitenciaria de la Colegial de Guisona, Diócesi de Urgel, vacante por fallecimiento de D. Juan Alguacil y Daura: á D. Segismundo Pou para un Beneficio de: sangre</t>
  </si>
  <si>
    <t>Daendels, General</t>
  </si>
  <si>
    <t>General Daendels</t>
  </si>
  <si>
    <t>. Dedem de Geider, Ministro Holandés cerca de la Corte de Berlín , ha llegado al Haya, y también el General Daendels. Estos dias últimos llegaron á Zwolle muchos barcos cargados de municiones de guerra; una parte se encerró en los almacénjs, y el resto se llevó en 9 carros á Koeverden. SUIZA. JB</t>
  </si>
  <si>
    <t>de la artillería volante y de los cazadores. Se cree que el resto del exército marcha á Cíe ves. El General Daendels, que se halla en esta residencia, marchará un dia de estos á mandar las tropas que se juntan en las fronteras de la Frisia. Esta mañana saliéroa los dos batallones de la guardia p</t>
  </si>
  <si>
    <t>re el impuesto debido pot este mi sirio año, que no vence hasta i.° de Mayo de 1807. J Desde que el General Daendels llegó á Groninga, y tomó el mando de las tropas, se vio reynar una actividad increíble en el ramo de. la guerra en toda la provincia. Se.acopian provisiones en las plazas dé Delfz</t>
  </si>
  <si>
    <t>fensa de Ámsterdam. Ha llegado ya una parte deja artillería necesaria para armar estas baterías. El General Daendels, Comandante del cuerpo de exército que manda la provincia de Qroninga, ha entrado en la Frisia oriental, y se ha aposesionado de la ciudad.de Embden , donde ha establecido su quar</t>
  </si>
  <si>
    <t>Daíu</t>
  </si>
  <si>
    <t>r lá ruina total de la Emr-opá. - i El 19 nombró el Efirpérador lntendétíté geíieral del exército á Mr. Daíu , Consejero de Estado, quien debe organizar y dirigir el país eóníquistado &amp;c. ' AMERICA ESPAÑOLA. ■ . . Canicas i.° de Agosto. Avisado este-Gobierno *y Capitanía general por el M</t>
  </si>
  <si>
    <t>Dalmau, Francisco</t>
  </si>
  <si>
    <t>Francisco Dalmau</t>
  </si>
  <si>
    <t>por una oración en elogio de nuestra Soberana y de las Matemáticas. En seguida el profesor de ellas D. Francisco Dalmau demostró la utilidad y necesidad de esta ciencia con un elegante discurso. _ A continuación los examinadores D. Josef de Biedma, Capellán de Honor de S. M. en la Real Capilla de esta</t>
  </si>
  <si>
    <t>Dalmau, Pedro</t>
  </si>
  <si>
    <t>Pedro Dalmau</t>
  </si>
  <si>
    <t>Simón Azols: para otro Beneficio, vacante en la Parroquia de País, Diócesi de Gerona, por muerte de D. Pedro Dalmau, á D. Josef Fr i gol a: para una Ración de la Colegial de Daroca, Diócesi do Zaragoza, á D. Bernabé Sancho; y para un Beneficio de residencia de la Iglesia Parroquial de la villa</t>
  </si>
  <si>
    <t>Dalon, Antonio</t>
  </si>
  <si>
    <t>Antonio Dalon</t>
  </si>
  <si>
    <t>de Milicias disciplinadas de Españoles de Lima se ha servido, el Rey promover á Capitán ai Teniente D. Antonio Dalon; á Teniente de granaderos al de fusileros D. Alexo Estado , y á Subtenientes de bandera á los Cadetes D. Manuel Gallo y D. Antonio Buendia; y en el Regimiento de Milicias urbanas</t>
  </si>
  <si>
    <t>Dámaso Carbajo y Bueno</t>
  </si>
  <si>
    <t>ugar de Arcediano, en la Diócesi de Salamanca, vacante por muerte de D. Juan Gaspar de Arredondo, á D. Dámaso Carbajo y Bueno, E» el Regimiento de Caballería de la Reyna se ha servido el Rey conceder Tenencia al Alférez D. Manuel Muñoz: en el del Infante empleo de Portaestandarte al Sargento primero D. N</t>
  </si>
  <si>
    <t>Dámaso Carbaxo y Bueno</t>
  </si>
  <si>
    <t>anga, en la de Avila, vacante por ascenso de D, Pedro Estala á Canongía ae la Catedral de Toledo, á Don Dámaso Carbaxo y Bueno. En; el Regimiento de infantería de Saboya se ha servido el Rey promover á Subteniente de bandera al Sargento primero D. Joaquín López. S. M. ha tenido a bien nombrar al Subtenien</t>
  </si>
  <si>
    <t>Dámaso Puertas</t>
  </si>
  <si>
    <t>profesores: traducido del Idioma francés al castellano £or D. Dámaso Puertas, Cirujano en esta Corte: un tomo en 8.° Se hallará en la librería de Baylo, calle de las Carretas, á 6 rs. en pergamino y 8 en pasta. Año Cristiano del P. Croisset, añadido con la</t>
  </si>
  <si>
    <t>Dámaso Torrecilla, Antonio</t>
  </si>
  <si>
    <t>Antonio Dámaso Torrecilla</t>
  </si>
  <si>
    <t>pitales adquiriesen sus conocimientos. En cumplimiento pues de dicha providencia, la han ve chicado D. Antonio Dámaso Torrecilla, Médico de número de ellos y Catedrático, y D. Agustín Frutos, Cirujano de los mismos hospitales, y Demostrador público, sobre la angeologia 6 tratado de vasos para los Practicant</t>
  </si>
  <si>
    <t>Daniel O-Sullivany Subtenencia</t>
  </si>
  <si>
    <t>en el Regimiento de infantería de Ultonia Compañía al Teniente de granaderos, graduado de Capitán , D. Daniel O-Sullivany Subtenencia de bandera al Cadete D. Josef Joaquín Power: en el de GuadalaxaraTenencia al Subteniente D. Angel Manzano; y Subtenencia de bandera al Cadete D. Josef Menendez Cornellana: en el de G</t>
  </si>
  <si>
    <t>Danskoi, Coronel</t>
  </si>
  <si>
    <t>Coronel Danskoi</t>
  </si>
  <si>
    <t>El General Rutusow ha enviado al Coronel Danskoi al; quartel general Francés para el cange de los prisioneros. El dia 12 de Enero hubo en Moscow un incendio horroroso :íhan quedado hechas ceniza muchas tiendas, y se regula que d</t>
  </si>
  <si>
    <t>Daru</t>
  </si>
  <si>
    <t>chas toman differentes formas; y experimentan en el ¡espacio dé 2 y 3 horas unas mudanzas visibles. Mr. Daru, autor daüJa traducción en versó dé las obras de Horacio, ha sido nombrado uno de los 40 individuos de que se compone la Academia Francesa en la vacante de'Mri Collin de Harlevili</t>
  </si>
  <si>
    <t>Datoust, Mariscal</t>
  </si>
  <si>
    <t>Mariscal Datoust</t>
  </si>
  <si>
    <t>an estorbárselo, pues la mayor parte de él éstá prisionero. El Mariscal Latines está en Stettin, el Mariscal Datoust en Francfort del Oder, y el Príncipe Gerónimo en Silesia.</t>
  </si>
  <si>
    <t>David Bair y Sir Home Pofam</t>
  </si>
  <si>
    <t>; bre taña. -‘ ■ . •- r ... . ■' ■ . , ; i •. . Londres jp de Diciembre. ” La expedición que mandan Sir David Bair y Sir Home Pofam, y salió de la Madera el dia 3 de Octubre, se compone de 6 navios de línea , dos de: 50 cañones ,4 fragatas, 2 sloops ya euteirs, en todo 16 embarcaciones de guerra. Compónese ade</t>
  </si>
  <si>
    <t>David Baird</t>
  </si>
  <si>
    <t>do el navio Canaddl* Parece que el Gobierno tiene motivos poderosos para creer que la expedición de Sir David Baird ha tomado el Cabo de Buena-Esperanza. Acaban dé salir de Portsmouth para el Cabo 3 buques de transporte con bastimentos. _ '■'* ' : S. M. se ha dignado conferir la dignidad de Bar</t>
  </si>
  <si>
    <t>stener el interes publico, es echar por tierra á los fundamentos de la Constitución. Se asegura que Sir David Baird reemplazará en el empleo de Comandante general de las tropas de la India al General Lake, quien vuelve á Inglaterra con grandes caudales._El General Simcoe mandará en el Cabo de S</t>
  </si>
  <si>
    <t>David Baird y de Sir Popham</t>
  </si>
  <si>
    <t>Corregidor la relación adjunta de la ventaja que han conseguido las armas de S. M. á las órdenes de Sir David Baird y de Sir Popham.” ,, En el despacho del Almirantazgo d 27 de Febrero. Mr. Dowmann, Capitán del navio de S. M. el Diadema, ha llegado esta tarde con pliegos de Sir Home Popham, con fecha del Cabo</t>
  </si>
  <si>
    <t>David Baird y Str Home Popham</t>
  </si>
  <si>
    <t>, que han arribado á Portsmouth y á Falmputh, se ha tenido noticia de que la expedición mandada por Sir David Baird y Str Home Popham, se había hecho á la veía de S. Salvador el 28 de Noviembre para el Cabo de Buena Esperanza. Los gastos extraordinarios que ha ocasionado en la Jamayca la proclamación de la ley m</t>
  </si>
  <si>
    <t>David Baird, General</t>
  </si>
  <si>
    <t>General David Baird</t>
  </si>
  <si>
    <t>las 4 de la tarde llegaron á esta capital el Mayor Baird, enviado desde el exército con pliegos del General David Baird, y el Capitán Dowmann, enviado de la esquadra con pliegos del Conmodoro Popham, que contienen las circunstancias del importante suceso de la toma del Cabo de Buena-Esperanza. Apén</t>
  </si>
  <si>
    <t>David Dundas</t>
  </si>
  <si>
    <t>El Presidente es Lord Hutchinson: también es del Consejo el General Moore. Lord Hutchinson sucede á Sir David Dundas en el mando del distrito del Sur. Lord Moira mandará desde el Támesis hasta el Humber en la provincia de Yorck. Los avisos despachados á las Antillas por el Almirantazgo han llevado</t>
  </si>
  <si>
    <t>David Erskine</t>
  </si>
  <si>
    <t>isión o ausencia de Lord Mintó. El Rey ha nombrado al Conde de Lauderdale, de su Consejo privado: á Mr. David Erskine, Ministro plenipotenciario á los Estados-Unidos de América: á Mr. II. Grey, Comandante de las armas Británicas en el Cabo de Buena-Esperanza, y Gobernador de este establecimiento;</t>
  </si>
  <si>
    <t>David Kuh</t>
  </si>
  <si>
    <t>de Orador de la cíase de los Labradores á Mr. Carlos Ascher, y para igual plaza del Estado llano á Mr. David Kuh!. Ayer hizo el Rey la apertura de la Asamblea, y pronuncio desde su trono el discurso siguiente : „Señores y Hombres Alemanes, muy nobles, nobles, muy venerables, venerables, bien</t>
  </si>
  <si>
    <t>Dávila y Maza, Luis</t>
  </si>
  <si>
    <t>Luis Dávila y Maza</t>
  </si>
  <si>
    <t>Serenísimo Señor Infante D. Cárlos María, Hermano mayor de este Real Cuerpo._Dió principio ¿1 acto D. Luis Dávila y Maza, como Teniente de S. A. R., por una oración en elogio de nuestra Soberana y de las Matemáticas. En seguida el profesor de ellas D. Francisco Dalmau demostró la utilidad y necesida</t>
  </si>
  <si>
    <t>Dávila, Alonso</t>
  </si>
  <si>
    <t>Alonso Dávila</t>
  </si>
  <si>
    <t>D. Antonio Esteban, de Carabineros y D. Pedro Mártir * García; á Alférez de Carabineros al Alférez D. Alonso Dávila; y á Alféreces los Sargentos primeros D. Francisco Aldao, de Carabineros, y D. Juan Benito Piñeyro. También se ha dignado S. M. nombrar para la Regencia de la Audiencia de Quito,</t>
  </si>
  <si>
    <t>Dávila, Luis</t>
  </si>
  <si>
    <t>Luis Dávila</t>
  </si>
  <si>
    <t>tal, atendidas las proporciones que ofrece por su situación, clima y calidad de la primera materia. Don Luis Dávila, primer Director de la Sociedad, que ha propuesto esta Memoria, ofrece 1500 rs. al autor de ella, é imprimirla á su costa si merece la aprobación. Las Memorias se remitirán cerrad</t>
  </si>
  <si>
    <t>Davóasf, Mariscal</t>
  </si>
  <si>
    <t>Mariscal Davóasf</t>
  </si>
  <si>
    <t>102.5: Ef Mariscal Lannés está’en Stettin ; él Mariscal Davóasf en Francfort, y el Príncipe Gerónimo en Silesia. El Emperador ha pasado hoy revista á la división de dragones del Ger' neral Beaúmont ett lá plaza dél palacio de Berlw, y ha hechb v</t>
  </si>
  <si>
    <t>Davousf, Mariscal</t>
  </si>
  <si>
    <t>Mariscal Davousf</t>
  </si>
  <si>
    <t>rial en 3erUn 2 de Noviembre. ORDEN DEL DIA. Se hace saber al exército que Custrin se ha rendido al Mariscal Davousf. El General Gudin entró en la ciudad ayer á las 7 de la noche. S. M. ha visto con regocijo que los cuerpos de esta división, que tanto sobresalieron en la batalla -de Jena &gt; han t</t>
  </si>
  <si>
    <t>Davoust, General</t>
  </si>
  <si>
    <t>General Davoust</t>
  </si>
  <si>
    <t>etiran por Frankenhausen, y parece que intentan it á Magdeburgo; pero va al alcance la división del General Davoust.—La pérdida del exército Francés, en esta memorable batalla , no se sabe qual haya sido todavía; pero se sabe que no es grande» y que no hemos perdido ningún General. ESPAÑA. Madr</t>
  </si>
  <si>
    <t>tratado de su rendición. El Príncipe elogia en sumo grado ía caballería Eávara. El dia 10 entró el General Davoust con su división en Posen; y está muy satisfecho de las buenas disposiciones en que se hallan los Polacos, quienes hubieran sin duda alguna dado muerte á los Agentes Prusianos, si</t>
  </si>
  <si>
    <t>Davoust, Mariscal</t>
  </si>
  <si>
    <t>Mariscal Davoust</t>
  </si>
  <si>
    <t>el dia es como sigue : el Mariscal Bernadotte ocupa la Bohemia: el Mariscal Morder la , Moravia: el Mariscal Davoust ocupa á Presburgo, capital de la Hungría: el Mariscal Soult ocupa á.Viena: el Mariscal Ney ocupa la Carintia: el General Marmont la Styria; el Mariscal Massena la Carniola: el Mar</t>
  </si>
  <si>
    <t>ría del General Tiliy, compuesta de un Regimiento de cazadores y de 3 de húsares. 2.0 El cuerpo del Mariscal Davoust, acantonado en la Suabia Inferior sobre la margen izquierda del Danubio, y que llega hasta las orillas del Necker, comprebende la división del General Caffarelli, de 4 Regimientos</t>
  </si>
  <si>
    <t>Dávoust, Mariscal</t>
  </si>
  <si>
    <t>Mariscal Dávoust</t>
  </si>
  <si>
    <t>olo el cuerpo del Mariscal Soult pasará por Keli, el del Mariscal N-ey por el Nuevo-Brisac,. el del Mariscal Dávoust por Manheim , y los de los Mariscales Bernadotte y Mortierpor Maguncia. £n quanto á lo demas se sabe ya hace- algún tiempo qu.e no se dará ninguna orden para-que vuelva el exércit</t>
  </si>
  <si>
    <t>riscal Soult y las diferentes reservas de caballería lo pasarán por el puente de Strasburgo. El del Mariscal Davoust lo pasará por el puente de Spira. „La$ especulaciones del agiotage han hecho baxar considerablemente los fondos públicos en Londres”, dicen los papeles Ingleses; pero los amigos d</t>
  </si>
  <si>
    <t>el exército grande. El Príncipe de Pontecorbo hace iguales preparativos en Anspach, y el cuerpo del Mariscal Davoust hace lo mi'mo en Óettirgen, todo lo qual hace presumir que no tardarán en mudar de posición sus tropas.——Escriben de Polonia que las reliquias del exérciio Ru,:o de la Moravia, qu</t>
  </si>
  <si>
    <t>mpuesto de fa reserva del Gran Duque de Berg, del cuerpo del Mariscal Príncipe de Pontecorvo, y del Mariscal Davoust y de lar guardia Imperial, marcha por Bamberg sobre Cronach; llegará el 8 á Saalburgo, y de allí se encaminará por el mismo pueblo y Schleitz sobre Gera. La izquierda, compuesta de los cu</t>
  </si>
  <si>
    <t>y el cuerpo de exército del Mariscal Ney en Ncustadt ; en primera línea el cuerpo efe exército del Mariscal Davoust en Naumburgo: el del Mariscal Latines en Jena: el del Mariscal Augereau en Kala. El Príncipe Gerónimo, á quien SvM. ha conferido el mando de los aliados y de un cuerpo de tropas Báv</t>
  </si>
  <si>
    <t>ibido mas ioticias sobre la batalla del 14 del corriente, la qual se llamará la batalla de Jéna. El Mariscal Davoust, apostado antes de Naumburgo, fué quien ocupó las gargantas de Koesen, y empezó la acción: todo el dia estuvo batiéndose con un cuerpo de 60© hombres, donde se hallaba ef Rey de P</t>
  </si>
  <si>
    <t>derado de los Prusianos. He aquí la posición deL exército el dia 13----- El Gran Duque de Berg y el Mariscal Davoust, con las tropas de su mando, estaban en Naumburgo , teniendo algunas partidas sobre Leipsick y Halle.__ El cuerpo del Mariscal Príncipe de Ponte-Corvo caminaba áDornnburgo___ El d</t>
  </si>
  <si>
    <t>esfiladeros de Naumburgo y á apoderarse de las gargantea de Koesen; pero estaba ya prevenido por el Mariscal Davoust. Los otro* dos cuerpos que formaban una fuerza de 80© hombres, saliéron al encuentro del exército Francés, que marchaba de la cqiina de Jena. La niebla cubrió los exércitos dos ho</t>
  </si>
  <si>
    <t>rdido el exército Prusiano toda retirada y su línea de operaciones. Su izquierda, perseguida por el Mariscal Davoust, hacia su retirada sobre Weymar, á tiempo que su derecha y su centro se retiraban de Weymar sobre Naumburgo. La confusión fué muy grande; el Rey tuvo que retirarse atravesando el</t>
  </si>
  <si>
    <t>prisioneros, se toman bagages, cañones, y se apoderan de almacenes y municiones de toda especie. El Mariscal Davoust acabá de tomar 30 cañones: el Mariscal Soult 3© toneles de harina; y el Mariscal Bernadotte 1500 prisioneros: el exército enemigo está de tal modo disperso y mezclado con nuestras</t>
  </si>
  <si>
    <t>El Emperador marcha contra él, y mañana será acometido , si re mantiene en la posición de Halle. El Mariscal Davoust ha partido hoy para tomar posesión de Leipsick, y echar un puente sobre el Elba. La guardia. Imperial de á caballo acaba de juntarse con nosotros. ' Ademas de los almacenes consid</t>
  </si>
  <si>
    <t>pvp&amp;fo r :*&gt; t *« J -^b ■*! ‘ ut?n-J ubi! ir: DessatCjdLzibtd^Ootabres&lt;v. or h tu u*v bv.b-&gt; oi El Mariscal Dávoust llegó»fel.dia; lo ?á Witemberg^y sé apoderó déí puente que* había sobre el Elba^ial tiempO.mismo qqo&gt;oL enemigo iba £ incendiarle.- - ' ■ • ;¡ ; •• .&gt; * • *• -i . tb: . •&gt;;: ’ y;.</t>
  </si>
  <si>
    <t>. P.Qtsdam á,2$ de Octubre^' El cuerpo del Mariscal Latines entró el 24 en Pótsdam..— El cuerpo del Mariscal Davoust ha entrado hoy 25 á las 10 de la mañana en Berii'n. _— El cuerpo del Mariscal Príncipe.'de Ponte-Corvo se,halla ePiBrandemburgo. -—El cuerpo dei Mariscal Augereau entrará Berlín m</t>
  </si>
  <si>
    <t>apitulación, firmaron la que va adjunta á este diario : 500 caballos mas para nuestro exército., El Mariscal Davoust ha pasado el Oder en Francfort: los aliados Bávajos y Wirtembergeses, á las órdenes del Príncipe Gerónimo, marchan de Dresde á Francfort. El Rey de Prusia ha abandonado el Oder, p</t>
  </si>
  <si>
    <t>ndo, que llevaban estos trofeos. Ya llegan á 200 las que se han cogido desde la batalla de Jena. El Mariscal Davoust mandó cercar é intimar la rendición á la plaza de Custrin, que la executó inmediatamente, y su guarnición, que constaba de 4® hombres, quedó prisionera de guerra, volviéndose los</t>
  </si>
  <si>
    <t>e retirado hacia Lubeck. El Coronel Excelmans, Comandante del primer Regimiento, de cazador res del Mariscal Davoust, ha eritrado en Posnania, ..en Polonia, dónde le han recibido con sumo gozo ; las calles estaban tan llenas de gente, que apenas podia abrirse paso la caballería; y las ventanas e</t>
  </si>
  <si>
    <t>._l_La del! Mariscal. Augereáu, está: enBromberg, y á lá; viXta. de G.raudéritz. -_-Lá'división del Mariscal Davoust va desde Pesen la. vuelta. de Varsovia, adonde se dirige, el Gran Duque de Berg con la otra parte dé la caballería de reserva, compuesta de las divisiones de dragones de los Gener</t>
  </si>
  <si>
    <t>e de Galitzin, Conde de Tolstoy y Semborasky. La tercera división del exército grande, al mando del Mariscal Davoust, se ha puesto en marcha el 16 de Posen y de sus contornos á Varsovia: el 17 ha tomado posición en Sempoln. Sus avanzadas llegan mas allá deKutno, en el camino de Varsovia, y se ju</t>
  </si>
  <si>
    <t>ianos, prófugos de resultas de las jornadas de Jeaa y de Lubeck. POLONIA. Posen 20 de Noviembre. El Mariscal Davoust ha salido el 16 de esta ciudad con la mayor parte de su exército. El General Dómbrowsky, á su partida dé la ciudad, ha mandado levantar la gente suficiente para formar 4 Regimient</t>
  </si>
  <si>
    <t>eros. El 28 al anochecer entró el Gran Duque de Berg en Varsovia con su caballería; la división del Mariscal Davoust ha entrado el 29, y los Rusos habían repasado el Vístula quemando el puente. Es difícil pintar el entusiasmo de los Polacos: fue nuestra entrada en esta grande ciudad un triunfo :</t>
  </si>
  <si>
    <t>de Abad y Monseo, Manuel</t>
  </si>
  <si>
    <t>Manuel de Abad y Monseo</t>
  </si>
  <si>
    <t>. Francisco: á Don Fernando Ximenez Vallejo para una Canongía de la Metropolitana de Tarragona; y á D. Manuel de Abad y Monseo para la Dignidad de Arcediano de Barbastro en esta Catedral, y á D. Matías Guiu Arcediano de Junes en la misma Iglesia, con retención de las dosCanongías que disfrutan en la propi</t>
  </si>
  <si>
    <t>de Acedos Bravo, Juan</t>
  </si>
  <si>
    <t>Juan de Acedos Bravo</t>
  </si>
  <si>
    <t>dor de esta villa, y a instancia de los Síndicos nombrados por los acreedores á ía testamentaría de D. Juan de Acedos Bravo, se han mandado sacar á pública subasta, por término de 15 dias, varias fincas correspondientes á la misma, y son las siguientes; una viña</t>
  </si>
  <si>
    <t>de Acosta, Antonio Basilio</t>
  </si>
  <si>
    <t>Antonio Basilio de Acosta</t>
  </si>
  <si>
    <t>n González de Castro, en el término de 30 días contados desde él 3 del presente. Por providencia de D. Antonio Basilio de Acosta, Comisionado Regio para la venta de bienes eclesiásticos en el Obispado de Sigiienza, se están subastando las heredades pertenecientes á la obra pía que en la Catedral de dicha ci</t>
  </si>
  <si>
    <t>cia los recursos ordinarios de fuerza, llamados vulgarmente el Auto Gallego Seo. Por providencia de D. Antonio Basilio de Acosta, Juez Comisionado Regio para la venta de bienes eclesiásticos, y por la Comisión gubernativa para la de los pertenecientes á los establecimientos piadosos fundados en el Obispado</t>
  </si>
  <si>
    <t>encia de qué en el día siguiente próximo i su conclusión se celebrará el remate. Por providencia de D. Antonio Basilio de Acosta, Comisionado Regio paralé venta de bienes eclesiásticos de la ciudad de Siguenza y s«u Diócesi, se están subastando dos casas de la obra pía que en aquella Catedral fundó D. Andre</t>
  </si>
  <si>
    <t>consistoriales de dicha ciudad de Albarracin la mañana del dia 29 del presente. Por providencia de D. Antonio Basilio de Acosta, Comisionado Regio parí» la venta de bienes eclesiásticos en el Obispado de Sigiienza, se están subastando 3 casas de la memoria intitulada de la Salve, fundada en la Catedral de</t>
  </si>
  <si>
    <t>turas en el oficio de D. Julián Lanciego, Escribano privativo de dicha comisión. Por providencia de D. Antonio Basilio de Acosta, Comisionado Regio para la venta de bienes eclesiásticos de la ciudad y Obispado de Sigiienza, se están subastando 154 fanegas y 10 celemines de sembradura sitas en término del lu</t>
  </si>
  <si>
    <t>revi» • niéftdose de que se ha señalado el dia 16 dtl presente para su remate. 'Por providencia dé; D. Antonio Basilio de Acosta * Comisionado Regio para la venta de bienes eclesiásticos del Obispado de Sigüenza, se están subastando las .fincas siguientes: 309 medias y 4$ celemines de sembradura, en término</t>
  </si>
  <si>
    <t>4 los 30 señalados , se ve-rificará el de remate de las que estuvieren puestas. Por providencia;de D. Antonio Basilio de Acosta, Comisionado Regio, para &gt; la venta de bienes eclesiásticos en el Obispado de Sigiienza,se están subastando, las . fincas siguientes;, situadas en término de dicha ciudad: una her</t>
  </si>
  <si>
    <t>de Basca ; y en Madrid á D. Gabriel de Zavala, en la calle: del Cármen, mira. 7. Por providencia de D. Antonio Basilio de Acosta, Comisionado Regio para la venta de bienes eclesiásticos en elObispado de Sigíienza, se están.subastando.las car sas siguientes : una en la calle de Villegas tasada en 58,585 rs..</t>
  </si>
  <si>
    <t>ién quisiere hacer pos* tura acuda por ía escribanía de D. Julián González Saez. Por providencia de D. Antonio Basilio de Acosta, Comisionado Real' para la enagenacíon de bienes eclesiásticos, se están subastando y9 inedias y 4 celemines</t>
  </si>
  <si>
    <t>uimula de la Sierra, en el Reyno de Goatemala, á D. Manuel Viilarroel y Morales, Por providencia de D. Antonio Basilio de Acosta, Comisionado Regio para la venta de bienes eclesiásticos en el Obispado de Sigiienza, se están subastando las heredades sitas en término de dicha ciudad, pertenecientes á las cape</t>
  </si>
  <si>
    <t>de Acostay Comisionado Keefo, Antonio Basilio</t>
  </si>
  <si>
    <t>Antonio Basilio de Acostay Comisionado Keefo</t>
  </si>
  <si>
    <t>4 dentro del* término de- 30 dias contados desdé ,27 dé Setiembre próximo-pasado.Por providencia de D. Antonio Basilio de Acostay Comisionado Keefo para la venta? de: bienes- eclesiásticos en el Obispado de Sigüenza, se están subastando las fincas, siguientes, sitas, en término dé dicha ciudad y su partido,, á saber r una. ca</t>
  </si>
  <si>
    <t>de Aguirre, Agustín</t>
  </si>
  <si>
    <t>Agustín de Aguirre</t>
  </si>
  <si>
    <t>eros D. Francisco Diez Barroso; á Tenientes ds granaderos.*á los? de fusileros D. Rafael .Muntero y D. Agustín de Aguirre ; á Tenientes á IosSubtenientes de granaderos D. Manuel Vilianueva y D. Josef Viya,»:y., al de fusileros D. Josef Veles ; á Subtenientes de granaderos á, los de fusileros D. Tuis</t>
  </si>
  <si>
    <t>de Ahdíá y Vareia, Manuel</t>
  </si>
  <si>
    <t>Manuel de Ahdíá y Vareia</t>
  </si>
  <si>
    <t>pitanes á los Tenientes D. Vicente García y D. Bernabé Valdivieso: á Tenientes á los Sub- tenientes D. Manuel de Ahdíá y Vareia, p. Domingo Vaidés y D. Pedro -Agustín Galea; á Subtenientes á los soldados distinguidos B. Juan Boza^ D..Ignacio González y D. Santiago de Andía y Vareia; iy á Subteniente de ban</t>
  </si>
  <si>
    <t>de Albini, Barón</t>
  </si>
  <si>
    <t>Barón de Albini</t>
  </si>
  <si>
    <t>le cuenta de las disposiciones referidas: la copia de una carta dirigida por el Barón de Albini, Ministro Directorial, comunicando á la Dieta Germánica el nombramiento de coadjutor que S. A. el Elector Archi-Canciller babia hecho en la persona del Cardenal Fesch ; los dos nombramiento</t>
  </si>
  <si>
    <t>l testimonio de la toma de posesión, ha exhibido sus poderes en debida forma el Barón de Albini, Ministro de Estado de S. A. Erna., y ha mandado que sigan sirviendo sus empleos todos los sugetos nombrados anteriormente, y lo mismo ios individuos de los Tribunales. GRAN BRETAÑA. Londre</t>
  </si>
  <si>
    <t>de Alcalá Galiano, Antonio</t>
  </si>
  <si>
    <t>Antonio de Alcalá Galiano</t>
  </si>
  <si>
    <t>n la Sala de Alcaldes de mi Casa y Corte, nombro al supernumerario D. Francisco López Lisperguer, á D. Antonio de Alcalá Galiano, Oidor de la Cnancillería de Granada, y al primer Teniente de la villa de Madrid D. Manuel Vicente de Torres Cónsul, Oidor honorario de la propia Chancillería: para la Tenencia de</t>
  </si>
  <si>
    <t>de Alfaraz, Luis</t>
  </si>
  <si>
    <t>Luis de Alfaraz</t>
  </si>
  <si>
    <t>ceder en el Regimiento de infantería Inmemorial del Rey Ayudantía al Teniente, graduado de Capitán, D. Luis de Alfaraz: en el de .Asturias .Subtenencia de .bandera .al Cadete D. Juan Sánchez. El Rey ha nombrado Coronel del Regimiento provincial de Toro al Capitán de infantería D. Miguel María Jaló</t>
  </si>
  <si>
    <t>de Amezaga, Juan Miguel</t>
  </si>
  <si>
    <t>Juan Miguel de Amezaga</t>
  </si>
  <si>
    <t>ría á D. Manuel de Terrazas: para la Tesorería á D. Francisco Antonio de Areta: para la. Canongía á D. Juan Miguel de Amezaga; y para la Ración, al Medio-Racionero D. Pedro Josef Mendez. Para el Arcedianato de la de Goatemala á D. Antonio Carbonell: para la Maestrescolía á D. Antonio García: para la Teso</t>
  </si>
  <si>
    <t>de Andía y Vareia, Gregorio</t>
  </si>
  <si>
    <t>Gregorio de Andía y Vareia</t>
  </si>
  <si>
    <t>mover á Comandante de las quiltro Compañías-de Milicias disciplinadas de infantería de Valparaíso á Don Gregorio de Andía y Vareia, Capitán de las mismas; á Capitanes á los Tenientes D. Vicente García y D. Bernabé Valdivieso: á Tenientes á los Sub- tenientes D. Manuel de Ahdíá y Vareia, p. Domingo Vaidés y D.</t>
  </si>
  <si>
    <t>de Andía y Vareia, Santiago</t>
  </si>
  <si>
    <t>Santiago de Andía y Vareia</t>
  </si>
  <si>
    <t>edro -Agustín Galea; á Subtenientes á los soldados distinguidos B. Juan Boza^ D..Ignacio González y D. Santiago de Andía y Vareia; iy á Subteniente de bandera á D„ Luis del Pomar, también soldado distinguido de las mismas Compañías. ..... ■ ; r. El dia 10 del corriente díó fondo en el puerto dé Gijon, á les</t>
  </si>
  <si>
    <t>de AndiHon, Jacinto</t>
  </si>
  <si>
    <t>Jacinto de AndiHon</t>
  </si>
  <si>
    <t>haya precedido pacto especial y exclusivo. En la Gazeta púm. 96 , pág, 10.18, iín. 14, donde dice á D. Jacinto de AndiHon., debe decir Antilhn. mi- i imi pjipj Por el correo de 15 de Enero próximo pasado remitió D. Manuel Gil bantihañes 6 vales Reales de 150 pesos, creación de i.° de Enero, endosados</t>
  </si>
  <si>
    <t>de Antillon, Isidoro</t>
  </si>
  <si>
    <t>Isidoro de Antillon</t>
  </si>
  <si>
    <t>zón de los portes. ^ . Mapa mundi según las mas modernas observaciones y descubrimientos: publícalo D. Isidoro de Antillon. Se han tenido presentes para construirlo los viages y navegaciones mas célebres de los Españoles, Ingleses y Franceses á las islas dei Gran Océano, tierras ó mares circumpolares,</t>
  </si>
  <si>
    <t>de Antillon, Jacinto</t>
  </si>
  <si>
    <t>Jacinto de Antillon</t>
  </si>
  <si>
    <t>Señora : á D. Josef Bernier para otro de la Parroquial de la villa de Agramunt, Diócesi de Urgel: á D. Jacinto de Antillon para una Canongía de la Colegiata de Mora, Diócesi de ‘Teruel; y á D. Ignacio Torres y de Amat para el Deanato de la Catedral de Gerona, vacante por promoción de D. Luis Martínez</t>
  </si>
  <si>
    <t>de Apodaca, Juan</t>
  </si>
  <si>
    <t>Juan de Apodaca</t>
  </si>
  <si>
    <t>go que le habían dado los Ingleses, lo que observó desde la playa el Comandante general del Arsenal D. Juan de Apodaca: llega en la misma noche ai puerto de Bonanza, y entrega sin menoscabo al siguiente dia los cargamentos en esta Comandancia: con orden de ella se dirige por tierra á la costa con</t>
  </si>
  <si>
    <t>de Aragón Chamorro, Bartolomé</t>
  </si>
  <si>
    <t>Bartolomé de Aragón Chamorro</t>
  </si>
  <si>
    <t>: como otras 10 en el mismo sitio, en 59 rs. en venta, y 180 en renta. Memoria de misas fundada por Don Bartolomé de Aragón Chamorro. Un pinar compuesto como de 10 suertes en el sitio de la torre de los Arquillos, 4 660 rs. cada suerte, en 6600 rs. en venta, y 198 en renta: como 50 fanegas de tierra en el sitio</t>
  </si>
  <si>
    <t>de Araoz, Juan</t>
  </si>
  <si>
    <t>Juan de Araoz</t>
  </si>
  <si>
    <t>buenos servicios del Teniente General de su Real Armada y Capitán General honorario de Departamento D. Juan de Araoz, y haciéndose cargo de que tanto por ellos como por otras causas dignas del mayor aprecio es justo proporcionarle algún mas descanso, se ha servido relevarle de la Comandancia de</t>
  </si>
  <si>
    <t>de Arboré y O-Brien, Antonio</t>
  </si>
  <si>
    <t>Antonio de Arboré y O-Brien</t>
  </si>
  <si>
    <t>y concluirá en fin de Julio de 1812 , las quales tocaron á los Caballeros siguientes. i..a Al Sr.. D. Antonio de Arboré y O-Brien, Veinteiquatro de h ciudad de Sevilla. 2.a Al Sr. D. Francisco de Paula García de Quesáda, Veinteiquatro de la ciudad de Jaén. 3.a Al Sr. D. Francisco Sánchez Gadeo, Veinteiquatro</t>
  </si>
  <si>
    <t>de Arce, Antonio</t>
  </si>
  <si>
    <t>Antonio de Arce</t>
  </si>
  <si>
    <t>o de las hostilidades, destinándole de segundo de la que se armó en el puerto de Ferrol al mando de D. Antonio de Arce. Con ella, yen unión de la esquadra combinada, del cargo de los Generales D. Luis de Córdoba y el Conde de Orvilliers* hizo la primera campaña de aquella guerra contra la Gran Bre</t>
  </si>
  <si>
    <t>de Arcos, Sebastián</t>
  </si>
  <si>
    <t>Sebastián de Arcos</t>
  </si>
  <si>
    <t>servido conceder Tenencia en el Regimiento de infantería de Cantabria al Subteniente de granaderos D. Sebastian de Arcos; y Subtenencias de bandera en el de Irlanda al Cadete del Inmemorial del Rey D. Francisco Vergara, y en el de la Princesa al Cadete del mismo cuerpo D. Ramón Grases. En el Regimie</t>
  </si>
  <si>
    <t>de Aréjula, Juan Manuel</t>
  </si>
  <si>
    <t>Juan Manuel de Aréjula</t>
  </si>
  <si>
    <t>a Mayor. Breve descripción de la fiebre amarilla padecida estos últimos años en las Andalucías, por D. Juan Manuel de Aréjula, Doctor en Medicina y Cirugía &amp;c. En este tratado, impreso de orden de S. M., se habla con claridad de lo que es la fiebre amarilla; se exponen las señales que la distinguen de qu</t>
  </si>
  <si>
    <t>de Arespacochaga, Joaquín María</t>
  </si>
  <si>
    <t>Joaquín María de Arespacochaga</t>
  </si>
  <si>
    <t>en el batallon de infantería ligera de Voluntarios de Tarragona á Subteniente de bandera al Cadete D. Joaquín María de Arespacochaga. S. M. se.ha servido nombrar á D. Antonio Mediano Sartolo para la Vara de Alcalde mayor de la villa de Brozas, territorio de la Orden de Alcántara,Me primera clase ó entrada. En A</t>
  </si>
  <si>
    <t>de Areta, Francisco Antonio</t>
  </si>
  <si>
    <t>Francisco Antonio de Areta</t>
  </si>
  <si>
    <t>de ¿Charcas á D. Juan Manuel Berdeja: para la Ghantría á D. Manuel de Terrazas: para la Tesorería á D. Francisco Antonio de Areta: para la. Canongía á D. Juan Miguel de Amezaga; y para la Ración, al Medio-Racionero D. Pedro Josef Mendez. Para el Arcedianato de la de Goatemala á D. Antonio Carbonell: para la</t>
  </si>
  <si>
    <t>de Arias, Juan</t>
  </si>
  <si>
    <t>Juan de Arias</t>
  </si>
  <si>
    <t>manos. Se siguió el examen de los mas distinguidos alumnos, de ia clase de Humanidades, y lo fuéron D. Juan de Arias, D. Josef María Bermudez, D. Jqsef Antonio Arespacochaga y D. Josef'María Tenorio. El primero arengó á la Sociedad, y el segundo leyó una oda. Después fuéron preguntados cada uno</t>
  </si>
  <si>
    <t>Pablo de los Santos; fá Ayudante al Teniente de granaderos D. Diego Grrego-; á Teniente al Alférez D. Juan de Arias; y á Portaguiones á D. Juan Félix Pctriarena y D. Santos*Zaldival, soldados distinguidos del mismo cuerpo. Para celebrar las diez extracciones ordinarias de la Real lotería en «I</t>
  </si>
  <si>
    <t>de Arjona, Manuel María</t>
  </si>
  <si>
    <t>Manuel María de Arjona</t>
  </si>
  <si>
    <t>os de la comisión repartieron á los concurrentes exemplares impresos del Reglamento ; y por último, D. Manuel María de Arjona, Canónigo Penitenciario de la Catedral de Córdoba, leyó una oda dedicada al Excmo. Sr. Príncipe de la Paz, restaurador de la gloria Española, con motivo de la fundación de esta Es</t>
  </si>
  <si>
    <t>de Armijo, Francisco</t>
  </si>
  <si>
    <t>Francisco de Armijo</t>
  </si>
  <si>
    <t>to primero D. Nicolás Coral.: en el de dragones del Rey Ayudantía al Teniente, graduado de Capitán, D. Francisco de Armijo: Tenencia en el de Almansa al Alférez D. Joaquín Estado; y en el de húsares Españoles empleo de Alférez al Sargento primero del de cazadores: voluntarios de España D. Antonio Lanz</t>
  </si>
  <si>
    <t>de Arredondo, Juan Gaspar</t>
  </si>
  <si>
    <t>Juan Gaspar de Arredondo</t>
  </si>
  <si>
    <t>e, titulado Media-Ración, del lugar de Arcediano, en la Diócesi de Salamanca, vacante por muerte de D. Juan Gaspar de Arredondo, á D. Dámaso Carbajo y Bueno, E» el Regimiento de Caballería de la Reyna se ha servido el Rey conceder Tenencia al Alférez D. Manuel Muñoz: en el del Infante empleo de Portaestand</t>
  </si>
  <si>
    <t>de Arsú, Tomás</t>
  </si>
  <si>
    <t>Tomás de Arsú</t>
  </si>
  <si>
    <t>Boca y Casa D. Vicente Lanz, D. Manuel Salazar, D. Manuel Pascual y Oto, D. Benito de Prado Ulloa, D. Tomas de Arsú, D. Pedro Ladrón de Guevara, D. Juan de Xaramillo, D. Carlos Brasé, D. Josef García Aleson, Don Pedro Josef de Marcoleta, D. Dionisio Hurtado de Mendoza y D. Josef Navarro del Dos</t>
  </si>
  <si>
    <t>de Asas Venero, Manuel</t>
  </si>
  <si>
    <t>Manuel de Asas Venero</t>
  </si>
  <si>
    <t>villa de Benafarces, en la Diócesi de Zamora, por fallecimiento de D. Serafín Francisco Palomino, á D. Manuel de Asas Venero. La ciudad de Mérida ha ofrecido al Rey nuestro Señor en las circunstancias del dia, por medio del Excmo. Sr.Generalísimo Príncipe de la Paz, el arbolado de la dehesa llamada de l</t>
  </si>
  <si>
    <t>de Asas, Francisco</t>
  </si>
  <si>
    <t>Francisco de Asas</t>
  </si>
  <si>
    <t>Corona, y de Ordenes Militares Subtenencias de bandera á los Cadetes B'. Pablo Ruiz de la Bastida y D. Francisco de Asas. El Rey se hai.servidof conceder á su Ayuda de. Cámara D. Antonio Ballesteros agregación de Capitán en el Regimiento de Milicias Provinciales de Toledo. S. M. se ha servido confer</t>
  </si>
  <si>
    <t>de Ascarate, Fernando</t>
  </si>
  <si>
    <t>Fernando de Ascarate</t>
  </si>
  <si>
    <t>ea. Barcelona..... . Sres, Huguet y Dupré. Torios a... ...... D. Buenaventura deOórdoba. Tiídela.,, D. Fernando de Ascarate, Valencia..,.,.,.,,' D.; Pedro Beyeya, Alicante....... D. Pedro Malsona ve, Burgos.......... D. Narciso Gonzalo del Rio, Malaga..,..,,.. D. Jayme Setta, Loustannau y Compañía. Cád</t>
  </si>
  <si>
    <t>de Ascargota y Ramírez, Manuel María</t>
  </si>
  <si>
    <t>Manuel María de Ascargota y Ramírez</t>
  </si>
  <si>
    <t>toria natural: obra elemental, coordinada y publicada en francés por J. F. Dubroca, y traducida por D. Manuel María de Ascargota y Ramírez *. 4 tomos en 8.° mayor, con 12 estampas/ que representan 179 figuras, y uñ mapa-mundi. Contiene esta preciosa bbrita quanto hay digno de saberse en toda la historia natural; y el</t>
  </si>
  <si>
    <t>de Astaírloa, Pedro Pablo</t>
  </si>
  <si>
    <t>Pedro Pablo de Astaírloa</t>
  </si>
  <si>
    <t>s órdenes. Eti (lá parte-litbrária principia la: contestación de D: Git Cano Moya á la respuesta de D. Pedro Pablo de Astaírloa 'sobré la significación dé las letras, sílábas y voces de la lengua vascongada. ...... ‘ * ' ’ *</t>
  </si>
  <si>
    <t>de Astarloa, Pablo Pedro</t>
  </si>
  <si>
    <t>Pablo Pedro de Astarloa</t>
  </si>
  <si>
    <t>ívó. É&gt;e España, ranas ftrdénes Reales &amp;c.;; la conclusión de la contestación de D, Gil Cano Moya á D. Pablo Pedro de Astarloa; noticia de los honores'fán.ebres hechos al Almirante Nelson, de sus disposiciones testamentarias &amp;c. . .. ■— - -■ ■ ——— í------- ---■■ ---' ■' rr.-:-. r:—-—■- . D. Buenaventura M</t>
  </si>
  <si>
    <t>de Astrearena, Pedro</t>
  </si>
  <si>
    <t>Pedro de Astrearena</t>
  </si>
  <si>
    <t>ovincia de D. Miguel García de la Madrid. . * Para hacer pago á los acreedores á los bienes del Sr. D. Pedro de Astrearena, *&gt;;Marques que füé*de Murillo, se han mandado sacar á pública subasta, por término , de 30 dias contados desde el 7 del presente, una casa sita en esta Corte, en la pla-zúeía de</t>
  </si>
  <si>
    <t>la, y Juez en virtud de Real orden de ios autos de la ocurrencia de acreedores a los bienes del Sr. D. Pedro de Astrearena, Marques que fué de Murillo, ha señalado el día 29 del presente mes de Mayo para celebrar junta general, á ías 5 de 1 at tarde, en la sala contaduría del patronato de' los Si'es:</t>
  </si>
  <si>
    <t>de Atiala, Manuel</t>
  </si>
  <si>
    <t>Manuel de Atiala</t>
  </si>
  <si>
    <t>tos, y pedí* lo que les convenga sobre el cobro del referido crédito. Se desea saber el paradero de D. Manuel de Atiala, que residía en Madrid por los años de 1B00 y 1801, desdé dónde parece se dirigió á Zaragoza, para comunicarle cierto asunto qué le interesa, lo que se executará en la librería dé</t>
  </si>
  <si>
    <t>de Aula y Aragiies, Salvador</t>
  </si>
  <si>
    <t>Salvador de Aula y Aragiies</t>
  </si>
  <si>
    <t>isiere hacer postura á quaiquiera de dichas fincas acuda á la escribanía de ia comisión, que exerce D. Salvador de Aula y Aragiies; en la inteligencia de que los remates se executarán en las Casas consistoriales de dicha ciudad de Albarracin la mañana del dia 29 del presente. Por providencia de D. Antonio Bas</t>
  </si>
  <si>
    <t>de Aula y Aragües, Salvador</t>
  </si>
  <si>
    <t>Salvador de Aula y Aragües</t>
  </si>
  <si>
    <t>fanegas&lt;todas en secano), en 1440 rs. Quien quisiere hacer postura lo podrá verificar por medio de D. Salvador de Aula y Aragües, Escribano de la comisión; con .la prevención de que se ha señalado el dia 22 del presente para sus jenwttes. A voluntad de su dueño, y en virtud de Real facultad cometida al Sr.</t>
  </si>
  <si>
    <t>de Avila y Zúñigt, Luis</t>
  </si>
  <si>
    <t>Luis de Avila y Zúñigt</t>
  </si>
  <si>
    <t>Comentarios.de la guerra de Alemania hecha por el Emperador Carlos r en el año de 154Ó y 1547, por D. Luis de Avila y Zúñigt,Comendador mayor de Alcántara: un tomo en 8.° Esta obrita mereció tal aceptación, que á poco de publicada se traduxo en latín,francés ,é italiano, y de ella se han hecho.varias ed</t>
  </si>
  <si>
    <t>de Baibuena, Bernardo</t>
  </si>
  <si>
    <t>Bernardo de Baibuena</t>
  </si>
  <si>
    <t>Pedro Fernandez de Velasco, D. Juan Sebastian de Elcano, Fr. Melchor Cano, el P. Alfonso Salmerón, D. Bernardo de Baibuena y D. Felipe Gil de Taboada, con un epítome de sus vidas.. Se hallará, con los anteriores, en la Calcografía establecida en la Imprenta Real. Tres Memorias, i;a sobre &lt;pl empuje der la</t>
  </si>
  <si>
    <t>de Balmis, Francisco Xavier</t>
  </si>
  <si>
    <t>Francisco Xavier de Balmis</t>
  </si>
  <si>
    <t>re próximo pasado tuvo la honra de besar la mano al Rey nuestro Señor el Dr. D. Francisco Xavier de Balmis, Cirujano honorario de su Real Cámara*, que acaba de dar la vuelta al mundo Con el único-objeto de llevar a todos los dominios ultramarinos de la Monarquía-Es^ pañola, y á los de otras dive</t>
  </si>
  <si>
    <t>de Barcenilla y Langayo, Cipriano Antonio</t>
  </si>
  <si>
    <t>Cipriano Antonio de Barcenilla y Langayo</t>
  </si>
  <si>
    <t>socio D. Raymundo de Santander, se distribuyó el primero á D. Félix Fernandez Cavada, el segundo á D. Cipriano Antonio de Barcenilla y Langayo, sorteado con D. Julián Cabañas, á quien de consiguiente le correspondió el tercero. En la de Agricultura, dirigida por el socio D. Patricio Pastor, se dió premio de primera clase</t>
  </si>
  <si>
    <t>de Barrios, Antonio María</t>
  </si>
  <si>
    <t>Antonio María de Barrios</t>
  </si>
  <si>
    <t>D. Fulgencio Ezquerra, que vive en la plazuela de la Leña, casa núm. 13, desea saber el paradero de D. Antonio María de Barrios, que estuvo en esta Corte por Noviembre de 1802 , pues tiene que comunicarle asuntos de importancia. Se desea saber de la existencia, paradero ó fallecimiento de D. Salvador Flore</t>
  </si>
  <si>
    <t>de Batista, Pedro Juan</t>
  </si>
  <si>
    <t>Pedro Juan de Batista</t>
  </si>
  <si>
    <t>o nombrar para la Dignidad de Maestrescuela de ta Catedral de Panamá , vacante por fallecimiento de D. Pedro Juan de Batista, á D. Juan Josef Martínez; y para la Tesorería que este dexa al Magistral. D. Jua». Josef CabarCas. El remate dé la casa sita én la calle del Amor de Dios, nimí. 1, manz. 237, tas</t>
  </si>
  <si>
    <t>de Baviera, Carlos (príncipe)</t>
  </si>
  <si>
    <t>Príncipe Carlos de Baviera</t>
  </si>
  <si>
    <t>París 20 de Febrero. El Príncipe Carlos de Baviera, hijo segundo de S. M., ha sido nombrado Coadjutor del Gran Maestre de la Orden de Malta. El Gran Canciller y el Tesorero mayor de la Legión de Honor gozarán en todas las circunst</t>
  </si>
  <si>
    <t>de Beauharnois, Francisco</t>
  </si>
  <si>
    <t>Francisco de Beauharnois</t>
  </si>
  <si>
    <t>ada una de 2500 infantes y 400 caballos. ITALIA. Florencia 20 de Marzo. Ayer día de S. Josef, S. E. Mr. Francisco de Beauharnois celebró la fiesta de S. M. la .Emperatriz Josefina. Había reunido en un banquete magnífico todo el cuerpo diplomático, los principales empleados de la Corte, el Estado mayor de la</t>
  </si>
  <si>
    <t>de Benevento, Príncipe</t>
  </si>
  <si>
    <t>Príncipe de Benevento</t>
  </si>
  <si>
    <t>Secretario, de Estado marchó el mismo dia, y hoy debe haber seguido la Corte el Príncipe de Benevento, Ministro de Relaciones exteriores. El Mariscal Lannes, el General Clarke, y la mayor parte de ios Oficiales generales que se hallaban en París, han partido para el exército grande. La indi</t>
  </si>
  <si>
    <t>de Borja, Francisco</t>
  </si>
  <si>
    <t>Francisco de Borja</t>
  </si>
  <si>
    <t>ferir el Gobierno militar y político de la Plaza de Cartagena ai Capitán General de. la Real Armada D. Francisco de Borja. El Rey se ha servido nombrar para la Vara de Alcalde mayor de la villa de Manzanares, en el territorio de la Orden de Calatrava, á D. Juan Josef Miret y Sadaba. * En América. En</t>
  </si>
  <si>
    <t>D. Félix Tornero3 Maestro de Primeras Letras del Real Colegio de esta ciudad, propuso al Excmo. Sr. D. Francisco de Borja, Capitán General, Gobernador Político y Militar dé está- plaza, tener un certamen, que presidió S. E. en los dias 29 y .30 de Mayo en la Iglesia de S. Isidoro del Convento de Sto.</t>
  </si>
  <si>
    <t>de Brea, Manuel Antonio</t>
  </si>
  <si>
    <t>Manuel Antonio de Brea</t>
  </si>
  <si>
    <t>ra instrucción de los Caballeros Seminaristas del Real Seminario de Nobles de Madrid por su Maestro D. Manuel Antonio de Brea, Maestro mayor y Examinador de todos los demas del Reyno en este arte. Se hallarán enquadernados en pasta en la librería de Ximenez, plazuela de los Canos del Peral, á 20 rs. La o</t>
  </si>
  <si>
    <t>de Bringas, Francisco Antonio</t>
  </si>
  <si>
    <t>Francisco Antonio de Bringas</t>
  </si>
  <si>
    <t>25 piezas de bayetones de algodón con 700 varas, valuadas en 1400 pesos, que eí Comisario Ordenador D. Francisco Antonio de Bringas puso en Madrid en 13 de Diciembre á disposición de S. E. para el digno objeto de socorrer con. prendas de vestuario á los hombres de mar que se hallaron en ei combate de 21 de Oct</t>
  </si>
  <si>
    <t>de Bruna y Ahumada, Francisco</t>
  </si>
  <si>
    <t>Francisco de Bruna y Ahumada</t>
  </si>
  <si>
    <t>es. ESPAÑA. Madrid 28 de Octubre. En atención á los dilatados y distinguidos méritos y servicios de Don Francisco de Bruna y Ahumada, Oidor Decano de la Real Audiencia de Sevilla, se ha servido S. M. concederle los honores del Consejo de Estado. En el Regimiento de infantería de Córdoba se ha servido el Rey pro</t>
  </si>
  <si>
    <t>de Büstamante, Francisco Antonio</t>
  </si>
  <si>
    <t>Francisco Antonio de Büstamante</t>
  </si>
  <si>
    <t>lugar. ' ■ . ' ' JEn el Real y Supremo Consejo de las Indias están pendientes y se siguen autos por D. Francisco Antonio de Büstamante y consortes, vecinos del valle de Toran</t>
  </si>
  <si>
    <t>de Bustos y Angúlo, Ventura</t>
  </si>
  <si>
    <t>Ventura de Bustos y Angúlo</t>
  </si>
  <si>
    <t>hacerse con esta obra se siguen vendiendo cada tomo de por sí. El Conservador de la dentadura, por D. Ventura de Bustos y Angúlo, Cirujano dentista en esta Corte. Habiendo observado el autor en la práctica de muchos años, que por el demasiado abandono que hay en esta parte del aseo y cuidado de la dentadura</t>
  </si>
  <si>
    <t>de Cabanellas, Miguel</t>
  </si>
  <si>
    <t>Miguel de Cabanellas</t>
  </si>
  <si>
    <t>hecho en el hospital, de Antiguones de 'Cartagena, por el . Médico honorario de Cámara de' S. lví. D. Miguel de Cabanellas, y1 otros 50 individuos, inclusos dos hijos suyos, los quales se encerraron por 40 dias en aquel hospital, en que.habían perecido los contagiados de mayor gravedad, y solo había s</t>
  </si>
  <si>
    <t>de Calva, Matías</t>
  </si>
  <si>
    <t>Matías de Calva</t>
  </si>
  <si>
    <t>en la propia Catedral, vacante por ascenso de D. Ramón Escriehe á una Capellanía de Reyes Nuevos, á D. Matías de Calva, Dignidad de Arcipreste de la Colegial de Medinaceli: para la Ración, vacante en la Catedral de Avila por fallecimiento de Don Vicente Escrich, á D. Pablo Antonio Zapata, Colector</t>
  </si>
  <si>
    <t>de Camino, Joaquín Antonio</t>
  </si>
  <si>
    <t>Joaquín Antonio de Camino</t>
  </si>
  <si>
    <t>e la viuda é hijos de Santander, y en Salamanca en la de Reye&amp; , :t : Respuesta al Canónigo de Lugo D. Joaquín Antonio de Camino que ien una .memoria académica ha emprendido despojar á la Iglesiia de Santiago de sus y,©tos, y aplicárselos á la suya. Se desvanece una y otra pretensión^ ;.y se cofrigen•varias</t>
  </si>
  <si>
    <t>de Campo y Oliva, Juan</t>
  </si>
  <si>
    <t>Juan de Campo y Oliva</t>
  </si>
  <si>
    <t>r el R. P. D. Carlos Chardon, traducida por el R. P. D. Fr. Alberico Echandi, Monge Cisterciense, y D. Juan de Campo y Oliva: 8 tomos en 8.° mayor. Se hallará en el despacho de la Imprenta Real, á 144 rs. en pasta y 104 en rústica. a . Jardín, florido del alma, cultivado del cristiano, regado del cielo</t>
  </si>
  <si>
    <t>de Campos, Joaquín María</t>
  </si>
  <si>
    <t>Joaquín María de Campos</t>
  </si>
  <si>
    <t>Casas: á igual empleo de los esquadrones de línea al Alférez del Regimiento de caballería de Borbon D. Joaquín María de Campos; y ha nombrado para esta resulta á D. Diego Rico, Sargento del expresado Real Cuerpo de Carabineros. A D. Juan Saenz de Tejada, Director honorario y Contador de los Reales almacen</t>
  </si>
  <si>
    <t>de Cárdenas, Ignacio</t>
  </si>
  <si>
    <t>Ignacio de Cárdenas</t>
  </si>
  <si>
    <t>ía y Aramia. En el Real Cuerpo de Artillería se ha servido S. M. promover á Teniente al Subteniente D. Ignacio de Cárdenas. En el Real Cuerpo de Ingenieros del Exército ha promovido el Rey á Brigadier é Ingeniero Director Subinspector al Coronel D. Francisco García Carrasco. El Reí se ha servido nombr</t>
  </si>
  <si>
    <t>de Cárdenas, Juan</t>
  </si>
  <si>
    <t>Juan de Cárdenas</t>
  </si>
  <si>
    <t>. Manuel Estrada; y Subtenencias de bandera en los de Guadaláxara y Toledo á los Sargentos primeros D. Juan de Cárdenas y D. Josef María Ar joña, y en el de Voluntarios de la Corona ai Cadete D. Mariano CasteU. S. M. se ha dignado promover á Tenientes del Real Cuerpo de“Artillería á los Subtenientes D.</t>
  </si>
  <si>
    <t>de Casa-Blanca, Conde</t>
  </si>
  <si>
    <t>Conde de Casa-Blanca</t>
  </si>
  <si>
    <t>amor y lealtad al Soberano, que siempre ha distinguido i aquel Ayuntamiento. £1 Conde de Casa-Blanca, vecino y Capitán de Milicias urbanas de la plaza.de Alcántara, poseído de los mismos sentimientos ofrece á S.M. pre&lt;* sentar á su hijo D. Juan Antonio de Valúes y Saavedra con caballo, a</t>
  </si>
  <si>
    <t>de Castro Palomino, Juan</t>
  </si>
  <si>
    <t>Juan de Castro Palomino</t>
  </si>
  <si>
    <t>1116 teniente de gf&amp;iiaderos al de fusileros D. Pío Rüiz, y ¿ Subteniente de bandera al Cadete D. Juan de Castro Palomino. En el Cuerpo de Cazadores Voluntarios Me* infantería del Río «Hacha se ha dignado el Rey promover á Capitán ai Teniente D. Nicolás Barros. EN LA IMPRENTA REAL.</t>
  </si>
  <si>
    <t>de Castro y Añaya, Pedro</t>
  </si>
  <si>
    <t>Pedro de Castro y Añaya</t>
  </si>
  <si>
    <t>lo elegante aguarda toda la pureza de nuestiro idioma, así eh la prosa como en los versos: su autor D. Pedro de Castro y Añaya. En los elogios que de esta obra hiciéron los mas «famosos ingenios gradúan el suyo por superior; pero lo que sobre todo .hizo entonas mas honor á su nombre, y hoy á su buena memo</t>
  </si>
  <si>
    <t>de Castro, Alonso</t>
  </si>
  <si>
    <t>Alonso de Castro</t>
  </si>
  <si>
    <t>do nombrar para una Canongía vacante en la Catedral de Oviedo, por muerte de D. Josef de Heredia, á D. Alonso de Castro, Cura Párroco de ja villa del Ferrol; para el Beneficio servidero de Sta. María del Castillo de la villa de Alburquerque en la Diócesi de* Badajoz , vacante por fallecimiento de D</t>
  </si>
  <si>
    <t>de Castro, Antonio</t>
  </si>
  <si>
    <t>Antonio de Castro</t>
  </si>
  <si>
    <t>onso Tejada; y á Subtenientes de bandera de los de Avila, Toro y Soria á D. Pedro Antonio González, Don Antonio de Castro y D. Domingo Sagaseta.</t>
  </si>
  <si>
    <t>de Castro, Diego</t>
  </si>
  <si>
    <t>Diego de Castro</t>
  </si>
  <si>
    <t>Audiencia de BuenosAyres: también ha conferido iguales honores de la de Carácas al Abogado de ella D. Diego de Castro. Y últimamente se ha dignado S. M. nombrar para una plaza de Agente de los del número de Indias á D. Juan Antonio Martínez Colmenar. ^ La Excma. Sra. Doña María del Pilar Castejon</t>
  </si>
  <si>
    <t>de Castro, Domingo</t>
  </si>
  <si>
    <t>Domingo de Castro</t>
  </si>
  <si>
    <t>raba; á Teniente de granaderos al de fusileros D. Felipe Calderón; á esta resulta al Subte-r niente D. Domingo de Castro; á Subteniente de granaderos al de fusileros D. Juan Josef de la Valle; y á Subteniente de bandera al Sargento primero JO. Frapcisco Rodríguez. Rn Ja extracción extraordinaria de</t>
  </si>
  <si>
    <t>de Castro, Manuel</t>
  </si>
  <si>
    <t>Manuel de Castro</t>
  </si>
  <si>
    <t>s en el referido de, Santiago y en el de Montesa al Sargento primero Don Josef de Silva y al Cadete D. Manuel de Castro. • En América. S. M. se ha dignado conceder la Sargentía mayor de la plaza de la Havar.a á D. Josef Ovando,’ Teniente Coronel agregado al Regimiento de Milicias de caballería de l</t>
  </si>
  <si>
    <t>de Castro, Manuel Antonio</t>
  </si>
  <si>
    <t>Manuel Antonio de Castro</t>
  </si>
  <si>
    <t>an ^íart^uf; y á Subtenientes de bandera, en ql mismo de Tuy y;los.,de SigileRza,Tofédo y Córdoba á D. Manuel Antonio de Castro, D. Santiago Gonzalo Gutiérrez Carabantes, D. Luis María Espinosa de los Monteros y P. Josef Marría de S. Lázaro Gamiz y Moyano. _ . . i-, ,JL. El Rey se ha servido conferir Compa</t>
  </si>
  <si>
    <t>de Cerda y Belda, Juan Bautista</t>
  </si>
  <si>
    <t>Juan Bautista de Cerda y Belda</t>
  </si>
  <si>
    <t>embre. En la Real Compañía de Alabarderos se ha servido S. M. promover &amp; primer Teniente al segundo D. Juan Bautista de Cerda y Belda; y ha conferido el empleo de segundo Teniente de la misme Compañía á D. Josef de Espejo, Exento del Real cuerpo de Guardias de Corps. S. M. se ha servido conceder Ayudantía en el</t>
  </si>
  <si>
    <t>de Chaves, Juan Pablo</t>
  </si>
  <si>
    <t>Juan Pablo de Chaves</t>
  </si>
  <si>
    <t>fa propia; y para la Canongía de merced de la Metropolitana de México, vacante por fallecimiento de D. Juan Pablo de Chaves á D. Josef Joaquín del Moral, Prelado doméstico del Santo Padre.</t>
  </si>
  <si>
    <t>de Ciscar, Gabriel</t>
  </si>
  <si>
    <t>Gabriel de Ciscar</t>
  </si>
  <si>
    <t>la propia Justicia de ella.. Curso dé Estudios elementales de Marina, escrito de orden de S. M. por Don Gabriel de Ciscar, Brigadier de la Real Armada. El tomo i.° contiene el tratado de Aritmética: el 2:0 él de Geometría¿ con algunas nociones de Geometría práctica y Trigonometría rectilínea: el 3;.0</t>
  </si>
  <si>
    <t>de Cistué, Luis María</t>
  </si>
  <si>
    <t>Luis María de Cistué</t>
  </si>
  <si>
    <t>ante, y se aumenta este considerablemente! substituyendo un agente de la circulación ménos costoso: D. Luis María de Cistué, de primero , el medio mas sencillo y eficaz para-conseguir la abundancia de granos, 4 impedir las repentinas variaciones de sús precios, es la libertad absoluta en su comercio in</t>
  </si>
  <si>
    <t>de Cobéntzei, Felipe (conde)</t>
  </si>
  <si>
    <t>Conde Felipe de Cobéntzei</t>
  </si>
  <si>
    <t>e ha fortifi cado los parages de? las-fronteras por donde, ios Turcos intentarán penetrar. , it‘ El Conde Felipe de Cobéntzei há solicitado su retiró , en atención á lo quebrantado, de su salud; ignoramos quién, será el sugeto que. le suceda en. ¿a. Embazada cerca de la Corte imperial de .Francia- . \ ,</t>
  </si>
  <si>
    <t>de Cobentzel, Felipe (conde)</t>
  </si>
  <si>
    <t>Conde Felipe de Cobentzel</t>
  </si>
  <si>
    <t>uerra. En su -conseqüencia Mr. de la Rochefoucauld se restituirá muy en breve á esta capital , y el Conde Felipe de Cobentzel saldrá'de aquí para Paris. S. A. R. el Archiduque Carlos emprenderá un víage, según se dice, á Berlín__ _A1 día inmediato de la -venida del General Berthier tuvo el General Andreo</t>
  </si>
  <si>
    <t>de Codes, Simón</t>
  </si>
  <si>
    <t>Simón de Codes</t>
  </si>
  <si>
    <t>arse para precaver las quiebras ó bancarrotas fraudulentas, escrita por el Doctor en ambos Derechos D. Simón de Codes, vecino de la villa de Ocana. En un tiempo en que la perfidia y la mala fe hacen freqiientes aquel género de excesos, no será inútil la lectura de un escrito, que;mereció de la Re</t>
  </si>
  <si>
    <t>de Coltorédo, Conde</t>
  </si>
  <si>
    <t>Conde de Coltorédo</t>
  </si>
  <si>
    <t>Francia.) ALEMANIA. Viena 13 de Diciembre. Ha muerto de apoplegía en Hungría el Conde de Coltorédo, Ministro de Estado y del Gabinete, primer Gentilhombre de Cámara de S. M. el Emperador de Austria. Es muy verosímil que le sucederá en el Ministerio el Conde de Wallis. 4 S. M. el Emperado</t>
  </si>
  <si>
    <t>de Cor, Francisco (conde)</t>
  </si>
  <si>
    <t>Conde Francisco de Cor</t>
  </si>
  <si>
    <t>a que el 10 de Marzo murió de una fiebre agudísima, y después de pocos dias de cama, el ex-Ministro Conde Francisco de Cor lloredo. En los 6 grandes establecimientos para remedio de los enfermos que presenta aquella ciudad, se han socorrido con auxilios medicinales 23,579 personas, y casi á otras tant</t>
  </si>
  <si>
    <t>de Córdoba, Luis</t>
  </si>
  <si>
    <t>Luis de Córdoba</t>
  </si>
  <si>
    <t>ndo de D. Antonio de Arce. Con ella, yen unión de la esquadra combinada, del cargo de los Generales D. Luis de Córdoba y el Conde de Orvilliers* hizo la primera campaña de aquella guerra contra la Gran Bretaña. Pero habiéndosele conferido en 22 de Febrero de 1780 el mando de una esquadra de 12 navios,</t>
  </si>
  <si>
    <t>de Courten, Juan</t>
  </si>
  <si>
    <t>Juan de Courten</t>
  </si>
  <si>
    <t>ey se ha servido conferir el empleo de Coronel del Regimiento de infantería de Córdoba al Brigadier D. Juan de Courten, Teniente Coronel del de Zaragoza: el de Ayudante en el de Saboya al Teniente, graduado de Capitán, D„Josef Ochoa: el de Teniente en el batallón de Voluntarios de Navarra al Subte</t>
  </si>
  <si>
    <t>de Cuellar, Juan</t>
  </si>
  <si>
    <t>Juan de Cuellar</t>
  </si>
  <si>
    <t>a fortuna y casa de descontentos; obra muy instructiva para los que gustan de la historia: su autor D. Juan de Cuellar. Se hallarán en la librería de Castillo , fféhte alas gradas de S. Felipe. Regla dé vida, muy útil para los pobres y para el pueblo ménos instruido: muy saludable á los ricos y á</t>
  </si>
  <si>
    <t>de Diego Martín Garcilaso de la Vega, Julián</t>
  </si>
  <si>
    <t>Julián de Diego Martín Garcilaso de la Vega</t>
  </si>
  <si>
    <t>el mal abuso introducido de usar de los parches de cantáridas, por el Doctor D. Julián dé Diego Martin Garcilaso de la Vega, Médico que fué de esta Corte. Se hallarán en la librería de Hurtado, calle de las Carretas. Colección de los Apologistas antiguos de la religión cristiana, traducido del francés por D. M</t>
  </si>
  <si>
    <t>de Duran y de Bastero, Luis</t>
  </si>
  <si>
    <t>Luis de Duran y de Bastero</t>
  </si>
  <si>
    <t>Oddi, de la Compañía de Jesús; y traducida en castellano por el Doctor en Teología y ámbos Derechos D. Luis de Duran y de Bastero, Canónigo de la Catedral de Barcelona. Se hallará en la librería de Dá vila, calle de las Carretas; y en Barcelona en la de Sierra y Martí. Carta crítica al Dr. D. Pedro Antonio S</t>
  </si>
  <si>
    <t>de Eguileta, Joaquín Antonio</t>
  </si>
  <si>
    <t>Joaquín Antonio de Eguileta</t>
  </si>
  <si>
    <t>stillo, frente á las gradas de S. Felipe, á 26 rs. en pasta y 22 á la rústica. Obras predicables de D. Joaquín Antonio de Eguileta, Presbítero y Capellán mayor de la Iglesia de S. Ignacio de Loyola de esta Corte, que se conaprehpnden de tres tomos de Dominicas de todo el año, y los principales misterios de Je</t>
  </si>
  <si>
    <t>de Elcano, Juan Sebastián</t>
  </si>
  <si>
    <t>Juan Sebastián de Elcano</t>
  </si>
  <si>
    <t>uadernos de Varones Ilustres Españoles, quaderno 18, que comprehende D. Pedro Fernandez de Velasco, D. Juan Sebastian de Elcano, Fr. Melchor Cano, el P. Alfonso Salmerón, D. Bernardo de Baibuena y D. Felipe Gil de Taboada, con un epítome de sus vidas.. Se hallará, con los anteriores, en la Calcografía esta</t>
  </si>
  <si>
    <t>de Elisa y Caamaño, Rafael</t>
  </si>
  <si>
    <t>Rafael de Elisa y Caamaño</t>
  </si>
  <si>
    <t>. Manuel de Umendia y Foronda, D. Quirico de Aristizaval y Sequeyra, D. Josef Yustiniani y Cabrera, D. Rafael de Elisa y Caamaño, D. Julio Ponce de León y Morejon, D. Domingo del Barco yMoron, D. Manuel Paulin y Cotiella, Don Francisco Pareja y Cameros, D. Josef Marco y Espejo, D. Ramón Arias y Toubes, D. I</t>
  </si>
  <si>
    <t>de Erro y Azpiroz, Juan Bautista</t>
  </si>
  <si>
    <t>Juan Bautista de Erro y Azpiroz</t>
  </si>
  <si>
    <t>primitiva de España, y explicación de sus mas antiguos monumentos de inscripciones y medallas, por D. Juan Bautista de Erro y Azpiroz, Contador principal por S. M. de la provincia de Soria. Esta obra presenta á la república literaria una idea absolutamente nueva y original de la España primitiva : las reliquias</t>
  </si>
  <si>
    <t>de Estada, Jorge Francisco</t>
  </si>
  <si>
    <t>Jorge Francisco de Estada</t>
  </si>
  <si>
    <t>fes.” El dia 5 de Enero último falleció en Sevilla, á los 76 años de edad y f9 de servicios, el Sr. D. Jorge Francisco de Estada, Ministro de Capa y Espada del Real y Supremo Consejo de Hacienda. — El infatigable y cuidadoso zelo con que miró por los Reales intereses en todos los empleos que obtuvo le disti</t>
  </si>
  <si>
    <t>de Estepár, Felipe</t>
  </si>
  <si>
    <t>Felipe de Estepár</t>
  </si>
  <si>
    <t>uiera persona q;;e quiera hacer mejora acuda á dicho juzgado y su escribanía principal del cargo de D. Felipe de Estepár. El Sr. Intendente de la Provincia, por su decreto de 24 de Diciembre último, ha aprobado el remate celebrado el dia 14 del mismo de una casa sita en la calle de S. Marcos, riúm.</t>
  </si>
  <si>
    <t>de Ezpeleta, Juan Estéban</t>
  </si>
  <si>
    <t>Juan Estéban de Ezpeleta</t>
  </si>
  <si>
    <t>do, se manda citar á quaiquiera que se estime con derecho á los bienes del concurso de acreedores á D. Juan Estéban de Ezpeleta, para que en el perentorio término de un año comparezcan por sí ó por apoderados á deducir sus derechos, con los competentes documentos*, con apercibimiento que de no executarlo e</t>
  </si>
  <si>
    <t>de Faria, Francisco</t>
  </si>
  <si>
    <t>Francisco de Faria</t>
  </si>
  <si>
    <t>en 8.° marquilla. zzzRobo de Proserpina de Cayo Lucio Claudiano, poeta latino, traducido por el Dr, D. Francisco de Faria: segunda impresión: un tomo en 8.° marquilla. Se hallarán en la librería de Sancha, calle del Lobo, y en.la de Castillo, frente á las gradas de S. Felipe. Tratado elemental de los</t>
  </si>
  <si>
    <t>de Figueroa, Agustín</t>
  </si>
  <si>
    <t>Agustín de Figueroa</t>
  </si>
  <si>
    <t>osef Domínguez; y en el de húsares Españoles Tenencia al Alférez D. Santiago Pierrard. El Brigadier D. Agustín de Figueroa, Comandante de Marina en PuertoCabello, ha escrito al Excmo¿ Sr. Príncipe de la Paz en 18 de Febrero de este año, el oficio del tenor siguiente : ,, Excmo. Señor: Muy Señor mío: E</t>
  </si>
  <si>
    <t>de Fivaller, Juan Antonio</t>
  </si>
  <si>
    <t>Juan Antonio de Fivaller</t>
  </si>
  <si>
    <t>tin, á D. Laureano Juan Antonio Martin. Con atención á la antigua nobleza y lustre de la familia de D. Juan Antonio de Fivaller, Bru y de Rubí, Marques de Villel» Conde de Darnius, Gentilhombre de Cámara con exercicio, y á los distinguidos méritos y servicios de sus antepasados, se ha dignado S. M. hacerle</t>
  </si>
  <si>
    <t>de Flue, Nicolás</t>
  </si>
  <si>
    <t>Nicolás de Flue</t>
  </si>
  <si>
    <t>graduado de Capitán: en el de Traxler Subtenencias7 á los Cadetes D. Josef Huser j D. Nicolás de Flue y D. Alfonso Josef Mayr : en él de Reding número 3.0 Tenencia al Subteniente de granaderos D. Nicolás Fiwatz; y en el de Reding núm. 2.0 el empleo de Teniente Coronel ai Sargento mayo</t>
  </si>
  <si>
    <t>de Fuentenebro, Tomás</t>
  </si>
  <si>
    <t>Tomás de Fuentenebro</t>
  </si>
  <si>
    <t>que se Ies ofrezca y parezca; é ignorándose el paradero de Dott Lorenzo González, D. Antonio Abad, D. Tomas de Fuentenebro, vecino de Aranda de Duero, D Alonso Fernandez, los herederos de otro de igual nombré, el curador de D. Lorenza Pascual de Iriarte, D. Joaquín de la Raya, vecino de Granada, los h</t>
  </si>
  <si>
    <t>de Galli, Ignacio</t>
  </si>
  <si>
    <t>Ignacio de Galli</t>
  </si>
  <si>
    <t>ervido conceder en los Regimientos de infantería de América y Princesa Tenencias á los Subtenientes D. Ignacio de Galli y D. Josef Ximenez Bagues, el primero de granaderos: en el segundo batallón de infantería ligera de Voluntarios de Barcelona se ha servido promover, á Capitán, segundo al Teniente D.</t>
  </si>
  <si>
    <t>de Gamez, Manuel María</t>
  </si>
  <si>
    <t>Manuel María de Gamez</t>
  </si>
  <si>
    <t>spado de Oviedo: para la Prestamera de Carboneras, en la Diócesi de Cuenca, vacante por renuncia de D. Manuel María de Gamez, y para el Préstamo del lugar del Mironciilo, anexo de la Parroquia de Sotulvo , vacante en la Diócesi de Avila por muerte de D. Pedro Hernando Caraves, á D. Luis Antelo y Mella:</t>
  </si>
  <si>
    <t>de Garma, Luis Xavier</t>
  </si>
  <si>
    <t>Luis Xavier de Garma</t>
  </si>
  <si>
    <t>ar paraJa Canongía de la; Metropolitana de -Tarragona, vacante por renuncia dé D. PedroíEspinosa, á D. Luis Xavier de Garma, Chantre de Jaén : para el Priorato Dignidad y primera Silla de la Colegiata de Besalu, en el Obispado de Gerona, á D. Odón Soler, Cura Párroco del lugar de Con cabe lia en el Obi</t>
  </si>
  <si>
    <t>de Garnica, Ignacio</t>
  </si>
  <si>
    <t>Ignacio de Garnica</t>
  </si>
  <si>
    <t>en el Obispado de Oaxaca; á D. Mariano Josef Cabo-Franco, Presbítero del Arzobispado de México, y á D. Ignacio de Garnica. Asimismo se ha servido S. M. nombrar para la plaza de Asesor del Gobierno de Montevideo á D. Josef Eugenio de Elias, Abogado de la Audiencia de Charcas; y para la Administración</t>
  </si>
  <si>
    <t>de Garrastachu, Francisco</t>
  </si>
  <si>
    <t>Francisco de Garrastachu</t>
  </si>
  <si>
    <t>unicarle a?untos de importancia, se da el presente aviso para que él ó sus herederos se presenten á D. Francisco de Garrastachu, casa de los Sres. Olavarrieta ¿ hijo y compañía, lonja en la plazuela de Santo Domingo. Qualquiera persona; que tenga noticias de dicho sugeto, lo participará en di-, cha casa ve</t>
  </si>
  <si>
    <t>de Gimbernat, Carlos</t>
  </si>
  <si>
    <t>Carlos de Gimbernat</t>
  </si>
  <si>
    <t>s hechos en Inglaterra para cortar los progresos de una calentura maligna contagiosa, traducida por D. Carlos de Gimbernat, VicfDirector del Real Gabinele de Historia natural de Madrid, é individuo de varias Sociedades literarias.Extracto de una carta del mismo sobre sus observaciones eológicas, hecha</t>
  </si>
  <si>
    <t>de Gimberraf, Antonio</t>
  </si>
  <si>
    <t>Antonio de Gimberraf</t>
  </si>
  <si>
    <t>en, y en Barcelona en la de Sierra y Martí, á 8 rs. Nuevo método de operar en la hernia crural, por D. Antonio de Gimberraf, primer Cirujano de Cámara de S. M., del Consejo de Hacienda &amp;c. Véndese m la librería de Ibarra, calle de la Gorguera; en Cádiz en la de D. Manuel Navarro, y en Barcelona en la d</t>
  </si>
  <si>
    <t>de Gonzalo, Juan</t>
  </si>
  <si>
    <t>Juan de Gonzalo</t>
  </si>
  <si>
    <t>e Remedios se venera en la Iglesia Parroquial de su advocación de la villa de Cogoliudo: dala á luz D. Juan de Gonzalo, Presbítero. Véndese, con la estampa, en la botica del Buen-Suceso. Novelas nuevas escritas en francés por Mr. de Florian, traducidas libremente é ilustradas con algunas notas cur</t>
  </si>
  <si>
    <t>de Gpycoechea, Pedro Miguel</t>
  </si>
  <si>
    <t>Pedro Miguel de Gpycoechea</t>
  </si>
  <si>
    <t>rán en todo conformes con los de la Qontaduría. COMISIONADOS. j ' '• , \ ^ v , ■ . Zaragoza....... D. Pedro Miguel de Gpycoechea. Barcelona..... . Sres, Huguet y Dupré. Torios a... ...... D. Buenaventura deOórdoba. Tiídela.,, D. Fernando de Ascarate, Valencia..,.,.,.,,' D.; Pedro Beyeya, Alicante....... D.</t>
  </si>
  <si>
    <t>de Gue, Manuel</t>
  </si>
  <si>
    <t>Manuel de Gue</t>
  </si>
  <si>
    <t>D. J3yme Sola, Subteniente de la de San Sebastian. Ei Capitán General de la provincia de Venezuela D. Manuel de Gue</t>
  </si>
  <si>
    <t>de Hardenberg, Barón</t>
  </si>
  <si>
    <t>Barón de Hardenberg</t>
  </si>
  <si>
    <t>el Ducado de Oldemburgo. GRAN BRETAÑA. Londres ij de Marzo. "Nota de oficio del Barón de Hardenberg, Ministro de Estado del Rey de Prusia, a Lord ílarrowby. Berlin á 22 de Diciembre de 180$. „Milord*. Conforme á la respuesta que ya he tenido la honra de pasar á V. E. relativamente á la pr</t>
  </si>
  <si>
    <t>de Haugwitz, Conde</t>
  </si>
  <si>
    <t>Conde de Haugwitz</t>
  </si>
  <si>
    <t>ya fuerza ignoramos. PRUSIA. Berlín iG de Abril. Ya ha vuelto de París S. E. el Conde de Haugwitz, Ministro de Estado. Habiéndose cumplido el tiempo de su licencia, se ha dignado S. M. encargarle de nuevo á él solo el despacho de los Negocios extrangeros. S* A. R. el Príncipe Henrique d</t>
  </si>
  <si>
    <t>de Haxthausen, Barón</t>
  </si>
  <si>
    <t>Barón de Haxthausen</t>
  </si>
  <si>
    <t>Maestros de Ceremonias. En esta audiencia Mr. de Talleyrand presentó á S. M. al Barón de Haxthausen, Canónigo de Padeborn; al Sargento mayor Fichler, y á Mr. de Kleyser, Presidente de la Regencia tutelar de Furstemberg.__ El .Príncipe de Maserano, Embaxador de España, presentó á Mr. de Be</t>
  </si>
  <si>
    <t>de Heredia y Hore, Joaquín</t>
  </si>
  <si>
    <t>Joaquín de Heredia y Hore</t>
  </si>
  <si>
    <t>al de la villa de Pilas en el Arzobispado de Sevilla, vacante por muerte de D. Manuel López Brun, á D. Joaquín de Heredia y Hore : para el Deanato de la Catedral de Santander, vacante por fallecimiento de D. Juan Perez Zurita, á D. Francisco Antonio del Acebo, Canónigo Pectoral de ella; y para el Beneficio</t>
  </si>
  <si>
    <t>de Heredia, Gonzalo</t>
  </si>
  <si>
    <t>Gonzalo de Heredia</t>
  </si>
  <si>
    <t>o Martínez de Galinsoga: para la de Alcalde del crimen de Granada, por ascenso de dicho Guaxardo, á D. Gonzalo de Heredia; y para otra igual plaza de la Audiencia de la Coruña, que resulta por ascenso del citado Galinsoga, á D. Julián Cid de Miranda, Abogado de los Reales Consejos.” Para el Deanato d</t>
  </si>
  <si>
    <t>de Hiriojosa, Luis</t>
  </si>
  <si>
    <t>Luis de Hiriojosa</t>
  </si>
  <si>
    <t>leros D- Francisco Díaz, D. Miguel Augusto y D. Alonso Velez; á Tenientes el agregado de esta clase D. Luis de Hiriojosa, los Subtenientes de granaderas Don Tomas Gandía, D. Francisco Martínez y D. Domingo Postigo , y los de fusileros D/ Rafael Ramírez, D. Manuel Otero y D. Joaquín Delgado ; á</t>
  </si>
  <si>
    <t>de Hoces, Rafael</t>
  </si>
  <si>
    <t>Rafael de Hoces</t>
  </si>
  <si>
    <t>Ignacio Muñoz y D. Josef González; y á Tenientes Coroneles del propio Cuerpo á los Gefes de Brigada D. Rafael de Hoces, D. Vicente de Rey na y D. Alvaro Chacón, los dos primeros graduados de Tenientes Coroneles. Habiendo manifestado los Caballeros Cadetes del Real Cuerpo de Artillería en los últim</t>
  </si>
  <si>
    <t>de Hoya, Domingo</t>
  </si>
  <si>
    <t>Domingo de Hoya</t>
  </si>
  <si>
    <t>lia de Bejar, Diócesis de Plasencia, por muerte de D. Domingo de Hoya, á D. Josef Hernández Agero: para otro también servidero en dicha Iglesia con el título de S. Pedro, vacante por fallecimiento de D. Antonio Castaño, á D. Eugenio Lorenzo Vidal; y</t>
  </si>
  <si>
    <t>de Igualada, Diego</t>
  </si>
  <si>
    <t>Diego de Igualada</t>
  </si>
  <si>
    <t>a de Utrera, en el Arzobispado de Sevilla, vacante por fallecimiento de D. Juan Fernandez Mateos, á D. Diego de Igualada, Presbítero, Administrador del hospital del Cardenal de aquella ciudad, con la precisa calidad de .personal residencia: á D* Carlos Martin y Lañáis para la Canongía Lectoral de la</t>
  </si>
  <si>
    <t>de Irís, Juan</t>
  </si>
  <si>
    <t>Juan de Irís</t>
  </si>
  <si>
    <t>atemala se ha servido el Rest conferir Compañía,ai Subteniente D. Josef Ramón Zelaya, y Tenencias á D. Juan de Irís&amp;rrj y D, Rafael Montufar, vecinos de aquella ciudad. En el Batallón veterano de Castilla, fixo de Campeche, ?e ha dignado S. M. promover á Capitán al Teniente D. Joaquín de Traba;</t>
  </si>
  <si>
    <t>de Isla y Campománes, Luis Gregorio</t>
  </si>
  <si>
    <t>Luis Gregorio de Isla y Campománes</t>
  </si>
  <si>
    <t>de Alcalá del rio Xucar, Diócesi de Cartagena, vacante por fallecimiento de B. Gerónimo Motezuma, á D. Luis Gregorio de Isla y Campománes; y para el Beneficio de la Parroquial de Santa María de la villa de Aranda de Duero, Diócesi de Osma, vacante por muerte de Don Bernabé Cid, á D. Nicolás Ruiz, Presbítero, Capellá</t>
  </si>
  <si>
    <t>de Isla, Juan</t>
  </si>
  <si>
    <t>Juan de Isla</t>
  </si>
  <si>
    <t>Martinez Coronado: á Subtenientes de granaderos de los de Guadix, Santiago y Tuy á los de fusileros D. Juan de Isla, D. Antonio Miranda y D. Josef Benito Barbeyto; y á Subtenientes de bandera de los de Avila, Guadix, Lugo, Ciudad-Real y Murcia á D. Francisco Xavier Alaría de Alexo, D. Vicente G</t>
  </si>
  <si>
    <t>de Iturriaga, Agustín</t>
  </si>
  <si>
    <t>Agustín de Iturriaga</t>
  </si>
  <si>
    <t>nza de Ja juventud. Se admitirán los memoriales hasta el dia 16 del presente, y deberán dirigirse á Don Agustín de Iturriaga, Fiel Síndico Procurador general de hijosdalgo de dicha villa. Nueva obra de cambios, reducciones de monedas, pesos y medidas de los Reynos de Valencia, Cataluña, Castilla y Andal</t>
  </si>
  <si>
    <t>de Iturribarría, Pedro Ignacio</t>
  </si>
  <si>
    <t>Pedro Ignacio de Iturribarría</t>
  </si>
  <si>
    <t>Magistral de ella: para Canongía de la misma, vacante por muerte de D. Julián Valero de Vicente, á D. Pedro Ignacio de Iturribarría: para la Ración que este dexa á D. Fernando Cortés; y para la Media al Cura de Arispe D. Josef Cayetano Salcedo: para la Chantría de la Iglesia de Comayagua, vacante por fallecimi</t>
  </si>
  <si>
    <t>de Jandua, Juan</t>
  </si>
  <si>
    <t>Juan de Jandua</t>
  </si>
  <si>
    <t>us herederos, que* quando la revolución dé la isla de Santo Domingo se hallaban en el Guaneo;; y de D. Juan de Jandua , que hace unos» 20 años residía en Gádizy ó sus herederos, paraéOmuñicar ler asuntos que les- interesan. Acudirán en Cádiz i D. Andrés de Loy zaga*,. que Vi ve en el callejón'de</t>
  </si>
  <si>
    <t>de Jerusalen, Juan</t>
  </si>
  <si>
    <t>Juan de Jerusalen</t>
  </si>
  <si>
    <t>3T7 de la Orden de S. Juan de Jerusalen, Teniente General de los Reales Exércitos y Capitán General de Provincia: sirvió á S. M. desde el año de 1749» que empezó de Cadete del Regimiento de infantería de Lisboa: se halló en la ex</t>
  </si>
  <si>
    <t>de Képidé, Juan</t>
  </si>
  <si>
    <t>Juan de Képidé</t>
  </si>
  <si>
    <t>e, inte el Sr. D. Torquato Antonio Collado, Teniente Corregidor de esta villa, por la escribanía de D. Juan dé Képidé, quien informará de sus pormenores . El Sr. Teniente de Corregidor D. Torquato. Antonio Collado ha señalado el dia 2 2 del presente para el rematerde dos casas sitas en esta Corle</t>
  </si>
  <si>
    <t>de la Barre, Juan Antonio</t>
  </si>
  <si>
    <t>Juan Antonio de la Barre</t>
  </si>
  <si>
    <t>Noviembre, En el Regimiento de Reales Guardias Walonas Se ha servido el Re* |5foniovef a Capitán a D. Juan Antonio de la Barre, Teniente de granaderos del mismo cuerpo. S. M. se ha servido conceder en los Regimientos de infantería de la Com roña , Ordenes Militares y Voluntarios de Estado Tenencias á los</t>
  </si>
  <si>
    <t>de la Cuesta, Francisco</t>
  </si>
  <si>
    <t>Francisco de la Cuesta</t>
  </si>
  <si>
    <t>dez Muñoz, los tres últimos vecinos de la expresada ciudad. Asimismo S. M. se ha servido conceder á D. Francisco de la Cuesta, Ayudante del Regimiento de infantería provincial de Valladolid en el Reyno de Nueva España, el empleo de Ayudante veterano con el grado de Capitán de la primera brigada de las Mi</t>
  </si>
  <si>
    <t>de la Cueva, Fernando</t>
  </si>
  <si>
    <t>Fernando de la Cueva</t>
  </si>
  <si>
    <t>uela, en los mismos términos que el antecedente» Otro para los 4 Caballerizos de Campo , que fuéron D. Fernando de la Cueva, D. Josef Alcázar, D. Joaquin Bermejo y D. Rafael Mateo, que llevaron uniforme grande. La estufa de los Caballeros Pages, que fuéron 8, los- 6 para servir, y 2 sobresalientes, los</t>
  </si>
  <si>
    <t>de la Cueva, Fernando María</t>
  </si>
  <si>
    <t>Fernando María de la Cueva</t>
  </si>
  <si>
    <t>Pedro Gómez, D. Manuel de la Maza y Don Agustín Manuel de Borricón : de ios^ Caballerizos de Campo D. Fernando María de la Cueva, D. Josef de la Alcázar, D. Joaquin Bermejo y D. Rafael Mateo; y de 8 Pages del Rey, D. Joaquin de la Cueva, D. Manuel Pando, D. Juan de Yanguas, D. Joset María de face, J). Tomas</t>
  </si>
  <si>
    <t>de la Cueva, Joaquín</t>
  </si>
  <si>
    <t>Joaquín de la Cueva</t>
  </si>
  <si>
    <t>ía de la Cueva, D. Josef de la Alcázar, D. Joaquin Bermejo y D. Rafael Mateo; y de 8 Pages del Rey, D. Joaquin de la Cueva, D. Manuel Pando, D. Juan de Yanguas, D. Joset María de face, J). Tomas Peñaran</t>
  </si>
  <si>
    <t>de la Escalera, Cayetano</t>
  </si>
  <si>
    <t>Cayetano de la Escalera</t>
  </si>
  <si>
    <t>ubteniente de granaderos D. Josef de Falla y la Fuente; y á Subteniente de bandera del de Sevilla á D. Cayetano de la Escalera. El Rey ha conferido empleo de Comisario de Guerra de sus:Exércitosá D. Ignacio García Malo, ¿ . S. M. ha nombrado para el Corregimiento de letras de la chidad de Albarracin á D.</t>
  </si>
  <si>
    <t>de la Fuente, Juan Antonio</t>
  </si>
  <si>
    <t>Juan Antonio de la Fuente</t>
  </si>
  <si>
    <t>término de qo dias contados desde el citado 26, dos fincas pertenecientes á la fundación hecha por D. Juan Antonio de la Fuente, y son las siguientes: una casa sita en la calle del Baluarte, núm. 120, de quatro cuerpos de fábrica moderna, tasada en 633,340, rs. en venta, y 27,750 en renta; y otra en la cal</t>
  </si>
  <si>
    <t>ias contados desde.el 26 de Junio próximo pasado, dos casas pertenecientes á la fundación hecha por D. Juan Antonio de la Fuente; á saber: una sita en la calle del Baluarte, número 120, de 4 cuerpos de fábrica moderna, tasada en 633,340 rs. en venta, y 27*75° en tenta*. otra en la calle del Camino, núm. 84,</t>
  </si>
  <si>
    <t>de la Horra Cardenal, Francisco</t>
  </si>
  <si>
    <t>Francisco de la Horra Cardenal</t>
  </si>
  <si>
    <t>baxa, jardín , un emparrado en el patio, y una azotea ó balcón sobre-la puerta de la calle, acuda ¿ D. Francisco de la Horra Cardenal, Agente de Negocios, calle de Arrastra, plazuela de Garay-Gallo, núm 5. Quien quisiere hacer postura á una tierra, de caber 2 fanegas poco mas ó menos , sita en el parage donde ll</t>
  </si>
  <si>
    <t>de la Hoyuela, Francisco Antonio</t>
  </si>
  <si>
    <t>Francisco Antonio de la Hoyuela</t>
  </si>
  <si>
    <t>á la del de Santa María de Ripoll, ambas de la Congregación Benedictina Claustral, en Cataluña; y á D. Francisco Antonio de la Hoyuela para la Dignidad de Chantre de la Catedral de Teruel, vacante por muerte de D. Pedro Escolanó. En el Regimiento de Reales Guardias Españolas se ha servido el Rey promover á Capitá</t>
  </si>
  <si>
    <t>de la Iglesia, Domingo</t>
  </si>
  <si>
    <t>Domingo de la Iglesia</t>
  </si>
  <si>
    <t>n de Silva, D. Mariano Genaro Sentmanat, D. Luis Landaburu, D. Antonio y D. Pedro Romero de Tejada, D. Domingo de la Iglesia, D. Juan Oromi,D. Antonio Ibarrola, D. Lorenzo Medrano y Treviño, D. Francisco Romo y Gamboa y D. Andrés Rodríguez. S. M. se ha servido nombrar para el Corregimiento de Letras de</t>
  </si>
  <si>
    <t>de la Lastra, Manuel</t>
  </si>
  <si>
    <t>Manuel de la Lastra</t>
  </si>
  <si>
    <t>rvido conferir en el Regimiento de Infantería de Granada Compañía al Ayudante, graduado de Capitán, D. Manuel de la Lastra; Ayudantía al Teniente, graduado de Capitán, D. Joaquín de Urrutia; Tenencia al Subteniente D. Pedro María Martin, y Subtenencia de bandera al Cadete D. Pió Sánchez Garces: en el</t>
  </si>
  <si>
    <t>de la Llave y Coca, Pedro</t>
  </si>
  <si>
    <t>Pedro de la Llave y Coca</t>
  </si>
  <si>
    <t>oaquín Villaba y Heredia, D. Antonio Sequera y Carrafa, D. Josef Rodríguez Zambrano y Portocarrero, D. Pedro de la Llave y Coca, D. Josef Mariano del Pulgar y Varo, D. Francisco del BarcoGordon, D. Mariano Narvaez y Narvaez, D. Gerónimo Piáeyro y las Casas, D. Josef Arias de Saavedra Caro y Tavera, D. Anto</t>
  </si>
  <si>
    <t>de la Madrid y Montes, Esteban</t>
  </si>
  <si>
    <t>Esteban de la Madrid y Montes</t>
  </si>
  <si>
    <t>ara el 22 del corrien-. te en la casa'consistorial de la ciudad de Sigiienza. .&lt; Por providencia de D. Esteban de la Madrid y Montes, Comisionado Real residente en la ciudad de Toledo, se saca á publica subasta un cigarral en el sitio de Valdecubas, término de dicha ciudad, de caber 43 fanegas de tierra labrant</t>
  </si>
  <si>
    <t>de la Madrid, Estéban</t>
  </si>
  <si>
    <t>Estéban de la Madrid</t>
  </si>
  <si>
    <t>al Hermandad del Refugio y hospital de S. Antonio de los Alemanes de esta Corte. Por providencia de D. Estéban de la Madrid, Juez Comisionado Real, residente en la ciudad de Toledo, se sacan á pública subasta dos yugadas de tierra sitas en la villa de Yuncler: la una se llama Prado de Fuente Sequilla,</t>
  </si>
  <si>
    <t>e D. Francisco López Lisperguer, por la escribanía de jD. Manuel López de Ribas. Por providencia de D. Estéban de la Madrid, Juez Comisionado Real en la ciudad de Toledo, se sacan á pública subasta 89 fanegas de tierra de primera calidad, divididas en tres suertes: están situadas en la vega de Azucaica</t>
  </si>
  <si>
    <t>da, en Ciudad-Real, en el término de 30 dias contados desde el 4 del presente. ? Por providencia de D. Estéban de la Madrid, Juez Comisionado Real, con residencia en la ciudad de Toledo, se saca á pública subasta la dehesa de pasto y ■labor intitulada Alcalvin baxo: está situada á orillas del rio Guada</t>
  </si>
  <si>
    <t>rcurio de España se dará una noticia mas circunstanciada de estas observaciones. Por providencia de D. Estéban de la Madrid, GomisionadtrReal con reside»»’ cia en la ciudad de Toledo, se saca á pública subasta la dehesa de pasto intitulada</t>
  </si>
  <si>
    <t>708,402 rs., está hecha postura en 1.139© rs. á pagar en vales. Quien quisiere mejorarla acuda ante D. Estéban de la Madrid, Juez Comisionado Real en Toledo, por la escribanía de la comisión ál cargo de D. Josef Covos;en la inteligencia de que el dia 20 del corriente se ha de celebrar dicho remate. Por</t>
  </si>
  <si>
    <t>Josef Ayala y Gómez; con prevención de que se rematarán el dia 12 del presente. Por providencia de D. Estéban de la Madrid, Juez CcmisionadoReaí en la ciudad de Toledo, se saca á pública subasta una labranza llamada lasFraylías, sita en término de la villa del Carpió, de caber 328 fanegas del marco re</t>
  </si>
  <si>
    <t>de la Madrid, Tomás</t>
  </si>
  <si>
    <t>Tomás de la Madrid</t>
  </si>
  <si>
    <t>Sres. D. Francisco Durango é hijo mayor. En Zamora.......... . D. Joseí Ligero. En Zaragoza........ D. Tomas de la Madrid. En Zeuta............... D. Pedro Huguet, comisionado subalterno del de Cádiz, En virtud de providencia del Sr. D. Francisco Xavier Uriortua, del Consejo de S. M. en la Real Junta</t>
  </si>
  <si>
    <t>d...... D. Francisco Durango é hijo mayor. En Zamora.......... D. Josef Ligero. En Zaragoza........ D. Tomas de la Madrid. En Zenta.............. D. Pedro Huguet, comisionado subalterno del de Cádiz. En la extracción de la Real lotería, executada. el lunes 17 del corriente, saliéron los. números ,56,</t>
  </si>
  <si>
    <t>de la Mata, Manuel</t>
  </si>
  <si>
    <t>Manuel de la Mata</t>
  </si>
  <si>
    <t>ener acción á los bienes que han quedado por fallecimiento de Doña Gerónima Muñoz, viuda que fué de D. Manuel de la Mata, natural de la villa de Daimiel, hija, legítima de Matías Muñoz y de Antonia Morales Lozano, difuntos, para que en el preciso y perentorio término de 30 días, que por primero y úl</t>
  </si>
  <si>
    <t>de la Maza y Agustín Manuel de Borricón, Manuel</t>
  </si>
  <si>
    <t>Manuel de la Maza y Agustín Manuel de Borricón</t>
  </si>
  <si>
    <t>na, D. Ignacio García de Diego, D. César Madrazo, D. Félix Angulo, D. Angel Merino, D. Pedro Gómez, D. Manuel de la Maza y Don Agustín Manuel de Borricón : de ios^ Caballerizos de Campo D. Fernando María de la Cueva, D. Josef de la Alcázar, D. Joaquin Bermejo y D. Rafael Mateo; y de 8 Pages del Rey, D. Joaquin de la Cueva, D. Manue</t>
  </si>
  <si>
    <t>de la Moravía y de la Silesia Austríaca, Fernando (archiduque)</t>
  </si>
  <si>
    <t>Archiduque Fernando de la Moravía y de la Silesia Austríaca</t>
  </si>
  <si>
    <t>hernia» y el Archiduque Fernando de la Moravía y de la Silesia Austríaca. GRAN BRETAÑA. JLéndres $ de Febrero. Cantara de los Comunes, Junta del 3,7 de Enero. Mr. H. Lascelles hizo en este día la propuesta que había anunciado acerca de los honores públ</t>
  </si>
  <si>
    <t>de la Muedra, Carlos</t>
  </si>
  <si>
    <t>Carlos de la Muedra</t>
  </si>
  <si>
    <t>Capitán, D. Juan Ximenez: Subtenencias de bandera en los de Córdoba y Mallorca al Sargento primero Don Cárlos de la Muedra, y al Cadete D. Rafael Aranda. En el Regimiento de caballería de la Reyna se ha servido S.M. conferir el empleo de Sargento mayor á D. Josef Taberner, Capitán del mismo cuerpo: en</t>
  </si>
  <si>
    <t>de la Paz y Alfaro, Antonio</t>
  </si>
  <si>
    <t>Antonio de la Paz y Alfaro</t>
  </si>
  <si>
    <t>l Sargento primero distinguido D. Pedro Mellado: en el de Zaragoza Subtenencia de bandera al Cadete D. Antonio de la Paz y Alfaro : en el de la Corona Ayudantía ai Teniente, graduado de Capitán , Don '.Manuel Abellan ; y Subtenencia de bandera en el de las Ordenes Militares ral Cadete D. Félix Maclauglin. En</t>
  </si>
  <si>
    <t>de la Peña Porras, Manuel</t>
  </si>
  <si>
    <t>Manuel de la Peña Porras</t>
  </si>
  <si>
    <t>untos interesantes. —= Igualmente se desea'-saber por dichos sugetos el paradero ó fallecimiento de D. Manuel de la Peña Porras, natural del lugar de Onnisedo, Arzobispado de Búrgos, que hace como 30 á 3» años se ausentó de su.casa en el lugar de Viilaute.</t>
  </si>
  <si>
    <t>de la Peña y Gallo, Andrés</t>
  </si>
  <si>
    <t>Andrés de la Peña y Gallo</t>
  </si>
  <si>
    <t>a su paradero se servirá noticiarlo á D, Gregorio de Lahesa, en la ciudad de Búrgos, y en Sevilla á D. Andrés de la Peña y Gallo, quienes tienen que comunicarle asuntos interesantes. —= Igualmente se desea'-saber por dichos sugetos el paradero ó fallecimiento de D. Manuel de la Peña Porras, natural del luga</t>
  </si>
  <si>
    <t>de la Peña, Antonio</t>
  </si>
  <si>
    <t>Antonio de la Peña</t>
  </si>
  <si>
    <t>clase á Don Mariano Santander y Aferez , único .aspirante. En la de Geografía, que regenta el socio D. Antonio de la Peña,r$e concedió primer premio al mismo D. Mariano Santander y Alvarez; él segundo á D. Mateo Seoane, y el tercero á D. Miguel Antonio de Parra, habiéndose adjudicado el accésit á D.</t>
  </si>
  <si>
    <t>de la Piedra, Benito</t>
  </si>
  <si>
    <t>Benito de la Piedra</t>
  </si>
  <si>
    <t>..... D. Ramón de Liordeíla é hijo. En Btírgos.......... D. Andrés Fraylfe. En Cádiz............... D. Benito dé la Piedra. En Cartagena*..... D. Bernardo Eiizaidé. En Ciudad-Real.. D. R^rnon Antonio Pico. En Córdoba........... Sres. Barcia padre é hijo. En la Coruña....... D. Manuel Elzaurdi. En Cuen</t>
  </si>
  <si>
    <t>Ó2) En Cádiz............... D. Benito de la Piedra. En Cartagena...... D. Bernardo Elizalde. En Ciudad-Real.. D. Ramón Antonio Pico. En Córdoba........... Sres. Barcia padre é hijo. En la Coruña...... . D. Manuel Elzaurdi. En Cuen</t>
  </si>
  <si>
    <t>..... D. Ramón de Llordella é hijo. En Burgos............ D. Andrés Frayle. En Cádiz............... D. Benito de la Piedra. En Cartagena...... D. Bernardo Elizalde. En Ciudad-Real.. D. Ramón Antonio Pico. En Córdoba.......... Sres. Barcia padre é hijo. En la Cortina....... D. Manuel Eizaurdi. En Cuenc</t>
  </si>
  <si>
    <t>de la Pila, Manuel</t>
  </si>
  <si>
    <t>Manuel de la Pila</t>
  </si>
  <si>
    <t>bores de todo género executadas por ellas. Una sorda-muda de dichas escuelas, empezada á educar por D. Manuel de la Pila, Maestro de ellas, demostró estar perfectamente instruida en leer y Calografía: de la Gramática castellana, en el artículo, nombre , pronombre y verbo , conociendo el género , núm</t>
  </si>
  <si>
    <t>de la Plaza y Farias, Manuel</t>
  </si>
  <si>
    <t>Manuel de la Plaza y Farias</t>
  </si>
  <si>
    <t>lo al expresado Baranda en esta Corte, &lt;¡&gt; ai referido Peñ$ en Santander. . , , Por providencia jde D. Manuel de la Plaza y Farias, Juez Comisionado Regio para lf venta de bienes eclesiásticos de la ciudad y Obispad0 de Albarrácin,' y é$4 ‘pecial' áe/lá'Có'mision gubernativa del Cqnséjo para la enajenación de</t>
  </si>
  <si>
    <t>de la Plaza y Parias, Manuel</t>
  </si>
  <si>
    <t>Manuel de la Plaza y Parias</t>
  </si>
  <si>
    <t>tura acuda á la escribanía de la comisiona que exerce Matías Bayona.\&lt; : ■ ;; •/ Por providencia de D. Manuel de la Plaza y Parias, Juez Comisionado Real para la venta de bienes eclesiásticos de la ciudad y Diócesi de Albarracin, se subastan las fincas siguientes: 34 fanegas, 3 quartales y 2 quartillas de sem</t>
  </si>
  <si>
    <t>de la Puente, Pedro</t>
  </si>
  <si>
    <t>Pedro de la Puente</t>
  </si>
  <si>
    <t>rario de la Chancillería de Valladolid á D. Josef Antonino Colmenares; y honores de Oidor de ella á D. Pedro de la Puente, Secretario de la Presidencia de Castilla. Asimismo se ha dignado S. M. conceder honores y antigüedad del Consejo de Hacienda á D. Juan del Castillo y Carroz, Oficial mayor mas an</t>
  </si>
  <si>
    <t>de la Puerta, Manuel</t>
  </si>
  <si>
    <t>Manuel de la Puerta</t>
  </si>
  <si>
    <t>n la misma Di Scesis ; y para una Media-Ración de la Metropolitana ¡de Lima, que vacó por muerte de D. Manuel de la Puerta, á D. Mariano de Echeverría, Cura en el propio Arzobispado. En el Batallón de infantería ííxo de Veraeruz se ha servido S. M. promover á Subteniente ai segundo Ayudante D. Nemesio</t>
  </si>
  <si>
    <t>de la Raya, Joaquín</t>
  </si>
  <si>
    <t>Joaquín de la Raya</t>
  </si>
  <si>
    <t>onso Fernandez, los herederos de otro de igual nombré, el curador de D. Lorenza Pascual de Iriarte, D. Joaquín de la Raya, vecino de Granada, los hijos de D.‘Santiago Irrisarri, los herederos de D. Cirios y D. Josef Perez, y D. Francisco Miians, ha mandado su Señoría se les dé este aviso, por el que</t>
  </si>
  <si>
    <t>de la Revilla y Martín de Sierra, Manuel</t>
  </si>
  <si>
    <t>Manuel de la Revilla y Martín de Sierra</t>
  </si>
  <si>
    <t>de Zaragoza ai Subteniente D. Francisco Claramunr: en el de Aragón á los Subtenientes de granaderos D. Manuel de la Revilla y Don Martin de Sierra ; y en el de Jaén ai Subteniente D. Juan Bronchal: Subtenencias de bandera en el de Zaragoza al Sargento primero D. Francisco Rafael: en el de Córdoba á D. Bartolomé Aguilera y Ag</t>
  </si>
  <si>
    <t>de la Riva, Benito</t>
  </si>
  <si>
    <t>Benito de la Riva</t>
  </si>
  <si>
    <t>de Sevilla Tenencia al Teniente de granaderos, que lo era del de Salamanca, graduado de infantería, Don Benito de la Riva: en el de Irlanda Tenencia al Subteniente de granaderos D. Francisco Doliany: en el de Asturias Tenencias al Teniente agregado D. Mudo Carelli, y al Subteniente de granaderos D. I</t>
  </si>
  <si>
    <t>de la Riva, Juan Antonio</t>
  </si>
  <si>
    <t>Juan Antonio de la Riva</t>
  </si>
  <si>
    <t>e á las gradas de S. Felipe. Catecismo de Ripalda, añadido con 130 preguntas con sus respuestas por Don Juan Antonio de la Riva, Canónigo de la Catedral de Cartagena: nueva edición, dedicada al Excmo. Sr. Generalísimo Príncipe de la Paz. Se hallará en la librería de Claros, calle del Arenal. Lícito recreo</t>
  </si>
  <si>
    <t>de la Serna, Fernando</t>
  </si>
  <si>
    <t>Fernando de la Serna</t>
  </si>
  <si>
    <t>Regimientos Provinciales ha promovido S. M. á Capitán de granaderos del de Sevilla al de fusileros D. Fernando de la Serna : á Capitán de fusileros del de Soria al Teniente de granaderos D. Tomas Rodrigo: á Tenientes de granaderos de los de Ciudad-Rodrigo y Santiago á los de fusileros D. Juan Antonio</t>
  </si>
  <si>
    <t>de la Sierra, Antonio</t>
  </si>
  <si>
    <t>Antonio de la Sierra</t>
  </si>
  <si>
    <t>ércules Corisalvi: para una Capellanía Real de la Catedral de Canaria, vacante por fallecimiento de D. Antonio de la Sierra, á D. Pedro Roxo: para una Capellanía de numero de la Catedral de Patencia, vacante por muerte de D. Francisco González, á D. Vicente Hernández Parra: para la Préstamera de la vil</t>
  </si>
  <si>
    <t>de la Sota, Carlos</t>
  </si>
  <si>
    <t>Carlos de la Sota</t>
  </si>
  <si>
    <t>n de dicho cuerpo. S, M. á consulta de la Real Junta de Comercio y Moneda, se ha servido conceder á D. Carlos de la Sota y D. Carlos Sierra la facultad de que puedan poner el escudo de sus Reales armas en las puertas y almacenes, y de titularse Real fábrica la que de curtidos tienen establecida en el lu</t>
  </si>
  <si>
    <t>de la Torre y Duarte, Joaquín</t>
  </si>
  <si>
    <t>Joaquín de la Torre y Duarte</t>
  </si>
  <si>
    <t>de granaderos al de fusileros D. Josef Eligió; á Teniente de fusileros al Subteniente de granaderos D. Joaquín de la Torre y Duarte; á esta resulta al Subteniente de fusileros D. Domingo Gallegos, á Subteniente de fusileros al de bandera D. Nicolás Canalejo, y á Subteniente de bandera al Sargento primero D. Ma</t>
  </si>
  <si>
    <t>de la Torre, Esteban</t>
  </si>
  <si>
    <t>Esteban de la Torre</t>
  </si>
  <si>
    <t>a de Consolidación. Y ha nombrado por sus Diputados á los Señores D. Manuel de Ribacoba y Gorbea, y D. Esteban de la Torre, estableciendo sus oficinas en la Caxa de Descuentos, calle del Duque de Alba, para dar principio á la operación desde el dia 20 de este mes, lo que se anuncia al público para su</t>
  </si>
  <si>
    <t>de la Torre, Felipe</t>
  </si>
  <si>
    <t>Felipe de la Torre</t>
  </si>
  <si>
    <t>ncos de porte, á la Justicia hasta el dia 30del presente mes de Agosto para proceder á la elección. D. Felipe de la Torre, del comercio de droguería de esta Corte, informará de un Boticario, que se halla con su botica abierta en un pueblo 10 leguas distante de ella, y, por no serle favorable aquel cl</t>
  </si>
  <si>
    <t>de la Torre, Matías</t>
  </si>
  <si>
    <t>Matías de la Torre</t>
  </si>
  <si>
    <t>, D. Pablo Ferrando, D.AIexandro Lagoa, D. Eugenio de Zuloaga, D. Josef Bassóco, D. Vicente Bas$óco,D. Matías de la Torre, D. Joaquín Ossés, D. Gerónimo Maza, D. Juan Maza, Don Bernabé de Otálora, D. Juan de Mazarredo, D. Cárlos Van-Zoelen y Don Sebastian Fernandez Navarrete. Ganaron el premio extrao</t>
  </si>
  <si>
    <t>de la Torre, Pedro</t>
  </si>
  <si>
    <t>Pedro de la Torre</t>
  </si>
  <si>
    <t>nfantería de Puerto-Rico se ha servido el Rey promover á Capitanes de granaderos á los de fusileros D. Pedro de la Torre y D. Vicente Llopiz; á Capitanes Jos Tenientes D. Josef María Ramírez, D. Francisco Rodríguez, D. Josef Guiordanengo, D. Bernardo Zeno y D. Francisco Fernandez; los tres primeros de g</t>
  </si>
  <si>
    <t>de la Vega, Marcos</t>
  </si>
  <si>
    <t>Marcos de la Vega</t>
  </si>
  <si>
    <t>^ to Arciprestazgo de Población de Campos en el Obispado de Palepcia, vacante, por fallecimiento de D. Marcos de la Vega, á D. Manuel Afitoniq Aguado,.Gura Párroco de S. Pedro de lá villa de Astudillo en el mismo Obispado: á D. Fr. Salvador Aznar para el Priorato de Acumuer, Oficio regular del Real</t>
  </si>
  <si>
    <t>de Lahesa, Gregorio</t>
  </si>
  <si>
    <t>Gregorio de Lahesa</t>
  </si>
  <si>
    <t>de Cantabria; y no dando razón en dicho Regimiento, quien sepa su paradero se servirá noticiarlo á D, Gregorio de Lahesa, en la ciudad de Búrgos, y en Sevilla á D. Andrés de la Peña y Gallo, quienes tienen que comunicarle asuntos interesantes. —= Igualmente se desea'-saber por dichos sugetos el para</t>
  </si>
  <si>
    <t>de Lamaddz, Francisco Xavier</t>
  </si>
  <si>
    <t>Francisco Xavier de Lamaddz</t>
  </si>
  <si>
    <t>Torre y Cárdenas, los tres primeros de granaderos; á Subtenientes de granaderos á los de fusileros D. Francisco Xavier de Lamaddz , D. Francisco Escribas y D. Josef María Chenard; á Subtenientes de fusileros los de bandera D. Antonio Boza, D, Josef Gregorio de Castilla, D. Andrés Perez y D. Josef Cayetano de</t>
  </si>
  <si>
    <t>De Lambre</t>
  </si>
  <si>
    <t>ue se percibió el último contacto 6h 9' 5^,3, tiempo verdadero. Empleando pues las tablas de Sol de Mr. De Lambre, y las de Luna de Mr. Btirg, y corrigiendo estás del error en latitud 9^,45-, promedio del que han encontrado por la observación del Depósito Hidrográfico los Capitanes de Fragata</t>
  </si>
  <si>
    <t>de Lángara y Huarte, Juan</t>
  </si>
  <si>
    <t>Juan de Lángara y Huarte</t>
  </si>
  <si>
    <t>al 24 de Mayo de cada un año. El dia 18 de Enero de este año falleció en esta Corte el Excmo. Señor D. Juan de Lángara y Huarte, Consejero de Estado, Caballero Gran Cruz de la Real Orden Española de Carlos nr, Gentilhombre de Cámara de S. M. con exercicio, Comendador de las Casas de Talavera en la Orden de</t>
  </si>
  <si>
    <t>de Lángara, Juan</t>
  </si>
  <si>
    <t>Juan de Lángara</t>
  </si>
  <si>
    <t>eriódicos solo permiten paso á las embarcaciones en determinadas épocas, cerrándoselo en las demás. Don Juan de Lángara hizo tres veces este viáge de ida y vuelta á Filipinas, desde 176.6 á, 1771, en el navio Buen-Consejo y en las fragatas Venus y Rosalía; poniendo en uso todos los conocimientos de</t>
  </si>
  <si>
    <t>n ; y sus trabajos en esta parte no exceden, ni por su exactitud ni por su utilidad, á los que hizo D. Juan de Lángara, quien por espacio de 6 meses cruzó en el Océano septentrional y en el meridional, y se valió de estas mismas observaciones á su vuelta para corregir los errores de las cartas ó m</t>
  </si>
  <si>
    <t>gresado al declararse la gnerra contra la Francia, pasó á servir en la es— quadra del mando del Sr. D. Juan de Lángara: con ella entró en Tolon, donde nombrado Comandante General de las tropas desembarcadas hizo distinguidos servicios, verificando varias salidas contra los enemigos, en una de las</t>
  </si>
  <si>
    <t>de Lará y Don, Luis</t>
  </si>
  <si>
    <t>Luis de Lará y Don</t>
  </si>
  <si>
    <t>, y á los Ayudantes D. Francisco Vaiderrama y Dón Josef Power; á Ayudantes á los Capitanes segundos D. Luis de Lará y Don uan Dávila; á Capitanes segundos á los Tenientes D. Manuel Saviñon, Í &gt;. Josef Fernandez de la Reguera y D. Pedro Bofarull, los dos últimos de granaderos; á Tenientes de granadero</t>
  </si>
  <si>
    <t>de Larraondo, Juan Bautista</t>
  </si>
  <si>
    <t>Juan Bautista de Larraondo</t>
  </si>
  <si>
    <t>antander los Sres. Vial é hijo y compañía, en la Corufía los Sres. López y .Sagastizabal, en Bilbao D. Juan Bautista de Larraondo, en Barcelona D. Gerónimo Jacchella, en Valencia D. Pedro Faurie, en Murcia los Sres. Valence y Sobrino, en Cartagena D. Henrique Fawson y compañía, en Granada D. Juan Manuel Garc</t>
  </si>
  <si>
    <t>er Jos Sres. Vial é hijo y compañía, en la Coruña los Sres. López, .Sagas tizabal é hijo, en Bilbao D. Juan Bautista de Larraondo, en Barcelona D. Gerónimo Jachella, en Valencia D. Pedro Faurie, en Murcia los Sres. Valer.ce y Sobrino, en Cartagena D. Henrique Tawson y compañía, en Granada D. Juan Manuel Garc</t>
  </si>
  <si>
    <t>de las Muelas, Francisco Pedro</t>
  </si>
  <si>
    <t>Francisco Pedro de las Muelas</t>
  </si>
  <si>
    <t>e la Puebla, número 38, manz. 551, tasada en 177,188 rs. Quien quisiere tratar de su ajuste acuda á D. Francisco Pedro de las Muelas, que vive calle del Amor de Dios, esquina í la de Santa María, núm 15 , quarto principal. A voluntad de sus dueños se venden dos majuelos, uno de 6 aranzadas y otro de 3, en el té</t>
  </si>
  <si>
    <t>de Lasauca, Andrés</t>
  </si>
  <si>
    <t>Andrés de Lasauca</t>
  </si>
  <si>
    <t>lidad á lá salud pública, representó al Supremo Consejo je Castilla por medio de su Ministro el Sr. D. Andrés de Lasauca, la necesidad de ensanchar el mismo campo santo, y establecer un capacísimo cementerio con su correspondiente capilla en el centro , y otro en la Parroquia dé la nominada villa la</t>
  </si>
  <si>
    <t>de Leca, Sebastián</t>
  </si>
  <si>
    <t>Sebastián de Leca</t>
  </si>
  <si>
    <t>n el Regimiento de dragones de la Reyna al Portaestandarte D. Pedro Wamba, y esta resulta al Cadete D. Sebastian de Leca; y en el de Sagunto empleo de Portaguión al Sargento primero D. Juan Moreno. En América. El Rey se ha dignado conceder el Gobierno militar y político, con la Intendencia de la pro</t>
  </si>
  <si>
    <t>de León y Acero, Antonio</t>
  </si>
  <si>
    <t>Antonio de León y Acero</t>
  </si>
  <si>
    <t>e ella D. Josef Antonio Xaraquemada; finalmente para Media-Ración de la Metropolitana de Santa Fe á D. Antonio de León y Acero, Cura de Chía, en aquel Arzobispado. A consulta del Consejo Real se ha servido S. M. conceder á la villa de la Puebla de Alcocer facultad para celebrar un mercado público semanal;</t>
  </si>
  <si>
    <t>de Lerzundi, Alexandro</t>
  </si>
  <si>
    <t>Alexandro de Lerzundi</t>
  </si>
  <si>
    <t>y se ha servido conceder la Subtenencia de bandera del Batallón de Voluntarios de Navarra al Cadete D. Alexandro de Lerzundi, En América. S. M. se ha servido nombrar para la Dignidad de Chantre de la Catedral de Truxillo, en el Perú, vacante por muerte de D. Agustín de Simancas, á D. Josef Cleto Gamboa,</t>
  </si>
  <si>
    <t>de Lichtenstein, Juan (príncipe)</t>
  </si>
  <si>
    <t>Príncipe Juan de Lichtenstein</t>
  </si>
  <si>
    <t>sburgo, donde se continúan las negociaciones. Los Plenipotenciarios del Emperador de Austria son el Príncipe Juan de Lichtenstein y el General Giulay. El'Príncipe Carlos ha pedido hablar con el Emperador. S. M. recibirá mañana á este Príncipe en la casa de campo de Stamersdorf, á 3 leguas de Viena. El Emperador</t>
  </si>
  <si>
    <t>a han nombrado por Plenipotenciarios, á saber, &amp;. M. el Emperador de Alemania y de Austria á Mr. el Príncipe Juan de Lichtenstein, Príncipe del Sacra Romano. Imperio, Gran Cruz .deda Orden,militar de.María Teresa, Gentilhombre ^Teniente Generali de los Exdrcitos; de S. Me el Emperador de Alemania y. de Austr</t>
  </si>
  <si>
    <t>el empeyne. S. M. el Emperador ha escrito de su propio puño una carta sumamente fina y expresiva al Príncipe Juan de Lichtenstein, Caballero Gran-Cruz de la Orden de María Teresa. En ella elogia el valor y lealtad d«t Príncipe;</t>
  </si>
  <si>
    <t>de Liordeíla, Ramón</t>
  </si>
  <si>
    <t>Ramón de Liordeíla</t>
  </si>
  <si>
    <t>rás Gómez. En Badajoz.......... D. Francisco Fernandez de la 'Peña y 5. Miguel. En Barcelona....... D. Ramón de Liordeíla é hijo. En Btírgos.......... D. Andrés Fraylfe. En Cádiz............... D. Benito dé la Piedra. En Cartagena*..... D. Bernardo Eiizaidé. En Ciudad-Real.. D. R^rnon Antonio Pico. E</t>
  </si>
  <si>
    <t>de Llamas, Francisco Xavier</t>
  </si>
  <si>
    <t>Francisco Xavier de Llamas</t>
  </si>
  <si>
    <t>os y el tercero de bandera; á Subteniente de granaderos á D. Francisco Alonso Moran; de fusileros á D. Francisco Xavier de Llamas, y de bandera á D. Juan María Fernandez Muñoz, los tres últimos vecinos de la expresada ciudad. Asimismo S. M. se ha servido conceder á D. Francisco de la Cuesta, Ayudante del Reg</t>
  </si>
  <si>
    <t>de Llordella, Ramón</t>
  </si>
  <si>
    <t>Ramón de Llordella</t>
  </si>
  <si>
    <t>ueras Gómez. En Badajoz......... D. Francisco Fernandez de la Peña y S. Miguel. En Barcelona....... D. Ramón de Llordella é hijo. En Btirgos.......... D. Andrés Frayíc.</t>
  </si>
  <si>
    <t>eras Gómez. En Badajoz.......... D. Francisco Fernandez de lJ*Peña y S. Miguel. En Barcelona....... D. Ramón de Llordella é hijo. En Burgos............ D. Andrés Frayle. En Cádiz............... D. Benito de la Piedra. En Cartagena...... D. Bernardo Elizalde. En Ciudad-Real.. D. Ramón Antonio Pico. En</t>
  </si>
  <si>
    <t>de Lluch, Miguel</t>
  </si>
  <si>
    <t>Miguel de Lluch</t>
  </si>
  <si>
    <t>y. habiéndose extraviado, el que supiere de su paradero se servirá avisar en Barcelona al expresado D. Miguel dé Lluch , en Guadálaxára á í&gt;. Ramón Antonio Moreno, y en Madrid á D. Blas Martínez1 de‘Tejada , del comercio en los portales de Sta. Cruz. Sin embargo de lo que se avisó ál público en la</t>
  </si>
  <si>
    <t>de los Reyes Garro, Luis</t>
  </si>
  <si>
    <t>Luis de los Reyes Garro</t>
  </si>
  <si>
    <t>lces, está tasada en 20,560 rs. Quien quisiere tratar de s« ajuste acuda en la dicha isla de León á D. Luis de los Reyes Garro, y en esta Corte á la calle de la Abada, casa de la Auditoría de Guerra. A voluntad de su dueño se vende una casita de campo á un quarto de legua de distancia de Madrid , su cabid</t>
  </si>
  <si>
    <t>de los Santos, Pedro Pablo</t>
  </si>
  <si>
    <t>Pedro Pablo de los Santos</t>
  </si>
  <si>
    <t>xandro Aguinaga y D. Josef Sánchez Foncaliente , Capitanes del mismo .cuerpo; á Capitán al Teniente D. Pedro Pablo de los Santos; fá Ayudante al Teniente de granaderos D. Diego Grrego-; á Teniente al Alférez D. Juan de Arias; y á Portaguiones á D. Juan Félix Pctriarena y D. Santos*Zaldival, soldados disting</t>
  </si>
  <si>
    <t>de Low, Teniente General</t>
  </si>
  <si>
    <t>Teniente General de Low</t>
  </si>
  <si>
    <t>la banda del Aguila Roxa á tres de los primeros estadistas de nuestro Reyno, al Teniente General de Low, Ministro de Gabinete, al Teniente General de Zedwiz, y al Presidente del Consejo de la Guerra el General de Felgenhauen. Mr. de Argiropolo, Ministro Otomano cerca de nuestra Corte, ha teni</t>
  </si>
  <si>
    <t>de Loy, Andrés</t>
  </si>
  <si>
    <t>Andrés de Loy</t>
  </si>
  <si>
    <t>esidía en Gádizy ó sus herederos, paraéOmuñicar ler asuntos que les- interesan. Acudirán en Cádiz i D. Andrés de Loy zaga*,. que Vi ve en el callejón'de los Descalzos , núm. 7 av Ante ef A lcaide-ordinario dé la villa dél Prado y escribanía dé Juan de Ribasic siguen los autos de testamenta ría d</t>
  </si>
  <si>
    <t>de Maguna, Gaspar</t>
  </si>
  <si>
    <t>Gaspar de Maguna</t>
  </si>
  <si>
    <t>goleta correo de S. M., ñómbrada Dulce t^ombre ,.al mando del Alférez de Fragata de la Real Armada D. Gaspar de Maguna, conduciendo la correspondencia del Real servicio y del público del Reyno de Nueva España, y demas parages;de la América Setentrionah El Sr. D. Sebastian de Toires, del Consejo Re</t>
  </si>
  <si>
    <t>de Manuel y Rodríguez, Miguel</t>
  </si>
  <si>
    <t>Miguel de Manuel y Rodríguez</t>
  </si>
  <si>
    <t>de la viuda é hijos de Santander. Memorias para la vida del Santo Rey D. Fernando, dadas á luz por D. Miguel de Manuel y Rodríguez, Bibliotecario primero de los Reales Estudios de Madrid, quien las dedica á la Reyna'nuestra Señora, que Dios guarde. El nombre del Padre Márcos Burriel, autor de estas Memorias,</t>
  </si>
  <si>
    <t>de Martínez y de Válete, Luis María</t>
  </si>
  <si>
    <t>Luis María de Martínez y de Válete</t>
  </si>
  <si>
    <t>bad de la Colegiata jde S. Felió de la ciudad. de Gerona* tacante por muerte.de D. Eudaldo Rigal, á D. Luis María de Martínez y de Válete: á D. Pablo Domingo para la Canongía Doctoral de la Metropolitana de Tarragona; y á D. Manuel Trasovares para un-Beneficio de la Parroquia de ía villa de Epilar Dióxesi de Zaragoz</t>
  </si>
  <si>
    <t>de Masa Gil, Manuel</t>
  </si>
  <si>
    <t>Manuel de Masa Gil</t>
  </si>
  <si>
    <t>el exáir«5fise: celebrará el'día-20 de Junio próximo. Los preíendiehtes dirigirán sus memoriales á D. Manuel de Masa Gil, Beneficiado de Preste del Cabildo Eclesiástico de dicha villa , y su Presidente. . - En la villa de-Prats de Llusanes, en la Diócesi de Vich, Principado” de Cataluña-, se han est</t>
  </si>
  <si>
    <t>de Masdcu, Juan Francisco</t>
  </si>
  <si>
    <t>Juan Francisco de Masdcu</t>
  </si>
  <si>
    <t>pañol del Sumo Pontífice Pió vir, y de su casa deClaramonte de Ce*» sena, descubierto y probado por D. Juan Francisco de Masdcu: un tomo en 8.? marquilla, con el retrato de S. S.r=El Monserrate del Capitán Cristóbal de Virués, quarta impresión, añadida, y notablemente mejorada, con un discurso preliminar e</t>
  </si>
  <si>
    <t>de Mata Gil Almansa, Juan</t>
  </si>
  <si>
    <t>Juan de Mata Gil Almansa</t>
  </si>
  <si>
    <t>uez comisionado nombrado por el referida Sr. Intendente, y por el oficio del Escribano de su número D. Juan de Mata Gil Almansa. ‘ , En la villa de Ablitas se hallan de yentá las fincas sighiéiítes : Primerament# una pieza agostío sita en el término de la Huerta , de 5'robos y un almud de tic?» ra, valuada</t>
  </si>
  <si>
    <t>de Mata Redulfo, Juan</t>
  </si>
  <si>
    <t>Juan de Mata Redulfo</t>
  </si>
  <si>
    <t>. Los pretendientes dirigirán sus memoriales y méritos por Ja escribanía de Ayuntamiento á cargo de D. Juan de Mata Redulfo, ó del Síndico Procurador del pueblo D. Pedro Antonio Olleros. Consejos y preceptos de Medicina, escritos por el Dr. Ricardo Mead, Médico que fué del Rey de Inglaterra. Un discurs</t>
  </si>
  <si>
    <t>de Mata y Araujo, Luis</t>
  </si>
  <si>
    <t>Luis de Mata y Araujo</t>
  </si>
  <si>
    <t>á la filosofía común de las lenguas, arreglado también á la latina .para facilitar su estudio, por D. Luis de Mata y Araujo, Profesor de Humanidades en esta Corte. La experiencia demuestra la utilidad de este tratado, tan necesario á todos los jóvenes para-hablar algún.dra Qon dignidad su lengua nativa</t>
  </si>
  <si>
    <t>tica castellana y latina , buena versión , y elementos de Retórica y Poética, por los discípulos de.D. Luis de Mata y Araujo. en su casa, calle de los Jardines, n. 52. Presidió estos exercicios el Sr. D. Diego Gil Fernandez, del Consejo, de S. M, Alcalde de su Re^l Casa y pórte. Hizo la apertura,el dia</t>
  </si>
  <si>
    <t>de Mazarredo, Juan</t>
  </si>
  <si>
    <t>Juan de Mazarredo</t>
  </si>
  <si>
    <t>co,D. Matías de la Torre, D. Joaquín Ossés, D. Gerónimo Maza, D. Juan Maza, Don Bernabé de Otálora, D. Juan de Mazarredo, D. Cárlos Van-Zoelen y Don Sebastian Fernandez Navarrete. Ganaron el premio extraordinario de instrucción religiosa los Caballeros Gefe de sala D. Alonso Alvarado, Gefes de trozo</t>
  </si>
  <si>
    <t>de Meadinueta, Miguel</t>
  </si>
  <si>
    <t>Miguel de Meadinueta</t>
  </si>
  <si>
    <t>Temas~Moya«o, Alcalde de Casa y Corte, .en-yirtud-de comision~queTe ha conferido el Ilustrísimo Sr. D. Miguel de Meadinueta, Gobernador interino del</t>
  </si>
  <si>
    <t>de Meave, Joaquín Alexo</t>
  </si>
  <si>
    <t>Joaquín Alexo de Meave</t>
  </si>
  <si>
    <t>Ración de la misma Catedral de Puebla á D. Juan Sánchez Soriano; y para la Media que obtiene este á Don Joaquín Alexo de Meave, Cura en aquella Diócesi: para otra Ración de la de Santiago de Chile al Cura del Sagrario de ella D. Josef Antonio Xaraquemada; finalmente para Media-Ración de la Metropolitana d</t>
  </si>
  <si>
    <t>de Medina, Juan</t>
  </si>
  <si>
    <t>Juan de Medina</t>
  </si>
  <si>
    <t>stup, ^representación de su rouge* Doña Antonia de Medina, actual poseedora del vinculo fundado por D, Juan de Medina sobre el expresado crédito: cuyos oan reclamado los enunciados Caro y Escovar ,ccmo legatarios herederos y Htcjró$| del últiipo poseedor D. Alvaro de Medina; para que ocurran dich</t>
  </si>
  <si>
    <t>de Mendinueta y Muzquiz, Miguel</t>
  </si>
  <si>
    <t>Miguel de Mendinueta y Muzquiz</t>
  </si>
  <si>
    <t>sef Suria. El dia 13 de Junio falleció en esta Corte, á los 66 años y 4 meses de edad, el limo. Sr. D. Miguel de Mendinueta y Muzquiz, Cabañero del hábito de Santiago. Después de haber sido Colegial en el Colegio mayor de Españoles de S. Clemente de Bolonia, sirvió por espacio de ^7 años los empleos de Alcalde d</t>
  </si>
  <si>
    <t>de Mendizabal, Francisco</t>
  </si>
  <si>
    <t>Francisco de Mendizabal</t>
  </si>
  <si>
    <t>ha servido nombrar para una Canongía de la Catedral de Córdoba del Tucuman, vacante por ascenso de D. Francisco de Mendizabal á la Dignidad de Chantre de la misma, á D. Luis Santos del Pino, Cura Rector de aquella ciudad: para otra Canongía de la Iglesia de Santiago de Chile, que vacó por fallecimiento d</t>
  </si>
  <si>
    <t>de Menoyo, Francisco</t>
  </si>
  <si>
    <t>Francisco de Menoyo</t>
  </si>
  <si>
    <t>rte, que habrá de 7 á 9 años faltan de Madrid. Qualquiera que sepa de ellos se servirá noticiarlo á Don Francisco de Menoyo, en Madrid, casa del Sf. Conde de Talara, quien tiene que comunicarles asuntos interesantes. Se desea saber si en algún pueblo ó hospital de Extremadura ó Andalucía ha muerto D. j</t>
  </si>
  <si>
    <t>de Mesa, Diego</t>
  </si>
  <si>
    <t>Diego de Mesa</t>
  </si>
  <si>
    <t>nta, en el Reyno del Perú, á D. Agustín Richarte, Capitán del mismo Cuerpo; á Capitanes al Ayudante D. Diego de Mesa , y á los Tenientes D. Andrés Mexia y D. Tadeo González; á Tenientes á los Alféreces D. Fernando Aragón, D. Adrián Caballero, D. Francisco Verdejo, D. Josef Valderrago, D. Pedro M</t>
  </si>
  <si>
    <t>de Mexías, Gaspar</t>
  </si>
  <si>
    <t>Gaspar de Mexías</t>
  </si>
  <si>
    <t>temala á D. Manuel Angel Toledo: para la Penitenciaría de la Catedral de la Puebla de los Angeles á D. Gaspar de Mexías; y para la MediaRación de la de la Havana á D. Josef Policarpo Saname, Cura en esta Diócesi. En el Regimiento de infantería Provincial de Toluca, en el Rey no de Nueva-España , se</t>
  </si>
  <si>
    <t>de Milla Cudllar, Ramón</t>
  </si>
  <si>
    <t>Ramón de Milla Cudllar</t>
  </si>
  <si>
    <t>nía. Por providencia del Sr. D. León de Sagasta, Teniente Corregidor de esta villa* y escribanía de D. Ramón de Milla Cudllar, se ha mandado volver á sacar á pública subasta, por término de 15 dias contados desde el 3 del corriente, cinco casas sitas en esta Corte, una en la calle del Lobo, núm. 9, manz.</t>
  </si>
  <si>
    <t>de Milla Cueilar, Ramón</t>
  </si>
  <si>
    <t>Ramón de Milla Cueilar</t>
  </si>
  <si>
    <t>a del Sr. D. Manuel Vicente de Torres, Teniente Corregidor de esta villa, y escribanía numeraria de D. Ramón de Milla Cueilar, publicarla por el término de 10 dias, y señalado para su remate el 20 del corriente. Quien quisiere mejorarla acuda ante dicho Sr. Teniente y citada escribanía. En poder de los S</t>
  </si>
  <si>
    <t>de Milla Cuellar, Ramón</t>
  </si>
  <si>
    <t>Ramón de Milla Cuellar</t>
  </si>
  <si>
    <t>a del Sr. D, Manuel Vicente de Torres,Teniente Corregidor de esta villa, y escribanía.del número de D. Ramón de Milla Cuellar, se han mandar do sacar á pública subasta por término de 30 dias contados deide el 17 del corriente, 2 casas sitas en esta Corte,la una en la calle de Sta Inicia,núm. i9,manz-473,</t>
  </si>
  <si>
    <t>a del Sr. D. Manuel Vicente de Torres, Teniente Corregidor de esta villa, y escribanía numeraria de D. Ramón de Milla Cuellar, se han mandado sacar á pública subasta, por término de 30 dias contados desde el 27 de Enero próximo pasado, tres casas sitas en esta Corte: una en la calle de la Cruz del Espíri</t>
  </si>
  <si>
    <t>audiencia del Sr. Teniente Corregidor D. Manuel Vicente de Torres, por la escribanía del número de D. Ramón de Milla Cuellar; y se ha señalado para su remate el dia 7 de Marzo próximo. Por la audiencia del Sr. D. Manuel Vicente de Torres, Teniente Corregidor de esta villa, y escribanía del número de D.T</t>
  </si>
  <si>
    <t>providencia del Sr. D. Manuel Vicente de Torres, Teniente Corregidor de esta villa, y escribanía de D. Ramón de Milla Cuellar, se ha mandado sacar á pública subasta, por término de 30 dias contados desde el 4 del corriente, una casa sita en la calle de la Cruz, que hace fachada también á la del Gato, núm</t>
  </si>
  <si>
    <t>an-, te el Sr. D. Torquato Antonio Collado, Teniente Corregidor de esta villa, por la escribanía de D. Ramón de Milla Cuellar. , El Sr. Alcalde de Corte D. Mariano Alonso ha señalado el día 26 del corriente para el remate de tres casas sitas, una en la calle del Bastero del Rey, núm. 17, manz. 95, tasada</t>
  </si>
  <si>
    <t>la escribanía del.número dé D. Antonio Fernandez. „ , Por el referido Sr. Teniente, y escribanía de D. Ramón de Milla Cuellar, se ha mandado sacar á pública subasta, por términb de 30 dias contados desde el 17 del corriente, otra casa sita, en la costanilla de Santiago, que hace esquina y vuelva i la cal</t>
  </si>
  <si>
    <t>rriente ante el Sr. D. Torquato Antonio Collado, Teniente Corregidor de esta villa, y escribanía de D. Ramón de Milla Cuellar, Por providencia del Sr. D. Torquato Antonio Collado, Teniente Corregidor de esta villa, y escribanía de D. Ramón de Milla Cuellar, se ha mandado volver á sacar á pública subasta,</t>
  </si>
  <si>
    <t>te el Señor D. Torquato Antonio Collado, Teniente Corregidor de esta villa, por la escriba^, nía de D. Ramón de Milla Cuellar. =2::Por el mismo Sr. Intendente se ha mandado sacar para la mejora del quarto, por término de 301 dias, que empezaron á correr desde el 10 de este mes, otra casa sita en la plazu</t>
  </si>
  <si>
    <t>providencia del Sr. D. Torquato Antonio Collado, Teniente Corregidor de esta villa, y escribanía de D. Ramón de Milla Cuellar, se ha señalado el dia 14 del corriente para el remate de 4 casas sitas en esta Corte: una en la calle de San Hermenegildo, num. 2, manz. 516, tasada en 40,072 rs.: otra en Ja cal</t>
  </si>
  <si>
    <t>169,808 rs. Quien quisiere hacer postura á todas, ó cada una , acuda á la escribanía del número de D. Ramón de Milla Cuellar. Los,subscriptores á la colección general de las obras del Maestro Avila, llamado ei Apóstol de Andalucía, acudirán á recoger el tomo 8.° en rústica á la librería de Escribano, ca</t>
  </si>
  <si>
    <t>de Molina, Antonio</t>
  </si>
  <si>
    <t>Antonio de Molina</t>
  </si>
  <si>
    <t>ducidos á doctrina y meditaciones, sacados de los Santos Padres y Doctores de la Iglesia, por el P. D. Antonio de Molina. Se hallarán en la librería de la viuda de Barco, calle de la Cruz. Quaderno octavo de las fábulas de D. Félix María Samaniego, de la edición en 8.° nvarquilla adornada de estampa</t>
  </si>
  <si>
    <t>de Mora y Lomas, Pedro</t>
  </si>
  <si>
    <t>Pedro de Mora y Lomas</t>
  </si>
  <si>
    <t>asada en Z 2" 2,755 l'8. o-uien quisiere -conlprarla acuda ante el Sr. Intendente de esta provincia D. Pedro de Mora y Lomas, por la escribanía del cargo de D. D2mÍan Celestino de la Vaga, en el término de 3'0 días. contados desde el día 20 de Noviembre pró~lmo pasado. En el juzgado de D. Ignacio Blanco</t>
  </si>
  <si>
    <t>de Morales Polo, Luis</t>
  </si>
  <si>
    <t>Luis de Morales Polo</t>
  </si>
  <si>
    <t>amanca año de 1654 por D. Francisco de Morales, Caballero del Orden de Santiago , primo de su autor D. Luis de Morales Polo, Maestre de Campo, quien la dedicó al Sr. Rey D. Felipe iv,y recibida con entusiasmo del público. Se repitieron sus ediciones en esta Corte y Barcelona con igual éxito, tanto por</t>
  </si>
  <si>
    <t>de Morales, Francisco</t>
  </si>
  <si>
    <t>Francisco de Morales</t>
  </si>
  <si>
    <t>en el cuerpo, pero grande en la substancia, fué Impresa la primera vez en Salamanca año de 1654 por D. Francisco de Morales, Caballero del Orden de Santiago , primo de su autor D. Luis de Morales Polo, Maestre de Campo, quien la dedicó al Sr. Rey D. Felipe iv,y recibida con entusiasmo del público. Se r</t>
  </si>
  <si>
    <t>de Morales, Juan</t>
  </si>
  <si>
    <t>Juan de Morales</t>
  </si>
  <si>
    <t>e debia construirse, hizo formar el correspondiente plan, que remitió á la aprobación del limo. Sr. D. Juan de Morales , Ministro del Consejo, encargado en activar este importante asunto en el Obispado de Calahorra: verificada aquella , devolvió el plan con las prevenciones que estimó necesarias,</t>
  </si>
  <si>
    <t>dáveres de aquella Parroquia, precedida ía aprobación necesaria de su plan y sitio por el limo. Sr. D. Juan de Morales, comisionado por S. M. para entender en todo lo relativo á la construcción de cementerios de aquel Obispado; y procedió á su bendición, según prescribe el Ritual Romano, el dia 24</t>
  </si>
  <si>
    <t>de Mtíla Cuellar, Ramón</t>
  </si>
  <si>
    <t>Ramón de Mtíla Cuellar</t>
  </si>
  <si>
    <t>ovidencia del Sr. D. Torquato Antonio^ Gol lado, Teniente Corregidor de esta villa, y escribanía de D. Ramón de Mtíla Cuellar, se ha mandado volver á sacar á pública subasta, por término de 15,dias contados desde el 3 de este mes* quatro casas sitas en esta Corte, una en la calle de S. Hermenegildo, núm.</t>
  </si>
  <si>
    <t>de Munive, Juan</t>
  </si>
  <si>
    <t>Juan de Munive</t>
  </si>
  <si>
    <t>n parte del principal.y réditos de un -crédito de 4© ducados, que en el Consulado de Sevilla úñRuso D. Juan de Munive en el año de 1627, Para que ocurran á deducirle por sí q por procurador á dicho Supre-r mo Consejo, y por su Escribanía de Cámara, dentro del preciso término de 2 meases; con aperci</t>
  </si>
  <si>
    <t>de Nava y Mérida, Miguel</t>
  </si>
  <si>
    <t>Miguel de Nava y Mérida</t>
  </si>
  <si>
    <t>de bandera en los de Sevilla,, Málaga, Bujalance y Valladolivi á ios Cadetes D. Juan de Valenzuela, D. Miguel de Nava y Mérida y D. Francisco .Xavier Ruiz y Torres, y á D. Mariano Rodríguez de Cisneros. En atención á la acreditada y distinguida -nobleza y particulares servicios de D. Juan Bautista Chacón, Mae</t>
  </si>
  <si>
    <t>de Nava y Rodríguez, Francisco</t>
  </si>
  <si>
    <t>Francisco de Nava y Rodríguez</t>
  </si>
  <si>
    <t>ntelan, D. Miguel Quesada y Tarriba, D. Toribio Pasalagua y Martinez, D. Vicente Fernandez de Mesa, D. Francisco de Nava y Rodríguez, D. Antonio Diaz de Herrera, D. Francisco Rodríguez López Guerrero, D. Juan Moro de Flores y Mendez, D. Josef Villavicencio y Rodríguez de Arias, D. Fulgencio Anrich y Gómez,D. Fr</t>
  </si>
  <si>
    <t>de Nava, Ángel</t>
  </si>
  <si>
    <t>Ángel de Nava</t>
  </si>
  <si>
    <t>ntados desde el 15 del pasado. Los pretendientes remitirán sus pretensiones ai Procurador del común D. Angel de Nava, dirigiéndolas por Medina del Campo, Álaejos, Torrecilla de la Orden. Habiendo resuelto D. Francisco Navarro establecer en su casa-fábrica, plazuela dél Angcl, núm. 27, quarto seg</t>
  </si>
  <si>
    <t>de Navarrete, Sebastián</t>
  </si>
  <si>
    <t>Sebastián de Navarrete</t>
  </si>
  <si>
    <t>los Seminaristas D. Pedro Cendeja, D. Manuel Abbad, D. Carlos Van-Zoelen, D. Juan Ortiz de Zarate, D. Sebastian de Navarrete, Don Gerónimo Maza, D. Juan Maza, D; Luis Berganza , D. Alexandro lagoa, D. Bernabé de Otalora, D. Eugenio de Zuloaga, D. Josef María de Bassoco y D. Vicente de Bassoco. Ganáron e</t>
  </si>
  <si>
    <t>de Noriega, Manuel Francisco</t>
  </si>
  <si>
    <t>Manuel Francisco de Noriega</t>
  </si>
  <si>
    <t>Abogado de la Audiencia de Charcas; y para la Administración del Hospital de Naturales de México á D. Manuel Francisco de Noriega. En el Regimiento de infantería de México se ha servido el Rey promover á Teniente al Subteniente de granaderos D. Antonio Mora; á Sub</t>
  </si>
  <si>
    <t>de Novales, María</t>
  </si>
  <si>
    <t>María de Novales</t>
  </si>
  <si>
    <t>y les parará el perjuicio que haya lugar. Se desea tener noticia de si existen algunos herederos de Doña María de Novales, viuda que quedó de D. Clemente de Fraga, Agente algún tiempo de los Reales Consejos, y la que falleció después de muertos todos sus hijos. Los herederos que prueben serlo de dich</t>
  </si>
  <si>
    <t>de Ochayta, Juan Antonio</t>
  </si>
  <si>
    <t>Juan Antonio de Ochayta</t>
  </si>
  <si>
    <t>der Compañía en las sueltas de Milicias urbanas de infantería de Truxillo al Ayudante de las mismas D. Juan Antonio de Ochayta; y Subtenencia en el Esquadron de Dragones de Moquegua al Cadete D. Camilo Barrios. La feria que se celebra en la villa de Guadalcanal en Extremadura, con el nombre de Guaditoca,</t>
  </si>
  <si>
    <t>de Oieaga, Manuel</t>
  </si>
  <si>
    <t>Manuel de Oieaga</t>
  </si>
  <si>
    <t>ados de título correspondiente, dirigirán sus memoriales al Ayuntamiento, por mano de su Secretario D. Manuel de Oieaga; ad-irtiendo que cumplidos dos meses contados desde esta publicación se proveerá el MagisterioTomo primero del Diccionario geográfico universal, que comprehende la descripción de</t>
  </si>
  <si>
    <t>de Olcinellas, Pedro Martín</t>
  </si>
  <si>
    <t>Pedro Martín de Olcinellas</t>
  </si>
  <si>
    <t>i6i pol á D. Pedro Martin de Olcinellas; y para el Oficio de Cellerero del Monasterio de Rodas á D. Fr. Josef de Puig y Ros. El Marqués de Sobremonte, Virey de las provincias del Rio de la Plata, ha escrito al Exento. S</t>
  </si>
  <si>
    <t>de Orturbia, Manuel</t>
  </si>
  <si>
    <t>Manuel de Orturbia</t>
  </si>
  <si>
    <t>a Canongía que se halla vacante en la Colegial de Alfaro, Diócesi de Tarazona, por fallecimiento de D. Manuel de Orturbia, á D. Josef de las Heras, Beneficiado de la Iglesia de nuestra Señora del Burgo de la expresada ciudad; para otra en la Colegial del Sacromonte de Granada, vacante por promoción d</t>
  </si>
  <si>
    <t>de Otero, Tomás Domingo</t>
  </si>
  <si>
    <t>Tomás Domingo de Otero</t>
  </si>
  <si>
    <t>lmente premiando los%delantamientos de la educación cristiana y civil. A continuación el Secretario D. Tomas Domingo de Otero leyó el compendio de las actas de la Sociedad desde 9 de Diciembre del año anterior, en que se celebró la última junta pública, hasta el dia 4 de este mes. El Vice-Director distri</t>
  </si>
  <si>
    <t>de Palacio y Villa, Juan</t>
  </si>
  <si>
    <t>Juan de Palacio y Villa</t>
  </si>
  <si>
    <t>niente Coronel ; el deCapitan de fusileros de los de CiudadRodrigo, Santiago y Lugo á los Tenientes D. Juan de Palacio y Villa, D. Felipe Navarro de Egui y D. Josef Lorente, y ál Capitán agregado</t>
  </si>
  <si>
    <t>de Pando, Francisco Antonio</t>
  </si>
  <si>
    <t>Francisco Antonio de Pando</t>
  </si>
  <si>
    <t>o Fernandez Valdivia; y el de Subteniente'de bandera del de Salamanca á D. Josef María Maldonado. ' Don Francisco Antonio de Pando, del comercio de esta Corte,dirigió en 9 da Octubre próximo pasado á D. Fidel Fernandez Bretón, vecino de Hornillos, un vale Real de goo pesos, de la creación dé Setiembre,núm. 37</t>
  </si>
  <si>
    <t>de Pappenheim, Barón</t>
  </si>
  <si>
    <t>Barón de Pappenheim</t>
  </si>
  <si>
    <t>urg, Ministro plenipotenciario de S. A. S. el Elector de Hesse-Cassel, y Mr. ei Barón de Pappenheim, Ministro plenipotenciario de S. A. S. el Landgrave de Hesse-Darmstadt. El Marques de Lucchesini, Embaxador del Rey de Prusia cerca de nuestra Corte, que fué hace poco tiempo á Berlín, se h</t>
  </si>
  <si>
    <t>de Parra, Miguel Antonio</t>
  </si>
  <si>
    <t>Miguel Antonio de Parra</t>
  </si>
  <si>
    <t>primer premio al mismo D. Mariano Santander y Alvarez; él segundo á D. Mateo Seoane, y el tercero á D. Miguel Antonio de Parra, habiéndose adjudicado el accésit á D. Manuel Blanco y Cieza; consistiendo todos estos premios en libros escogidos pertenecientes á la instrucción en que sobresalieron----- En la</t>
  </si>
  <si>
    <t>de Párraga, Martín</t>
  </si>
  <si>
    <t>Martín de Párraga</t>
  </si>
  <si>
    <t>ron nuevas pruebas de la verdad, que se descubrió en España, de que eran susceptibles de educación. D. Martin de Párraga, profesor en el Real Estudio de Mineralogía de esta Corte, dará principio á sus lecciones de Orictognosia el dia i.° de Diciembre próximo á las io de la mañana, y las continuará á</t>
  </si>
  <si>
    <t>de Paula Antonio Maeía, Francisco</t>
  </si>
  <si>
    <t>Francisco de Paula Antonio Maeía</t>
  </si>
  <si>
    <t>r se vistió la Corte de gala en el Real Sitio de Aranjuez con motivo del cumpleaños del Sr. Infante Don Francisco de Paula Antonio Maeía, hijo tercero del Rey. S.-M. se ha servido nombrar par2 la Canongía, vacante en la Catedral de Toledo por fallecimiento del limo. Sr. Arzobispo de Selimbria D. Fray Manuel Abad de</t>
  </si>
  <si>
    <t>de Paula García de Quesáda, Francisco</t>
  </si>
  <si>
    <t>Francisco de Paula García de Quesáda</t>
  </si>
  <si>
    <t>ntes. i..a Al Sr.. D. Antonio de Arboré y O-Brien, Veinteiquatro de h ciudad de Sevilla. 2.a Al Sr. D. Francisco de Paula García de Quesáda, Veinteiquatro de la ciudad de Jaén. 3.a Al Sr. D. Francisco Sánchez Gadeo, Veinteiquatro de la ciudad de Granada. 4.a A la ciudad de Plasencia, en ia provincia de Extremadura, qu</t>
  </si>
  <si>
    <t>de Paula Gregorio, Francisco</t>
  </si>
  <si>
    <t>Francisco de Paula Gregorio</t>
  </si>
  <si>
    <t>ientes del mismo D. Joaquín Ortiz de Zarate, D. Josef y D. Pedro Aguado, D. Manuel Rodríguez Perez, D. Francisco de Paula Gregorio, D. Tomas Aguirre y Castro, D. Juan Bautista Ponsinch, D. Felipe del Arco Agüero , D. Josef Sánchez Tagle, D. Francisco Xaramillo, D. Dionisio López Pinto, D. Mariano Carrillo de</t>
  </si>
  <si>
    <t>de Paula Manxon, Francisco</t>
  </si>
  <si>
    <t>Francisco de Paula Manxon</t>
  </si>
  <si>
    <t>Setiembre del año pasado por la goleta de S. M. nombrada la Pancha, del mando del Teniente de Navio D. Francisco de Paula Manxon, quien por su gran serenidad salvó estos pliegos y otros de oficio, sin embargo de haber sido batida y abordada la goleta, á las 9 de la noche del dia y de Diciembre, por un corsa</t>
  </si>
  <si>
    <t>de Paula Martí, Francisco</t>
  </si>
  <si>
    <t>Francisco de Paula Martí</t>
  </si>
  <si>
    <t>económica. Los que quieran aprender este arte deberán, presentarse para matricularse ai Catedrático D. Francisco de Paula Martí,, que vive en la. calle de Francos, núm. ió, esquina á la plazuela,de Jesús-, quarto prin£Ípaa.L Se adviertaqqe Jos, que se alistaren pomo {discípqk&gt;$ han ¡de saber Jeer.y escribi</t>
  </si>
  <si>
    <t>de Paula Orcasitas, Francisco</t>
  </si>
  <si>
    <t>Francisco de Paula Orcasitas</t>
  </si>
  <si>
    <t>Regimiento de caballería del Rey se lia servido S. M. conceder émpleo dé Portaestandarte al Cadete D. Francisco de Paula Orcasitas; y ea el ae la Reyna erhpléo de Alférez al Portaestandarte D. Fernando Suarez* También se ha servido el Rey -conceder empleos de Portaguión en los Regimientos de, dragones de Ja R</t>
  </si>
  <si>
    <t>de Paula Vázquez, Francisco</t>
  </si>
  <si>
    <t>Francisco de Paula Vázquez</t>
  </si>
  <si>
    <t>ro. El Rey se ha servido conceder en el Regimiento de infantería de Granada Tenencia al Subteniente D. Francisco de Paula Vázquez; y Subtenencia de bandera al Sargento primero D. Matías Juanes; y en el de Voluntarios de la Corona Tenencia al Subteniente de granaderos, graduado de Teniente, D. Josef Bonet. S.</t>
  </si>
  <si>
    <t>de Paula Zapata, Francisco</t>
  </si>
  <si>
    <t>Francisco de Paula Zapata</t>
  </si>
  <si>
    <t>ombrar para la Canongía vacante en la Catedral "de Astorga, por fallecimiento de D. Pedro Brioso, á D. Francisco de Paula Zapata, Presbítero; y para el Curato rural de la Parroquia de la Magdalena de la ciudad de Plasencia, vacante por muerte de D. Lorenzo Tirado, á D. Domingo Ramírez, Clérigo de Prima. En</t>
  </si>
  <si>
    <t>de Paula, Francisco</t>
  </si>
  <si>
    <t>Francisco de Paula</t>
  </si>
  <si>
    <t>, se ha verificado ei de esta villa, habiendo contribuido á costearle los Sres. Infantes D. Cárlos, D. Francisco de Paula y D. Pedro. En el dia 24 de Mayo último se hizo la bendición solemne con asistencia del Clero y Ayuntamiento, manifestando el pueblo su complacencia en ver realizadas las saludables y</t>
  </si>
  <si>
    <t>de Peralta, Gregorio</t>
  </si>
  <si>
    <t>Gregorio de Peralta</t>
  </si>
  <si>
    <t>Ó2Ó D. Gregorio de Peralta. Una casa sita en la calle de S. Pedro,, núm. 8r, de tres y medio cuerpos de fábrica mediana, tasada en 268,316! rs. en venta, y 8500 ea renta: otra en la calle de la Torre, núm.</t>
  </si>
  <si>
    <t>de Piedra, Dionisio</t>
  </si>
  <si>
    <t>Dionisio de Piedra</t>
  </si>
  <si>
    <t>. j. S. M. se ha servido conceder en el Regimiento de infantería de América Tenencia al Subteniente D. Dionisio de Piedra; y en el de Hibernia Subtenencia de bandera al Sargento primero de granaderos D. Mateo Pascual. El Rey se ha dignado nombrar para la plaza de Regente de la Real Audiencia de Extre</t>
  </si>
  <si>
    <t>de Piñuela, Sebastián</t>
  </si>
  <si>
    <t>Sebastián de Piñuela</t>
  </si>
  <si>
    <t>te D. Diego Gil Fernandez, y el mismo Excmo. Sr. Duque de la Roca, acompañado del limo. Sr. Notario D. Sebastian de Piñuela, de los Capellanes de Honor D. FranciscoQuesada, Don Juan Guillen, D. Agustín Librero, D. Nicolás Esterripa, D. Manuel Gallardo, D. Vicente Navarro, D. Josef Duaso, y D. Blas de T</t>
  </si>
  <si>
    <t>de Poves, Fernando</t>
  </si>
  <si>
    <t>Fernando de Poves</t>
  </si>
  <si>
    <t>Brmeíéá u Dignidad de la Catedral dé Burgos , vacante por filleeimiento; de D. AGcenteo Ra mirez, á D. Fernando de Poves, Inquisidor de Corte: para ía Camngía de la Colegiata de la ciudad de Sta. Fe, Diócesis de Granada, va'ante oor dexacion de L). Agustín Perez Zaragoza, á L&gt;. Juan Rósale" Sin .hez</t>
  </si>
  <si>
    <t>de Prado Ulloa, Benito</t>
  </si>
  <si>
    <t>Benito de Prado Ulloa</t>
  </si>
  <si>
    <t>de los Gentileshombres de Boca y Casa D. Vicente Lanz, D. Manuel Salazar, D. Manuel Pascual y Oto, D. Benito de Prado Ulloa, D. Tomas de Arsú, D. Pedro Ladrón de Guevara, D. Juan de Xaramillo, D. Carlos Brasé, D. Josef García Aleson, Don Pedro Josef de Marcoleta, D. Dionisio Hurtado de Mendoza y D. Jos</t>
  </si>
  <si>
    <t>de Preux, Carlos</t>
  </si>
  <si>
    <t>Carlos de Preux</t>
  </si>
  <si>
    <t>adrid 14 de Febrero. El Rey se ha servido nombrar Coronel del Regimiento Suizo vacante de Courten á D. Carlos de Preux, Teniente Coronel del mismo: para esta resulta á D. Josef Bay, y para el empleo de Sargento mayor á D. Josef de Gard, ámbos Capitanes dei propio Cuerpo: para las dos Subtenencias</t>
  </si>
  <si>
    <t>de Preux, Francisco</t>
  </si>
  <si>
    <t>Francisco de Preux</t>
  </si>
  <si>
    <t>uizo de Preux empleos de Capitanes segundos al Ayudante D. Josef Escher y ai Teniente de granaderos D. Francisco de Preux, y estas resultas á los Tenientes D. Juan Baptista Duc y D. Mauricio Zenkfusen: en el de Wimpífen Subtenencia de bandera al Cadete D. Fidel Spieler; y en el de Traxler Subtenencia</t>
  </si>
  <si>
    <t>de Preux, Henrique</t>
  </si>
  <si>
    <t>Henrique de Preux</t>
  </si>
  <si>
    <t>deros D. Estanislao ae Werra y D. Guillermo Lavallaz: para estas resultas! los Capitanes séy gundos D. Henrique de Preux y D. Alexo efe W^m**-Teniente en el dd Traxler al Subteniente de granaderos D. /Federico B^hi;, y Subtenientes de fusileros á-los Cadetes,D.Juan.Kempf, D,. Bernardo,,Schweizer y P.MLg</t>
  </si>
  <si>
    <t>de Preux, Pedro Antonio</t>
  </si>
  <si>
    <t>Pedro Antonio de Preux</t>
  </si>
  <si>
    <t>e Gard, ámbos Capitanes dei propio Cuerpo: para las dos Subtenencias de bandera de nueva creación á D. Pedro Antonio de Preux y á D. Josef Melchor de Montheys; Subteniente de granaderos al de fusileros D. Josef Teodosio Kalbermaten, y Subteniente de fusileros al Cadete D. Federico Guerraty: en el de Traxle</t>
  </si>
  <si>
    <t>de Prusia, Henrique (príncipe)</t>
  </si>
  <si>
    <t>Príncipe Henrique de Prusia</t>
  </si>
  <si>
    <t>ha dignado S. M. encargarle de nuevo á él solo el despacho de los Negocios extrangeros. S* A. R. el Príncipe Henrique de Prusia ha salido de aquí para Dres</t>
  </si>
  <si>
    <t>terminado su gloriosa carrera con las armas en la mano. También quedó muerto el General Ruchel. El Príncipe Henrique de Prusia, hermano del Rey, está herido de peligro. La Reyna se refugió primero á Weymar, de donde salió á pocos instantes, huyendo con precipitación por un camino lleno de tropas Francesas</t>
  </si>
  <si>
    <t>Mariscal Moellendortif salió herido; el Duque de Brunswick y el General Ruchel fueron muertos, y el Príncipe Henrique de Prusia gravemente herido. Según dicen los prisioneros, los desertores y los parlamentarios, el desorden y la consternación son muy grandes en los restos del exército enemigo. Por nuestra</t>
  </si>
  <si>
    <t>de Prusia, Luis (príncipe)</t>
  </si>
  <si>
    <t>Príncipe Luis de Prusia</t>
  </si>
  <si>
    <t>igió á Graífenthal 1 el 10 acometió en Saafeld la vanguardia del Príncipe Hohenlohe, mandada por el Príncipe Luis de Prusia, uno de los promovedores de la guerra. El fuego no duró mas que do^ horas; y solamente peleó la mitad de la división del General imchet: los Regimientos de húsares 9.0 y 10 derrot</t>
  </si>
  <si>
    <t>de infantería, Comandante de la plaza de Magdeburgo; yLeblanc, Capitán del Regimiento de infantería Príncipe Luis de Prusia, todos estipulando en nómbrele! Excmo. Sr. Conde de Kleivt, General de infantería, Caballero de las Ordenes del* Aguila Negra y del Aguila Roxa, y de S. Alexandro Neusky de Rusia,</t>
  </si>
  <si>
    <t>de Prusia, Luis Fernando (príncipe)</t>
  </si>
  <si>
    <t>Príncipe Luis Fernando de Prusia</t>
  </si>
  <si>
    <t>ado un puesto de la ala izquierda del exército de Hohenlohe; ha habido, una sangrienta pelea » y el Príncipe Luis Fernando de Prusia ha quedado en el campo de batalla. Desde ayer á las 12 han padecido infinito, no solo los Regimientos Zastram y un batallón de Bellet, los húsares verdes y pardos íkc., sino tambi</t>
  </si>
  <si>
    <t>ugio, y abusando de la lealtad Francesa) firntáron este escrito, dispuesto en forma de memorial: el Príncipe Luis Fernando de Prusia ( muerto) le apoyó, y todos los ánimos se enaraeciéron. El Duque de Bruhswijk (muy gravemente herido), hombre débil y bondadoso, se vio alistado en el partido de la guerra; y fina</t>
  </si>
  <si>
    <t>de Quadroa, Antonio</t>
  </si>
  <si>
    <t>Antonio de Quadroa</t>
  </si>
  <si>
    <t>l oficio deí Escribano de su número y Ayuntamiento D. Pranciscp García Montañés. Por el juzga,4° de D. Antonio de Quadroa, Gobernador de la ciudad de Teruel, se están subastando las fincas correspondientes á la ofira pía, denominada de Pon Miguel Alrreu, las guales consisten en dos casas existentes e</t>
  </si>
  <si>
    <t>de Que, Francisco</t>
  </si>
  <si>
    <t>Francisco de Que</t>
  </si>
  <si>
    <t>r. Pedro Padilla, el Dr. Bartolomé Leonardo de Argensola, el Príncipe ‘de Esquilache, Lope de Vega, D. Francisco de Que vedo, Fr. Juan de Soto y el Conde de Rebolledo, por lo qual esta colección es no menos útil para las personas devotas que deseen inflamarse con los tiernos afectos que inspiran es</t>
  </si>
  <si>
    <t>de Rebolleda, Fernando Nicolás</t>
  </si>
  <si>
    <t>Fernando Nicolás de Rebolleda</t>
  </si>
  <si>
    <t>s de Telémaco, hijo de Ulises, por el limo. Sr. Fenelon, Arzobispo de Cambray: nueva traducción por D. Fernando Nicolás de Rebolleda. Hay tres ediciones, una en castellano solo, 2 tomos en 8.°, á 14 rs. en rústica y 20 en pasta: otra en castellano, con el texto francés al frente, 4 tomos en 8.°, á 28 rs. en rús</t>
  </si>
  <si>
    <t>de Reden, Barón</t>
  </si>
  <si>
    <t>Barón de Reden</t>
  </si>
  <si>
    <t>riz han sido depositadas en el palacio Imperial. Ratisbona 2 7 de Marzo. Mr. el Barón de Reden, Ministro de Brunswick-Luneburgo, ha comunicado ayer á la Dieta en una Nota impresa la correspondencia de oficio del Ministerio Prusiano cón el Ministerio de Hannóver, anterior á la última</t>
  </si>
  <si>
    <t>ara sus Estados. Pronto saldrá, de Ratisbona, y regularmente no volverá mas, el Barón de Reden , Ministro Ingles cerca de la Dieta Germánica. Mr. Becker, Consejero de Gotha, ha exhortado á todos los Directores de los teatros de Alemania para que le remitan el producto de una entrada,</t>
  </si>
  <si>
    <t>le ha dado dicha posesión el Comisionado Prusiano Mr. de Magler. Dícese que el Barón de Reden, Ministro Sueco en la Dieta general del Imperio, saldrá muy pronto de Ratisbona. El Reyno de Suecia, inclusa la Pomerania, tiene 3.770® habitantes. El exércitode tierra, inclusas las tropas</t>
  </si>
  <si>
    <t>de Rennes, Obispo</t>
  </si>
  <si>
    <t>Obispo de Rennes</t>
  </si>
  <si>
    <t>mosnero mayor de S. M. la Emperatriz, antiguo Arzobispo de Cambray, del antiguo Obispo de Rennes, Canónigo de S. Dionisio, y de Mr. Costaz, Cura de la Parroquial de la Magdalena, hizo en seguida la ceremonia de los desposorios.. Concluida esta se retiraron SS. MM., acompañados de los n</t>
  </si>
  <si>
    <t>de Répide, Juan</t>
  </si>
  <si>
    <t>Juan de Répide</t>
  </si>
  <si>
    <t>quato Antonio Collado, Teniente Corregidor de esta villa, por la escribanía de su numero que exerce D. Juan de Répide; y para el remate está señalado el dia 15 del corriente. El remate de las casas sitas en la calle del. Arenal, núms. i y 3, manz. 391, retasadas en 649,614 rs., se ha verificado e</t>
  </si>
  <si>
    <t>de 30 dias contados desde el 2 2 de Abril próximo pasado» Por el mismo Sr. Teniente y escribanía de D. Juan de Répide se vende una casa sita en la calle de Panaderos, inmediata á la del Pez, núm. 21, manz* 470, tasada en 489,282 rs. Quieíl quisiere comprarla acuda á dicha escribanía. Quien quisie</t>
  </si>
  <si>
    <t>a ante el Sr. Teniente Corregidor de esta-v.jllaí D. Torquato Antonio Collado, por la escribanía de D. Juan de Répide; y está señalado para el remate el día 15 del corriente. . Blas Balino, ordinario que fué de la villa y Corte de Madrid, y . vecino, de la</t>
  </si>
  <si>
    <t>da ante el Sr. D. Torquato Antonio Collado, Teniente Corregidor de esta villa, por la escribanía de D. Juan de Répide, dentro del término de 30 días contados desde el 2 del corriente. Por providencia del Tribunal del Consulado de Cádiz, de 30 de Junio de este año,, se manda citar á todos los acre</t>
  </si>
  <si>
    <t>uda ante el Sr. D. León de Sagasta, Teniente Corregidor de esta villa, por la escribanía que exerce D. Juan de Répide; y está señalado para su remate el día gi del corriente. Quien quisiere hacer postura á una casa sita en el lugar de Vallecas, en la calle de los Pajeros, tasada en 78,544 rs. 18</t>
  </si>
  <si>
    <t>Sr. Teniente de Corregidor de esta villa D. Torquato Antonio Collado, por la escribanía que exerce D. Juan de Répide, dentro de 30 dias contados desde el 19 del. corriente. Por providencia del Sr. D. Felipe Gil de Taboada y Lemos, del Consejo de S. M., su Alcalde de Casa y Corte, y escribanía de</t>
  </si>
  <si>
    <t>el Sr. D. Torquato Antonio Collado, Teniente Corregidor de esta villa, por la escribanía que exerce D. Juan de Répide. A voluntad de su dueño se vende una casa sita en el lugar de Vicálbaro ^ en la plaza Mayor¿ que se- compone de quarto baxo,.principal, cámaras, caballeriza, y bodega con su.lagar</t>
  </si>
  <si>
    <t>el Sr. D. Torquato Antonio Collado, Teniente Corregidor de esta villa, por la escribanía que «xerce D. Juan de Répide. . . „ ^ ., Por la audiencia del Sr. D. Torquato Antonio Collado, Teniente Corregidor de esta villa, y escribanía de D. Miguel Gonzalo, se cita, llama y emplaza á todos los que se</t>
  </si>
  <si>
    <t>da ante el Sr. D. Torquato Antonio Collado, Teniente Corregidor de esta villa, por la escribanía de D. Juan de Répide, dentro de 3c* días contados desde el 7 del corriente. Por providencia del Sr. Alcalde D. Francisco López Lisperguer se ha mandado sacar á pública subasta, por término de 30 dias</t>
  </si>
  <si>
    <t>de Réplde, Juan</t>
  </si>
  <si>
    <t>Juan de Réplde</t>
  </si>
  <si>
    <t>a ante el Sr. I). Torquato Antonio Collado, Teniente Corregidor de esta villa,'por la escribanía de D. Juan de Réplde. Compendio de la Historia universal, qnaderno 53 (j r¿° del tomo 14), con las 6 estampas covréspóndlentes.- Sé hallará eiv la librería de Fuen ten ébro y compañía, calle de las Ca</t>
  </si>
  <si>
    <t>de Requena y Castañeda, Manuel</t>
  </si>
  <si>
    <t>Manuel de Requena y Castañeda</t>
  </si>
  <si>
    <t>la casa» posada pública y sus seis pequeñas accesorias, afectas á la pía memoria que fundó el Lie. D. Manuel de Requena y Castañeda, que unas y otras unidas ocupan el terreno de 2500 varas superficiales, y se hallan sitas en las calles de Mesones y Posadas de la misma '-trilla, valuadas todas en 112,206 rs. en</t>
  </si>
  <si>
    <t>de Rey, Vicente</t>
  </si>
  <si>
    <t>Vicente de Rey</t>
  </si>
  <si>
    <t>osef González; y á Tenientes Coroneles del propio Cuerpo á los Gefes de Brigada D. Rafael de Hoces, D. Vicente de Rey na y D. Alvaro Chacón, los dos primeros graduados de Tenientes Coroneles. Habiendo manifestado los Caballeros Cadetes del Real Cuerpo de Artillería en los últimos exámenes celebra</t>
  </si>
  <si>
    <t>de Ribacoba y Gorbea, Manuel</t>
  </si>
  <si>
    <t>Manuel de Ribacoba y Gorbea</t>
  </si>
  <si>
    <t>sef Antonio de Uriarte, por la Caxa de Consolidación. Y ha nombrado por sus Diputados á los Señores D. Manuel de Ribacoba y Gorbea, y D. Esteban de la Torre, estableciendo sus oficinas en la Caxa de Descuentos, calle del Duque de Alba, para dar principio á la operación desde el dia 20 de este mes, lo que se a</t>
  </si>
  <si>
    <t>de Riega, Bernardo</t>
  </si>
  <si>
    <t>Bernardo de Riega</t>
  </si>
  <si>
    <t>conveniente, habiendo puesto el de Mataré, en el Principado de Cataluña, al cargo y cuidado del Sr. D. Bernardo de Riega; este Ministro, zeloso del bien .público, igualmente que el Gobernador dé dicha ciudad activó sus providencias, y á su virtud se ha conseguido la edificación de cementerios en los</t>
  </si>
  <si>
    <t>de Rivas, Juan</t>
  </si>
  <si>
    <t>Juan de Rivas</t>
  </si>
  <si>
    <t>ldeiglesias-y'aldea del Fresno; Se admiten memoriales hasta el dia 10 de, Junio, que sé dirigirán á D. Juan de Rivas, Escribano de su Ayuntamiento; .„ Se halla vacante Ja plaza de Cantor y Organista de la villa deDueñas, Obispado de Pa-leticia: -su dotación es Medio-Beneficio de Preste, con mas</t>
  </si>
  <si>
    <t>de Roa, Tomás</t>
  </si>
  <si>
    <t>Tomás de Roa</t>
  </si>
  <si>
    <t>Rey se ha servido nombrar para el Obispado de la Concepción de .Chile, vacante por fallecimiento de D. Tomas de Roa y -Alarcon, á .IX- Diego Antonio Navarro Martin de Villodres: para el de Cartagena de Indias, vacante igualmente por muerte de D. Gerónimo Gómez de Liñana, á Fr. Custodio Díaz, del</t>
  </si>
  <si>
    <t>de Rodas, Rafael</t>
  </si>
  <si>
    <t>Rafael de Rodas</t>
  </si>
  <si>
    <t>o marítimo de la Europa, escrito en itaiiano por Domingo Alberto Azuni, y traducido del francés por D. Rafael de Rodas: 2 tomos en 8.° mayor. Se hallará en la librería de Alonso, frente á lasgradas de S. Felipe. Esta obra se debe considerar como absolutamente nueva, así por el plan que abraza para</t>
  </si>
  <si>
    <t>de Roxas, Antonio</t>
  </si>
  <si>
    <t>Antonio de Roxas</t>
  </si>
  <si>
    <t>z, Médico titular de esta ciudad y Real casa de Misericordia de ella, habiendo hecho presente al Sr.D. Antonio de Roxas, Dignidad y Canónigo de esta Santa Iglesia Catedral, y Director de la misma Real casa, que había empezado á experimentarse en varios puntos de la ciudad el contagio de las viruela</t>
  </si>
  <si>
    <t>de Roxas, Diego</t>
  </si>
  <si>
    <t>Diego de Roxas</t>
  </si>
  <si>
    <t>útilísima fué escrita parafjanaíB?iiVíesa;,i.au94é:Sálel’». Sj&amp;Jmprímió en .flanees; y el limo. Sr. D. Diego de Roxas, Obispo de Calahorra y 1¿ Calzaidayínandó traducirla en nuestro idioma. Va añadido al fin el método de visitar fructuosamente á J.esug Sácfamenfádo coTi mcTtivo dél juBTIé'c) de Q</t>
  </si>
  <si>
    <t>de Rueda Cevallos, Pedro</t>
  </si>
  <si>
    <t>Pedro de Rueda Cevallos</t>
  </si>
  <si>
    <t>S20 zo, en las montañas de Santander, y de la ciudad de Burgos, como herederos de D. Pedro de Rueda Cevallos, con el Consulado de Sevilla sobre paga de un crédito de 10S) ducados de plata y sus intereses de los intitulados Balbas, que se hallan executoriados, en los que por auto del mism</t>
  </si>
  <si>
    <t>de Salas, Francisco Gregorio</t>
  </si>
  <si>
    <t>Francisco Gregorio de Salas</t>
  </si>
  <si>
    <t>s, con el juicio imparcial del carácter de los naturales de los Rey-nos y Provincias de España, por D. Francisco Gregorio de Salas, Capellán mayor de la Real Gasa de Recogidas de esta Corte. Se hallarán en la librería de Castillo, frente á las gradas de S. Felipe, en la de Fuentenebro, calle de las Carretas,</t>
  </si>
  <si>
    <t>de Sales y Andrés, Francisco</t>
  </si>
  <si>
    <t>Francisco de Sales y Andrés</t>
  </si>
  <si>
    <t>la Canongía, vacante en la Catedral de Plasencia por fallecimiento de D. Joaquín Ramos y Monroy, á D. Francisco de Sales y Andrés, Revisor general del Supremo Consejo de la Inquisición; y para la Abadía de Foncebadon, Dignidad de la Catedral de Astorga,de precisa residencia, á Don Francisco Fernandez Duran,</t>
  </si>
  <si>
    <t>de Sancha y Prado, Tomás</t>
  </si>
  <si>
    <t>Tomás de Sancha y Prado</t>
  </si>
  <si>
    <t>presente. Por la audiencia del Sr. Teniente D. Torquato Antonio Collado, y escribanía del número de D. Tomas de Sancha y Prado, se ha rematado una casa sita en esta Corte, calle del Luzon, á la de Cruzada, núm. 2, manz. 427, en 877,997 rs. de su tasa, á pagar en vales Reales* Quien quisiere hacer puja del</t>
  </si>
  <si>
    <t>a audiencia del Sr. D. Torquato Antonio Collado, Teniente Corregidor de esta villa, y escribanía de D. Tomas de Sancha y Prado, se ha señalado el día 8 de Mayo próximo para el remate dé una casa sita en la calle de Jesús y María, número 10, manz. 49, retasada últimamente en 297,464:ts.“±zPor elmismo Sr. T</t>
  </si>
  <si>
    <t>Torquato Antonio Collado, Teniente Corregidor de esta villa, Juez comisionado, por la escribanía de D. Tomas de Sancha y Prado. El Sr. Intendente de esta Provincia, por su decreto de 19 de Mayo de este año, aprobó el remate de una casa sita en la calle de Chinchilla -número, contigua al 11, manz. 359, tas</t>
  </si>
  <si>
    <t>do ante el Sr. D. Torquato Antonia Collado, Teniente Corregidor de esta villa, por la escribanía de D. Tomas de Sancha y Prado. Para el remate de una capilla sita en la Iglesia de PP. de Santo Tomas de, esta, Corte,,;con el.título de;nuestra Señora de las Nieves,íque se vende para pago de acreedores, ysej</t>
  </si>
  <si>
    <t>de Sancha, Tomás</t>
  </si>
  <si>
    <t>Tomás de Sancha</t>
  </si>
  <si>
    <t>de. esta Villa, y escribanía dé! número de D. Tomas de Sancha y -Prado, tst'uuMmlado él día rg.del corriente pafa el remate de.una,casa sita en esta Corte, calle del Avapies, con'accesorías á la de Jesús y María, núm. 12, manz. -47, tasada en</t>
  </si>
  <si>
    <t>de Saxonia, Xavier (príncipe)</t>
  </si>
  <si>
    <t>Príncipe Xavier de Saxonia</t>
  </si>
  <si>
    <t>d le sacaron de tan violenta accesión. ESPAÑA. Madrid 22 de Julio. Con motivo del fallecimiento del Príncipe Xavier de Saxonia ha resuelto S. M. que la Corte se vista de luto por tres semanas, empezando desde el dia 20 del corriente. S. M. se ha servido conferir la Sargentía mayor del Regimiento de infant</t>
  </si>
  <si>
    <t>de Saxonia-Teschen, Alberto (duque)</t>
  </si>
  <si>
    <t>Duque Alberto de Saxonia-Teschen</t>
  </si>
  <si>
    <t>e acomodar todas las decisiones que propone, al nuevo cddigo criminal de la Monarquía Austriaca. El Duque Alberto de Saxonia-Teschen ha dado 25© florines para distribuirlos en alivio de los pobres que mas han sufrida en los Estados hereditarios en la ultima campaña. S. A. R. el Archiduque Juan, Director general</t>
  </si>
  <si>
    <t>de Schulenburgo-Kehnert, Conde</t>
  </si>
  <si>
    <t>Conde de Schulenburgo-Kehnert</t>
  </si>
  <si>
    <t>nistro de Rusia Mr. de Alopeus. Antes de ayer llegó aquí de Berlin S. E. Mr. el Conde de Schulenburgo-Kehnert, Ministro de Estado y del Gabinete Prusiano.—. En estos dias se ha hecho un acopio considerable de harina y otras provisiones para las tropas Prusianas. Nuremberg ly de Marzo. Ayer se quitó</t>
  </si>
  <si>
    <t>de Seda y Df Anastasio Díaz, Manuel</t>
  </si>
  <si>
    <t>Manuel de Seda y Df Anastasio Díaz</t>
  </si>
  <si>
    <t>os Cadetes D, Josef Urquizu, D, Fernando del Joro y D. Ildefonso del Toro, y los Sargentos primeros D. Manuel de Seda y Df Anastasio Díaz de granaderos, D. Dionisio López y D. Joaquín Martínez, El Brigadier de la Real Armada D,. Agustín Figueroa, Comandante del Apostadero de Marina de Puerto Cabello, ha participado al</t>
  </si>
  <si>
    <t>de Sequeyra, Gabriel</t>
  </si>
  <si>
    <t>Gabriel de Sequeyra</t>
  </si>
  <si>
    <t>se ha servido conceder en el Regimiento de infantería de Cantabria Subtenencia de bandera al Cadete D. Gabriel de Sequeyra. El Rey se ha servido conferir en el Regimiento de infantería de Extremadura Compañía al Ayudante, graduado de Capitán, D. Angel del Castillo. S. M. se ha dignado conferir la Tene</t>
  </si>
  <si>
    <t>de Sierra y Pambley, Felipe</t>
  </si>
  <si>
    <t>Felipe de Sierra y Pambley</t>
  </si>
  <si>
    <t>anté, dé Madrid, en la calle de Fuencarral, frente á la de las Infantas, núm. 2. Por providencia de D. Felipe de Sierra y Pambley, Comisionado Regio para la venta.de bienes eclesiásticos en los Obispados de León y Astorga, están en subasta para la puja de la quarta parte, cuyo término espira el dia 21 de est</t>
  </si>
  <si>
    <t>ien quisiere hacer postura acuda á la escribanía de Don Diego Benigno González. Por providencias de D. Felipe de Sierra y Pambley, Comisionado Regio para la venta de bienes eclesiásticos y de obras pías en los Obispados de León y Astorga, se están subastando 383 yugadas ó fanegas de tierra trigal pertenecien</t>
  </si>
  <si>
    <t>Contaduría de Encomiendas, que existe dentro de la casa de los Reales Consejos. Por providencia de D. Felipe de Sierra y Pambley, Comisionado Real para la venta de bie(nes eclesiásticos, y Juez,para la de los de obras pias en la provincia de León, se están subastando los siguientes, propios de los hospitale</t>
  </si>
  <si>
    <t>de Sierra, Juan</t>
  </si>
  <si>
    <t>Juan de Sierra</t>
  </si>
  <si>
    <t>otra casa en dicha calle, núm. 30, manz. 69, en 52,308 rs : á cuyas fincas se ha hecho postura por D. Juan de Sierra en las mismas cantidades de sus tasas á pagar en vales Reales. Quien quisiere hacer mejora á todas ó qualesquiera de ellas comparezca en la escribanía de la Comisión Regia, que sirv</t>
  </si>
  <si>
    <t>de Simancas, Agustín</t>
  </si>
  <si>
    <t>Agustín de Simancas</t>
  </si>
  <si>
    <t>o nombrar para la Dignidad de Chantre de la Catedral de Truxillo, en el Perú, vacante por muerte de D. Agustín de Simancas, á D. Josef Cleto Gamboa, Doctoral de la misma: para Canónigo de la de ValladoLid de Mechoacan á D. Sebastian Betancourt: para la Ración que dexa á D. Josef Florez Estrada; y para</t>
  </si>
  <si>
    <t>de Solis Quintano, Fernando</t>
  </si>
  <si>
    <t>Fernando de Solis Quintano</t>
  </si>
  <si>
    <t>ante por muerte de Don Juan Rusiñol, á D. Pedro Parés Miro y Grael. El Rey se ha dignado conceder á D. Fernando de Solis Quintano, Regidor de la ciudad de Xerez de los Caballeros, en consideración á sus méritos, rentas y justificada nobleza, Título de Castilla, con la denominación de Marques de S. Fernando,</t>
  </si>
  <si>
    <t>de Soto, Mateo</t>
  </si>
  <si>
    <t>Mateo de Soto</t>
  </si>
  <si>
    <t>fusileros á D. Juan Manuel Gallardo, D. Antonio Josef Laso de la Vega , D. Vicente Perez Idiaquez, D. Mateo de Soto, D. Sixto Carrera, D. Remigio.Diaz y D. Mauricio Zelaya; y de bandera á D. Pedro Luque y D. Juan Miguel Morazan, todos vecinos de la jurisdicción del mismo cuerpo. El Rey se ha di</t>
  </si>
  <si>
    <t>de Spencer, Conde</t>
  </si>
  <si>
    <t>Conde de Spencer</t>
  </si>
  <si>
    <t>y Petty, Canciller del Echiquier: Mr. Fox, Ministro de Negocios extrangeros: el Conde de Spencer, Ministro de lo Interior: Mr. Windham, Secretario de la Guerra y de las Colonias: Mr. Grey, primer Lord del Almirantazgo *. el Conde de Moira, Gefe de la Artillería : el Conde de Fitz-WiHia</t>
  </si>
  <si>
    <t>de Stádion, Conde</t>
  </si>
  <si>
    <t>Conde de Stádion</t>
  </si>
  <si>
    <t>caballería Francesa y por toda lá caballería del cuerpo de la ciudad. • Mr. el Conde de Stádion, Ministro de Austria en la Corte de Rusia, ha sido encargado del despacho de los negocios extrángeros en lugar deMr.de Cobentzd. BA VIERA. Munich j / de Diciembre. Á las dos ménos quarto de</t>
  </si>
  <si>
    <t>de Stadion, Conde</t>
  </si>
  <si>
    <t>Conde de Stadion</t>
  </si>
  <si>
    <t>a -venida del General Berthier tuvo el General Andreossy una conferencia con el Conde de Stadion, Ministro de Negocios extrangetos. Las conjeturas que han esparcido los políticos de esta Capital ^con motivo .de dicha ‘Conferencia, son muy varias , y ciertamente aventuradas. ■ ■" -:í Se</t>
  </si>
  <si>
    <t>Larochefoucault, Embaxador de Francia, ha tenido ya muchas, conferencias con el Conde de Stadion, Ministro de Negocios extrangeros,, de lo qual se infiere que tratan puntos de suma importancia. Se asegura que el General de caballería Conde de Beliegarde irá de Embaxador de nuestra Cort</t>
  </si>
  <si>
    <t>eos de Petersburgo el Conde de Rasumowsky, y tiene conferencias á menudo con el Conde de Stadion, Ministro de Negocios extrangeros. Dícese que ha hecho algunas gestiones, con el objeto de que nuestro Gobierno coopere á los proyectos del Gabinete Rüso; pero añaden también qüe S. M. el E</t>
  </si>
  <si>
    <t>de Tejada, Félix</t>
  </si>
  <si>
    <t>Félix de Tejada</t>
  </si>
  <si>
    <t>D.. Lorenzx). Nielfa. En atención á los méritos y servicios del Teniente- General de la Real Armada D. Félix de Tejada , Capitán, general del Departamento del Ferrol, ha venido el Rey en concederle la Gran Cruz, de la Real y distinguida Orden de Cáríos in. En el despacho de la Imprenta Real se ven</t>
  </si>
  <si>
    <t>de Terrazas, Manuel</t>
  </si>
  <si>
    <t>Manuel de Terrazas</t>
  </si>
  <si>
    <t>ra la Dignidad de Dean de la Metropolitana de ¿Charcas á D. Juan Manuel Berdeja: para la Ghantría á D. Manuel de Terrazas: para la Tesorería á D. Francisco Antonio de Areta: para la. Canongía á D. Juan Miguel de Amezaga; y para la Ración, al Medio-Racionero D. Pedro Josef Mendez. Para el Arcedianato</t>
  </si>
  <si>
    <t>de Theran, Francisco</t>
  </si>
  <si>
    <t>Francisco de Theran</t>
  </si>
  <si>
    <t>ndera al Cadete D. Josef Fontanilia. Atendiendo el Rey á los servicios, méritos y circunstancias de D. Francisco de Theran, Subdelegado interino de Rentas en la nueva provincia de Sanlucar de Barrameda, ha venido en concederle los honores de Intendente de Provincia. En América. En el cuerpo veterano d</t>
  </si>
  <si>
    <t>de Tiscar, Juan</t>
  </si>
  <si>
    <t>Juan de Tiscar</t>
  </si>
  <si>
    <t>a Luna al por emersión 22 ,713 Oriente. Lo calculó también en la Isla de León el Capitán de Fragata D. Juan de Tiscar, cuyo resultado fué Hora de la conjunción,por ¡mmersion... 4h 57 t¡ verdader0. por emersión. 4 5 56 ,o6j r El error de las tablas en latitud de Luna es de 8/,,47 aditivos, y en lo</t>
  </si>
  <si>
    <t>.......... .............................. ........ 4 5 58 ,00 Idem en el Depósito por el cálculo de D. Juan de Tiscar....................... .—........................................................ . 4 5 5 5 &gt;54 Diferencia de meridianos.............. .................................... 2 ,46 H</t>
  </si>
  <si>
    <t>de Toires, Sebastián</t>
  </si>
  <si>
    <t>Sebastián de Toires</t>
  </si>
  <si>
    <t>servicio y del público del Reyno de Nueva España, y demas parages;de la América Setentrionah El Sr. D. Sebastian de Toires, del Consejo Real, como Protector del estudio del lenguage general y español, que está á cargo de D. Guillermo Xaramillo, ha señalado el dia 6 de Octubre para.dar principio al 13.</t>
  </si>
  <si>
    <t>de Tomás y Asensio, Lucas</t>
  </si>
  <si>
    <t>Lucas de Tomás y Asensio</t>
  </si>
  <si>
    <t>ra su meditación, como anualmente se practica en su Congregación del Oratorio de Sevilla, por el P. Don Lucas de Tomas y Asensio, Presbítero de ella: va adornada esta obra con una estampa del Santo, grabada por uno de los mejores profesores. Se hallará á 6 rs. en la librería de Escribano, calle de las Carre</t>
  </si>
  <si>
    <t>de Toro, Blas</t>
  </si>
  <si>
    <t>Blas de Toro</t>
  </si>
  <si>
    <t>D. Agustín Librero, D. Nicolás Esterripa, D. Manuel Gallardo, D. Vicente Navarro, D. Josef Duaso, y D. Blas de Toro, Maestro de Ceremonias de la Real Capilla, de los Gentileshombres de Boca y Casa D. Vicente Lanz, D. Manuel Salazar, D. Manuel Pascual y Oto, D. Benito de Prado Ulloa, D. Tomas de</t>
  </si>
  <si>
    <t>de Torres Cónsul, Manuel</t>
  </si>
  <si>
    <t>Manuel de Torres Cónsul</t>
  </si>
  <si>
    <t>Alcalde de mi Casa y Corte.’* „ Para la plaza de Alcalde de mi Casa y Corte, vacante por ascenso de D. Manuel de Torres Cónsul á Fiscal de mi Consejo de Hacienda, noirnbro á D. Benito. Arias de Prada, Oidor de la Chancillería de Valladolid: para la que este dexa á D. Antonio Ortiz de Zárate , Alcalde mas</t>
  </si>
  <si>
    <t>de Torres Cónsul, Manuel Vicente</t>
  </si>
  <si>
    <t>Manuel Vicente de Torres Cónsul</t>
  </si>
  <si>
    <t>de Alcalá Galiano, Oidor de la Cnancillería de Granada, y al primer Teniente de la villa de Madrid D. Manuel Vicente de Torres Cónsul, Oidor honorario de la propia Chancillería: para la Tenencia de Villa que este dexa, al Relator de mi Consejo de la Guerra D. León de Sagasta, á quien concedo honores de Oidor de</t>
  </si>
  <si>
    <t>ez de Mendieta; y para la tercera Fiscalía del expresado Consejo de Hacienda, que obtenía ílorez, á D. Manuel Vicente de Torres Cónsul , electo Alcalde de mi Casa y Corte.’* „ Para la plaza de Alcalde de mi Casa y Corte, vacante por ascenso de D. Manuel de Torres Cónsul á Fiscal de mi Consejo de Hacienda, noirnbr</t>
  </si>
  <si>
    <t>de Torres y Escalante, Vicente</t>
  </si>
  <si>
    <t>Vicente de Torres y Escalante</t>
  </si>
  <si>
    <t>a, en la de Cartagena, vacante per promoción de D. Manuel Gispert á Canongía de aquella Catedral, á D. Vicente de Torres y Escalante , Beneficiado de Santa María de la ciudad de Guadalaxara en el Arzobispado de Toledo; y para el Préstamo de PÍoz_, vacante en el mismo Arzobispado por ascenso de D. Domingo Herrer</t>
  </si>
  <si>
    <t>de Torres y Gómez, Andrés</t>
  </si>
  <si>
    <t>Andrés de Torres y Gómez</t>
  </si>
  <si>
    <t>orrer. El dia 12 de Febrero último falleció en la ciudad de Jaca á los 64 años de edad el limo. Sr. D. Andrés de Torres y Gómez, Obispo confirmado de la Sta. Iglesia de Oviedo. La acendrada virtud de este Prelado, manifestada en toda la serie de su vida, y el sobresaliente exemplo de ciencia, caridad, humi</t>
  </si>
  <si>
    <t>de Torres y Zapata, Tomás</t>
  </si>
  <si>
    <t>Tomás de Torres y Zapata</t>
  </si>
  <si>
    <t>Chacón, D. Angel Valdes y Diaz Canalizo, D. Julián Morales y Sánchez, D. Flaminio Agacini y Bilbao, D. Tomas de Torres y Zapata, y D. Manuel Croquer. En América. El Rey se ha dignado promover á Capitán de la Compañía de infantería veterana íixa de Popayan al Capitán D. Antonio Alaix, Teniente de la misma;</t>
  </si>
  <si>
    <t>de Torres, Antonio</t>
  </si>
  <si>
    <t>Antonio de Torres</t>
  </si>
  <si>
    <t>os enemigos que cruzan en estas aguas, logro el bergantín S. Josef, del mando del Teniente de Navio Don Antonio de Torres, el dia 10 del pasado batir y apresar en el golfo de Vera á un xabeque corsario Ingles, de porte de 6 cañofits, con 25 hombres de tripulación, cuyo buque ha traído á Cartagena; y</t>
  </si>
  <si>
    <t>de Torres, Manuel Vicente</t>
  </si>
  <si>
    <t>Manuel Vicente de Torres</t>
  </si>
  <si>
    <t>erficiales, tasada en 755,385- rs., sin incluir, cíertas/vídrieras y mamparas, cacuja»: ante el Sr. D. Manuel Vicente de Torres, Teniente Corregidor.de esta villa, ^escribanía del número de D. Cristóbal de Vicuña, dentro de 30 dias contados, desde el 4 del corriente. Por la audiencia del Sr. D. Torquato An</t>
  </si>
  <si>
    <t>2, que tiene de sitio 2427^ pies quadrados superficiales, valuada en 47,3 24 rs., acuda ante el Sr. D. Manuel Vicente de Torres, Teniente Corregidor de esta villa, y escribanía del número de D. Cristóbal de Vicuña, dentro del término de 30 dias contados desde el 2 del presente. Por la audiencia del Sr. Ten</t>
  </si>
  <si>
    <t>superficiales, tasada en 23,598 rs , y 3136Í pies la otra, tasada en 168,319 rs,, acuda ante el Sr, D. Manuel Vicente de Torres, Teniente Corregidor de esta villa, y escribanía del número de D. Cristóbal de Vicuña, dentro de 30 dias contados desde el 9 del corriente. Por la audiencia del Sr. D. Torquato An</t>
  </si>
  <si>
    <t>dd éh'92,8 24 rs¿, se há señalado el dia 28 del corriente, á las puertas dfe la audiencia: dfel Sr. D. Manuel Vicente de Torres, Teniente Corregidor de esta villa y por ante el Escribano de su número D. Claudio Sanz. ^ : El Sr. D. Toírquato Antonio Collado, Tenieríte Corregidor de esta villa, ha señalado e</t>
  </si>
  <si>
    <t>Juez de comisión, por la escribanía numeraria de D. Diego Benigno González. Por providencia del Sr. D, Manuel Vicente de Torres,Teniente Corregidor de esta villa, y escribanía.del número de D. Ramón de Milla Cuellar, se han mandar do sacar á pública subasta por término de 30 dias contados deide el 17 del c</t>
  </si>
  <si>
    <t>las Ordenes Militares, que existe dentro de la casa de los Reales Consejos. Por providencia del Sr. D. Manuel Vicente de Torres, Teniente Corregidor de esta villa, y escribanía numeraria de D. Ramón de Milla Cuellar, se han mandado sacar á pública subasta, por término de 30 dias contados desde el 27 de Ene</t>
  </si>
  <si>
    <t>ontados desde el 3 del corriente, para la puja del quarto. Quien quisiere hacerla acuda ante el Sr. D. Manuel Vicente de Torres , Teniente Corregidor de esta villa, por la escribanía del número de D. Cristóbal de Vícíiña. Quien quisiere hacer postura á sets casas sitas en ésta Corte, una en la calle deChin</t>
  </si>
  <si>
    <t>nz. 26, tasada en 45,976 rs., por el todo de su tasa á vales, se ha mandado por providencia del Sr. D. Manuel Vicente de Torres, Teniente Corregidor de esta villa, y escribanía numeraria de D. Ramón de Milla Cueilar, publicarla por el término de 10 dias, y señalado para su remate el 20 del corriente. Quien</t>
  </si>
  <si>
    <t>egidor de esta villa, ante el Escribano del número D. Julián González Saez. Por providencia del Sr. D. Manuel Vicente de Torres, Teniente Corregidor de</t>
  </si>
  <si>
    <t>u tasa á vales Reales. Quien quisiere hacer mejora acuda á la audiencia del Sr. Teniente Corregidor D. Manuel Vicente de Torres, por la escribanía del número de D. Ramón de Milla Cuellar; y se ha señalado para su remate el dia 7 de Marzo próximo. Por la audiencia del Sr. D. Manuel Vicente de Torres, Tenien</t>
  </si>
  <si>
    <t>rid , dentro del término de 30 días contados desde el 20 de Febrero último. Por providencia del Sr. D. Manuel Vicente de Torres, Teniente Corregidor dé esta villa:, se subasta una casa en la calle de Alcalá de esta Corte , núm. 3, manza* na 272 , tasada en 249,284 ». Quien quisiere comprarla acuda á la esc</t>
  </si>
  <si>
    <t>á la casa de D. Vicente Abecia, calle Mayor: se darán pagaderas á plazos. Por la audiencia del Sr. D. Manuel Vicente de Torres, Teniente Corregidor</t>
  </si>
  <si>
    <t>ita en lar calle de la Ruda y Sta. Ana, núm. 24, manz. 88, tasada en 117,924 rs., acuda ante;el Sr. D. Manuel Vicente de Torres, Teniente Corregidor de esta WJla, por la-escribanía del número,de D. Cristóbal de Vicuña, dentro del término de 30 dias contados desde el 22 de Febrero próximo pasado. ~V . ....</t>
  </si>
  <si>
    <t>el término de 30 dias contados desde el j.° del corriente. Quien quisiere hacerla acuda ante el Sr. D. Manuel Vicente de Torres , Teniente Corregidor ti esta villa ¿ por la. escribanía de D. Cristóbal de V icima, dentro de dicho término., ". . v , Ó. El Sr. D. Manuel Vicente de Torres, Teniente CóAegidór d</t>
  </si>
  <si>
    <t>pceras partes del todo de su tasa á metálico, la que se ha mandado publicar por providencia del Sr. D. Manuel Vicente de Torres, Teniente Corregidor de esta villa* por 10 dias mas, y señalado para su remate el 1 2 del presente. Quien quisiere mejorarla acuda ante dicho Señor por la escribanía de P. Ramón d</t>
  </si>
  <si>
    <t>te saliéron los números 45,66, 62, 57 y 10; y con ellos han ganado los jugadores 546,210 rs. El Sr. D. Manuel Vicente de Torres, Teniente Corregidor de esta villa, ha señalado para el remate de una casa sita en la calle de Mira el Rio baxa, núm. 10, manz. 94, con destino á almacén de aceyte, tasada, sin in</t>
  </si>
  <si>
    <t>a Madrid, dentro del término de 30 dias contados desde el i.° del presente. Por providencia del Sr. D. Manuel Vicente de Torres, Teniente Corregidor de esta villa, y escribanía de D. Ramón de Milla Cuellar, se ha mandado sacar á pública subasta, por término de 30 dias contados desde el 4 del corriente, una</t>
  </si>
  <si>
    <t>esquina y vuelve á la del Barranco, núm. 9, manz. 60, valuada en 43,195 rs. Por providencia del Sr. D. Manuel Vicente de Torres, Teniente Corregidor de esta villa , y escribanía de D. Ramón, de Milla Cuellar, se ha mandado sacar á pública subasta, por término de 30dias contados desde el 3 de este mes, tres</t>
  </si>
  <si>
    <t>a y vtielve á la plazuela de lá Cebada» núm.3 , manz. 86, tasada en 285,885 rs., acuda'arité el Sr. D. Manuel Vicente de Torres, Teniente Corregidor de esta villa, por la escribanía de D. Cristóbal de Vicuña, dentro dé go dias contados desde el 15 de'-corriente; Quien quisiere comprar- g fanegas de tierra</t>
  </si>
  <si>
    <t>de Torres, Sebastián</t>
  </si>
  <si>
    <t>Sebastián de Torres</t>
  </si>
  <si>
    <t>n del duo^ décimo curso de Gramática castellana á cargo de'D. Guillelmo; Caramillo. Presidió el Sr. D. Sebastian de Torres, del Consejo Real, Protector de dicho establecimiento. El Secretario leyó las actas de todos los 12,cursos; y en seguida el Catedrático dixo un breve discurso sobre la. utilidad d</t>
  </si>
  <si>
    <t>de Tortes, Manuel Vicente</t>
  </si>
  <si>
    <t>Manuel Vicente de Tortes</t>
  </si>
  <si>
    <t>s de ‘énerná-de guia, '-corrió que se puede hacer buen monte, y á lo que no se da valor. ‘ ’ El Sr: D. Manuel Vicente de Tortes, Teniente Corregidor de esta villa, ha señalado el dia 26 del corriente para elrémate de una casa sita en la calle de las Infantas, con fachada á la de laLibertad, núm: 10, manz.</t>
  </si>
  <si>
    <t>de TotrisV, Diego</t>
  </si>
  <si>
    <t>Diego de TotrisV</t>
  </si>
  <si>
    <t>gimiento de dragones de Lusitañía al Portaguión EK Juah fósef Casamayorj y á este empleo raL Cadete-D. Diego dé TotrisV ;¡ - ' yv En América, En el Regimíento dé iínÉanleríá del Re^j fixó dé: Manila, se ha servido el Rey promover á Gápitáhf'al Teniente dé granaderos DI Francisco Gerónimo García; á</t>
  </si>
  <si>
    <t>de Traba, Joaquín</t>
  </si>
  <si>
    <t>Joaquín de Traba</t>
  </si>
  <si>
    <t>Batallón veterano de Castilla, fixo de Campeche, ?e ha dignado S. M. promover á Capitán al Teniente D. Joaquín de Traba; á Teniente de granaderos al de fusileros D. Felipe Calderón; á esta resulta al Subte-r niente D. Domingo de Castro; á Subteniente de granaderos al de fusileros D. Juan Josef de l</t>
  </si>
  <si>
    <t>de Tristan, Francisco Xavier</t>
  </si>
  <si>
    <t>Francisco Xavier de Tristan</t>
  </si>
  <si>
    <t>del talento y expone al mayor horror: drama tragi-CÓmico en soliloquio entre padre é hija: su autor D. Francisco Xavier de Tristan, Teniente dé infantería retirado. Se hallará en la librería de Castillo, frente á las gradas de S. Felipe, y en la imprenta de Espinosa, calle del Espejo: pue-* de ir en carta. Re</t>
  </si>
  <si>
    <t>impresa. Convocatoria espiritual que hace un hombre bien enterado del mundo y de sus deleytes, por D. Francisco Xavier de Tristan, Teniente de infantería retirado. Se hallará en la librería de Castillo, frente á las gradas de S. Felipe, en la de Espinosa, calle.de la Gorguera, y en su jmprenta, calle del Esp</t>
  </si>
  <si>
    <t>de Umendia y Foronda, Manuel</t>
  </si>
  <si>
    <t>Manuel de Umendia y Foronda</t>
  </si>
  <si>
    <t>y Noguerido, D. Josef Carreño y Ramírez, D. Juan VanHalen y Sarti, D. Josef González de Argandoña, D. Manuel de Umendia y Foronda, D. Quirico de Aristizaval y Sequeyra, D. Josef Yustiniani y Cabrera, D. Rafael de Elisa y Caamaño, D. Julio Ponce de León y Morejon, D. Domingo del Barco yMoron, D. Manuel Paulin</t>
  </si>
  <si>
    <t>de Unzaga, Francisco</t>
  </si>
  <si>
    <t>Francisco de Unzaga</t>
  </si>
  <si>
    <t>. Manuel Eizaurdi. En Cuenca........... Sres. viuda de Escolar y Noriega é hijo. En Granada........ D. Francisco de Unzaga. En Guadalaxara. D. Isidoro García Plaza. En Jaén............... D. Pedro y D. Juan Esponera. En León................ D. Pedro Gil de Tejada. En Málaga.......... D. Juan Ximeno. E</t>
  </si>
  <si>
    <t>de Uriortua, Francisco Xavier</t>
  </si>
  <si>
    <t>Francisco Xavier de Uriortua</t>
  </si>
  <si>
    <t>con prevención de que se rematarán el día 20 del presente Octubre. En virtud de providencia del Sr. D. Francisco Xavier de Uriortua, Comisio-. nado Regio para la venta de bienes eclesiásticos de la ciudad de Cádiz y su Dióce&lt;?. si, se mandan sacar á pública subasta, por término de 30 dias contados desde 15 de.</t>
  </si>
  <si>
    <t>ia Orictognosia de Werner, la Mineralogía de Haiiy, ambas ea toda su extensión. Por providencia de D. Francisco Xavier de Uriortua, Comisionado Regio en Cádiz para la venta de bienes eclesiásticos, se han mandado sacar á pública subasta las fincas siguientes. En Cádiz: una casa en la calle de S. Josef, núm. i</t>
  </si>
  <si>
    <t>de Urquiola, Andrés Ignacio</t>
  </si>
  <si>
    <t>Andrés Ignacio de Urquiola</t>
  </si>
  <si>
    <t>1074 ............................... ESPAÑA. . Azpiigoeía &lt;5" de Noviembre, Don Andrés Ignacio de Urquiola, Cura Párroco del lagar de Azplígoeta de Mendaro, en la provincia de Guipúzcoa, en virtud de la facultad que le confirió su Prelado el Rev. Obispo de Calahorra, ha erigido á expen</t>
  </si>
  <si>
    <t>de Urraza, Juan Antonio</t>
  </si>
  <si>
    <t>Juan Antonio de Urraza</t>
  </si>
  <si>
    <t>da ante el Sr. D. Torquat© Antonio Collado, 1 emente Corregidor de esta villa, por la escribanía de D. Juan Antonio de Urraza. En virtud de providencia del Sr. D. Francisco Xavier Uriortua, del Consejo de S. M. en la Real Junta de Comercio y Moneda, Asesor de la Intendencia de Cádiz en todos los ramos de</t>
  </si>
  <si>
    <t>da ante el Sr. D. Torquato Antonio Collado, Teniente Corregidor de esta villa, por la escribanía de D. Juan Antonio de Urraza, dentro de dicho término contado desde el 15 del pasado.</t>
  </si>
  <si>
    <t>executen ante su Señoría, por la escribanía de los mismos Cuerpos y Tropas, que se halla á cargo de D. Juan Antonio de Urraza, dentro del preciso término de 30 días; con apercibimiento de que pasados sin hacerio les parará el perjuicio que haya lugar. Por D. Juan Angel González de Navas se han mandado su</t>
  </si>
  <si>
    <t>ales, acuda arte el Sr. D. León de Sagasta, Teniente Corregidor de esta villa, por la escribanía de D. Juan Antonio de Urraza; previniendo está señalado para su remate el sábado 5 del-presente.</t>
  </si>
  <si>
    <t>re hacer postura acuda ante el Sr. Teniente de Corregidor Don León de Sagasta, por la escribanía de D. Juan Antonio de Urraza. Por providencia del Tribunal del Consulado de comercio de la plaza de Cádiz, de 19 de Mayo próximo pasado, se mandó citar á qualesquiera acreedores que tuviesen derecho á la test</t>
  </si>
  <si>
    <t>uisiere hacer mejora acuda ante el Sr, Teniente Corregidor D. León de Ságasta, por la escribanía de D. Juan Antonio de Urraza. ' Quien quisiere hacer postura i una tierra de caber 2. fanegas poco mas ó méno%</t>
  </si>
  <si>
    <t>n quisiere hacer postura á todas juntas ó separadas acuda ante dicho Sr. Juez, por la escribanía de D. Juan Antonio de Urraza, dentro de dicho término. Por el Tribunai del Consulado de Cádiz se ha decretado en 7 de Julio de este año que se cite á quaíesquiera individuos que estimen tener derecho á los bi</t>
  </si>
  <si>
    <t>ntad de sus dueños, por el juzgado del Sr. Teniente Corregidor Don León de Sagasta, y escribanía de D. Juan Antonio de Urraza, se vende una casa sita en esta Corte en la calle de Hortaleza, núm. 14, manz. 311, que da vuelta a la de Santa María del Arco, la que fué rematada en 73,200 rs., a pagar en moned</t>
  </si>
  <si>
    <t>ella. Quien quisiere hacerla acuda ante el Sr. D. Torquato Antonio Collado, por la es» cribanía de D. Juan Antonio de Urraza, dentro de! citado término. En virtud de providencia del Sr. D. León de Sagasta, Teniente Corregidor de esta villa , se ha mandado sacar á pública subasta, por término de 30 dias</t>
  </si>
  <si>
    <t>a, en el referido término, ante el Sr. Teniente Corregidor D. León de Sagasta, por la escribanía de D. Juan Antonio de Urraza, pues pasado dicho término sin hacerla, se llevará á efecto el citado remate. Por providencia de D. Manuel Angel Carrancio, Comisionado Real, su fecha 7 del corriente, se han mand</t>
  </si>
  <si>
    <t>de Urrestíeta, Joaquín</t>
  </si>
  <si>
    <t>Joaquín de Urrestíeta</t>
  </si>
  <si>
    <t>ro Pantaleon Zuloaga; y en eí Batallón de Voluntarios de Navarra á Subteniente de bandera al Cadete D. Joaquín de Urrestíeta. En el Real Cuerpo de Ingenieros del Exército de la división de Indias ha promovido S. M. á Brigadier de infantería y Director Subinspector al CoTonel D. Manuel Mascaré: á Tenient</t>
  </si>
  <si>
    <t>de Urruchi, Ángel</t>
  </si>
  <si>
    <t>Ángel de Urruchi</t>
  </si>
  <si>
    <t>700 cabezas, con sus pastos de invierno y verano, y una casa lavadero, acuda á tratar de ajuste con D. Angel de Urruchi, calle de Barrionuevo, número 25. Jo. Laurentii Berti Fr. Erem. Aug., líbror. xxxvir de Theologicis dísciplínís accurata synopsis: 2.a edit. Hispana: 3.0 y 4.0 tomos en 8.° mayor,</t>
  </si>
  <si>
    <t>de Urrutia, Joaquín</t>
  </si>
  <si>
    <t>Joaquín de Urrutia</t>
  </si>
  <si>
    <t>Ayudante, graduado de Capitán, D. Manuel de la Lastra; Ayudantía al Teniente, graduado de Capitán, D. Joaquín de Urrutia; Tenencia al Subteniente D. Pedro María Martin, y Subtenencia de bandera al Cadete D. Pió Sánchez Garces: en el de Sevilla Tenencia al Teniente de granaderos, que lo era del de Sa</t>
  </si>
  <si>
    <t>de Valbuena, Manuel</t>
  </si>
  <si>
    <t>Manuel de Valbuena</t>
  </si>
  <si>
    <t>fen esta. Corté ante nos, y el infrascrito Regente de Estudios y Secretario de este Real Seminario D, Manuel de Valbuena; personalmente ó por medio de Procurador, con poder bastante á firmar la oposición que hayan de hacer ; para lo qual se señalan 2 meses de término útil y perentorio, que empezarán</t>
  </si>
  <si>
    <t>de Valbuena, Rafael</t>
  </si>
  <si>
    <t>Rafael de Valbuena</t>
  </si>
  <si>
    <t>-■ S. M. se ha servido ¡promover á Teniente Coronel de Artillería al Capítan del propio Real Cuerpo D. Rafael de Valbuena.</t>
  </si>
  <si>
    <t>de Valencia, Francisco</t>
  </si>
  <si>
    <t>Francisco de Valencia</t>
  </si>
  <si>
    <t>z y Armada. El dia 17 del pasado falleció en esta Corte, á los 65 años de edad no cumplidos, el Sr. D. Francisco de Valencia, Conde de Casa-Valencia, Caballero pensionado'de la Real y distinguida Orden de. Carlos 111; del Consejo de S. M. en el Supremo de las Indias, Contador general dd departamento de</t>
  </si>
  <si>
    <t>de Valenzuela, Juan</t>
  </si>
  <si>
    <t>Juan de Valenzuela</t>
  </si>
  <si>
    <t>neda; y á Subtenientes de bandera en los de Sevilla,, Málaga, Bujalance y Valladolivi á ios Cadetes D. Juan de Valenzuela, D. Miguel de Nava y Mérida y D. Francisco .Xavier Ruiz y Torres, y á D. Mariano Rodríguez de Cisneros. En atención á la acreditada y distinguida -nobleza y particulares servicios</t>
  </si>
  <si>
    <t>de Valúes y Saavedra, Juan Antonio</t>
  </si>
  <si>
    <t>Juan Antonio de Valúes y Saavedra</t>
  </si>
  <si>
    <t>s de la plaza.de Alcántara, poseído de los mismos sentimientos ofrece á S.M. pre&lt;* sentar á su hijo D. Juan Antonio de Valúes y Saavedra con caballo, armas y un criado i expensas propias, para que se le destine donde sea del Real agrado, . ¿ ; Ambas ofertas han merecido ser gratas á S.M , y. que en su Real nombre m</t>
  </si>
  <si>
    <t>de Vargas, Francisco</t>
  </si>
  <si>
    <t>Francisco de Vargas</t>
  </si>
  <si>
    <t>l Gobierno Militar y Político de S. Lúcar de Barrameda al Mariscal de Campo de sus Reales Exércitos D. Francisco de Vargas, Subinspector del Real Cuerpo de Artillería, por muerte de D. Ignacio Ortiz de Rozas. En América. S. M. se ha servido conceder la Subtenencia de la Compañía fixa veterana de S. Ju</t>
  </si>
  <si>
    <t>del Regimiento de infantería Suizo de su apellido: el de la plaza departa* gena al Mariscal deCampo D. Francisco de Vargas, Gobernador de Lucar de Barrameda : este¿Gobierno al Brigadier D. Josef Joaquín de Virues; Gobernador de Motril ; y&gt; este empleo al Coronel D. Josef Juncar, Teniente Coronel del R</t>
  </si>
  <si>
    <t>de Vargas, Juan</t>
  </si>
  <si>
    <t>Juan de Vargas</t>
  </si>
  <si>
    <t>Mariano Rais, Religioso» pqnjinico., leyendo. una^comppsicipp, .pqétiqa’; duego leyó, otro discurso D. Juan de Vargas^ patedrático de Sintaxis; después el Seminarista D. Peregrin Meüana recitó, otra obra poética , - alentando á la patria á que sepa, aprovecharse de mndigno establecimiento: conclu</t>
  </si>
  <si>
    <t>de Vargas, Pedro</t>
  </si>
  <si>
    <t>Pedro de Vargas</t>
  </si>
  <si>
    <t>yes Españolas el uso del tormento, citando á este fin ur edicto del año 1260; pero el testimonio de D. Pedro de Vargas, y el de otras varias personas que han vivido muchos años en la Trinidad, v la confesión del mismo General Picton, probaron que este uso bárbaro, dado que haya existido, estaba ab</t>
  </si>
  <si>
    <t>de Velasco, Carlos</t>
  </si>
  <si>
    <t>Carlos de Velasco</t>
  </si>
  <si>
    <t>nencia Coronela del ae Extremadura al Teniente Coronel, agregado al de Saboya, graduado de Coronel, D. Carlos de Velasco: Compañía en el de Voluntarios de la Corona al Caballero Page de S. M- D- Joaquín de la Cueva; y Tenencia en el de Ultonia al Subteniente del propio Cuerpo D. Antonio García. Igua</t>
  </si>
  <si>
    <t>de Viado, Manuel Alonso</t>
  </si>
  <si>
    <t>Manuel Alonso de Viado</t>
  </si>
  <si>
    <t>en im fragmento del prólogo de la traducción de los Varones ilustres de Plutarco, que va á publicar D. Manuel Alonso de Viado: otro fragmento de lá vida de Fabio Máximo, muestra de la traducción, juicio de los edito're^acerca de ella: noticias acerca de la literatura Oriental: una fábula traducida del Ni</t>
  </si>
  <si>
    <t>de Villar y Bermudez de Castro, Pedro</t>
  </si>
  <si>
    <t>Pedro de Villar y Bermudez de Castro</t>
  </si>
  <si>
    <t>extienden y reducen los derechos de los hijos naturales y sus descendientes en España, escrita por D. Pedro de Villar y Bermudez de Castro, Abogado Consultor del Reyno de Galicia. Se hallará en la librería de Castillo, frente á las gradas de S. Felipe, y en la de Barco, carrera de S. Gerónimo. Los caxoncitos de la al</t>
  </si>
  <si>
    <t>de Villar, Rafael</t>
  </si>
  <si>
    <t>Rafael de Villar</t>
  </si>
  <si>
    <t>aderos á los de fusileros Dori Miguel Palatino y D. Manuel Aguilar; á Capitanes primeros al segundo D. Rafael de Villar, y á los Ayudantes D. Francisco Vaiderrama y Dón Josef Power; á Ayudantes á los Capitanes segundos D. Luis de Lará y Don uan Dávila; á Capitanes segundos á los Tenientes D. Manuel</t>
  </si>
  <si>
    <t>de Villarroya, Gaspar</t>
  </si>
  <si>
    <t>Gaspar de Villarroya</t>
  </si>
  <si>
    <t>Coronel D. Josef San Juan, Capitán del de Pavía. D. Miguel Murtra, vecino de esta Corte, remitió á D. Gaspar de Villarroya, del comercio de Zaragoza, por el correo de 25 de Enero próximo pasado siete vales Reales de r 50 pesos de i.° de Enero, números 28053-9, 287036, 232510, 286281,281615,279*64 y 27</t>
  </si>
  <si>
    <t>de Villena, Fernando Manuel</t>
  </si>
  <si>
    <t>Fernando Manuel de Villena</t>
  </si>
  <si>
    <t>es D. Josef Calvillo y D. Rafael de Fuentes; y en el de Húsares de María Luisa Compañía al Teniente Don Fernando Manuel de Villena. En América. En el Regimiento de infantería de Puerto-Rico se ha dignado el Rey promover á Sargento mayor al Capitán de granaderos D. Federico Garcen de S. Justjá Capitanes de gra</t>
  </si>
  <si>
    <t>de Viüanueva, Martín</t>
  </si>
  <si>
    <t>Martín de Viüanueva</t>
  </si>
  <si>
    <t>n su cámara, independiente de dicha casa, pero contiguo á ella. El que quiera hacer postura acuda á D, Martin de Viüanueva, Procurador de los Reales Consejos, que vive en la calle del Príncipe, esquina á la de la Lechuga. Se halla vacante el partido de Médico de la. villa de Berlanga, provincia de Sor</t>
  </si>
  <si>
    <t>de Wirtember, Fernando (príncipe)</t>
  </si>
  <si>
    <t>Príncipe Fernando de Wirtember</t>
  </si>
  <si>
    <t>resa á todo el Continente;- : : ; . . Pronto regresará aquí del viage que ha hecho á París S. A. el Príncipe Fernando de Wirtember^; y es regular que vuelva á ocupar su empleo de Gobernador del Austria Inferior. Parece que el ex-Ministro Mr. el Barón de Thugut ha presentado al Emperador un plan nuevo de renta</t>
  </si>
  <si>
    <t>de Wirtemberg, Fernando (príncipe)</t>
  </si>
  <si>
    <t>Príncipe Fernando de Wirtemberg</t>
  </si>
  <si>
    <t>que se habían introducido , y que quiere extirpa? de raíz. ALEMANIA. Viena 16 de Marzo, S. A. S. el Príncipe Fernando de Wirtemberg, Feld-Mariscal y Comandante general del Austria Inferior, se pondrá en camino , según dicen, muy en breve para ir á París con una comisión particular.—-Mr. el Conde de Elz saldrá</t>
  </si>
  <si>
    <t>de Wirtemberg, Luis (príncipe)</t>
  </si>
  <si>
    <t>Príncipe Luis de Wirtemberg</t>
  </si>
  <si>
    <t>uí Ministro , y para que aquella Potencia revocase el nombramiento que por su parte había hecho del Príncipe Luis de Wirtemberg á fin de elevarlo al trono de Polonia. Maneé alta mente repos tumi El Conde de Meerfeidt, Ministro Austríaco, sufre unos desayres todavía mayores. Muchas personas de distinción no</t>
  </si>
  <si>
    <t>de Xaramillo, Juan</t>
  </si>
  <si>
    <t>Juan de Xaramillo</t>
  </si>
  <si>
    <t>r, D. Manuel Pascual y Oto, D. Benito de Prado Ulloa, D. Tomas de Arsú, D. Pedro Ladrón de Guevara, D. Juan de Xaramillo, D. Carlos Brasé, D. Josef García Aleson, Don Pedro Josef de Marcoleta, D. Dionisio Hurtado de Mendoza y D. Josef Navarro del Dosal: de los Monteros de Guarda y Cámara de S. M. Do</t>
  </si>
  <si>
    <t>de Yanguas, Juan</t>
  </si>
  <si>
    <t>Juan de Yanguas</t>
  </si>
  <si>
    <t>piare, se entenderán con jD. ¿Tomas Virto de Vera, Depositario Interventor de aquella ciudad, ó con D. Juan dé Yanguas, encargado de este asunto en la misma ciudad de Gorella. t .... -Iñ futiere Francisci Perezii Baycrii, oratio ad sena T. et Acad. Valentinam habita, á R. P. M. Joh. Facundo Sidro</t>
  </si>
  <si>
    <t>. Joaquin Bermejo y D. Rafael Mateo; y de 8 Pages del Rey, D. Joaquin de la Cueva, D. Manuel Pando, D. Juan de Yanguas, D. Joset María de face, J). Tomas Peñaran</t>
  </si>
  <si>
    <t>de Zamacola, Juan Antonio</t>
  </si>
  <si>
    <t>Juan Antonio de Zamacola</t>
  </si>
  <si>
    <t>anza de los Escribanos, Litigantes, Procuradores, Agentes, y demas oficios y clases del Estado, por D. Juan Antonio de Zamacola, Escribano de Provincia y Comisiones de la?Córte, y del Juzgado de Imprentas y Librerías del Reyno: tómo i.° Una de las cosas que exigen pronto remedio en España es la necesidad d</t>
  </si>
  <si>
    <t>de Zamalloa, Miguel Gregorio</t>
  </si>
  <si>
    <t>Miguel Gregorio de Zamalloa</t>
  </si>
  <si>
    <t>n el Obispado de Arequipa. Asimismo, y en consideración á los particulares y dilatados servicios de D. Miguel Gregorio de Zamalloa, Asesor del Gobierno de Montevideo, ha venido S. M. en concederle la jubilación de su plaza, que ha solicitado, con todo el sueldo y los honores de Oidor de la Audiencia de Buenos</t>
  </si>
  <si>
    <t>de Zavala, Gabriel</t>
  </si>
  <si>
    <t>Gabriel de Zavala</t>
  </si>
  <si>
    <t>ero, «e servirá avisar en Barcelona á D. Pedro Antonio Viguer, en la calle de Basca ; y en Madrid á D. Gabriel de Zavala, en la calle: del Cármen, mira. 7. Por providencia de D. Antonio Basilio de Acosta, Comisionado Regio para la venta de bienes eclesiásticos en elObispado de Sigíienza, se están.su</t>
  </si>
  <si>
    <t>de Zerralde, Rafael María</t>
  </si>
  <si>
    <t>Rafael María de Zerralde</t>
  </si>
  <si>
    <t>a. ,,E1 Capitán general de Cataluña ha dado cuenta en 4 de este mes, que yendo desde Tortosa á Reus D. Rafael María de Zerralde, Teniente del Regimiento de caballería de Borbon, con un Cabo y 8 soldados del mismo conduciendo caudales para el Cuerpo, al pasar por un terreno solitario, antes de llegar al cas</t>
  </si>
  <si>
    <t>de Zuloaga, Ramón</t>
  </si>
  <si>
    <t>Ramón de Zuloaga</t>
  </si>
  <si>
    <t>del Regimiento de infantería de Toledo: los Gefes de sala D. Alonso Alvarado, D. Sebastian Gorvea, D. Ramón de Zuloaga, D. Ramón Carrillo y D. Manuel Fernandez: los Gefes de trozo D. Pedro Tavira, D. Manuel Ferrando, D. Josef de Castro, Cadete de Reales Guardias Walonas, Don Josef Fernandez, D. Jo</t>
  </si>
  <si>
    <t>Debroc, General</t>
  </si>
  <si>
    <t>General Debroc</t>
  </si>
  <si>
    <t>ta de un Regimiento de infantería de línea Francesa, y de caballería Holandesa mandada por el Mayor General Debroc. Luego que estas tropas pasaron á Ertzen , encontraron al enemigo en la aldea de Gross- Barkel. Los húsares Holandeses embistieron con ímpetu al Regimiento de dragones de Brusewit</t>
  </si>
  <si>
    <t>Decaen, General</t>
  </si>
  <si>
    <t>General Decaen</t>
  </si>
  <si>
    <t>ravesía ha llegado á nuestras costas una corbeta, procedente de la Isla de Francia, con pliegos del General Decaen, Capitán general de la Colonia. Las Islas de Francia y de la Reunión experimentaron muchas pérdidas de resultas de los huracanes que hubo el 21 de Febrero y el 10 de Marzo: arruin</t>
  </si>
  <si>
    <t>Dedem de Geider</t>
  </si>
  <si>
    <t>stro de la Marina Real, ha visitado los navios que hay en las radas de Helvoet-Sluis y de Fiesinga. Mr. Dedem de Geider, Ministro Holandés cerca de la Corte de Berlín , ha llegado al Haya, y también el General Daendels. Estos dias últimos llegaron á Zwolle muchos barcos cargados de municiones de gu</t>
  </si>
  <si>
    <t>del Acebo, Francisco Antonio</t>
  </si>
  <si>
    <t>Francisco Antonio del Acebo</t>
  </si>
  <si>
    <t>: para el Deanato de la Catedral de Santander, vacante por fallecimiento de D. Juan Perez Zurita, á D. Francisco Antonio del Acebo, Canónigo Pectoral de ella; y para el Beneficio simple servidero de la Parroquia de Sta. María de Jaraíz, Diócesi de Plasencia, vacante por promoción de D. Josef Vicente de Góngor</t>
  </si>
  <si>
    <t>del Arco Agüero, Felipe</t>
  </si>
  <si>
    <t>Felipe del Arco Agüero</t>
  </si>
  <si>
    <t>ríguez Perez, D. Francisco de Paula Gregorio, D. Tomas Aguirre y Castro, D. Juan Bautista Ponsinch, D. Felipe del Arco Agüero , D. Josef Sánchez Tagle, D. Francisco Xaramillo, D. Dionisio López Pinto, D. Mariano Carrillo de Albornoz, Don Francisco Josef Justis, D. Bernardo Landaburu, D. Diego Rejón de Si</t>
  </si>
  <si>
    <t>del Arroyo, Ramón</t>
  </si>
  <si>
    <t>Ramón del Arroyo</t>
  </si>
  <si>
    <t>barrios del Barquillo, núm. 10, manz‘-3:24.. Quien quisiere tratar de su ajuste acuda á la casa'de D. Ramón del Arroyo, calle de Postas. — ' , . ^. t' ■ ' ' ' ■ f' 0 -* ■ 1 ? ir Taquigrafía casteBaria* é.;afté&gt;4«i«scrjbk con ’tantaívelocidad como se habla, y coa femistpa claridad qué fe esqritqra,</t>
  </si>
  <si>
    <t>del Barco, Domingo</t>
  </si>
  <si>
    <t>Domingo del Barco</t>
  </si>
  <si>
    <t>yra, D. Josef Yustiniani y Cabrera, D. Rafael de Elisa y Caamaño, D. Julio Ponce de León y Morejon, D. Domingo del Barco yMoron, D. Manuel Paulin y Cotiella, Don Francisco Pareja y Cameros, D. Josef Marco y Espejo, D. Ramón Arias y Toubes, D. Ignacio Chacón, D. Angel Valdes y Diaz Canalizo, D. Julián</t>
  </si>
  <si>
    <t>del Barco, Joaquín</t>
  </si>
  <si>
    <t>Joaquín del Barco</t>
  </si>
  <si>
    <t>á D. Ignacio Cepeda y Lira, Cura en esta Diócesi : para Racionero de la Metropolitana de Sta. Fe á D. Joaquin del Barco; y para la Media-Ración que este dexa á D. Luis Igpaeio de Torres,. Cura de Cay¿ima en el propio Arzobispado. * Porrprovidéncia dé Di Francisco Tarrago y Riquelme, Juez Comisionad</t>
  </si>
  <si>
    <t>del BarcoGordon, Francisco</t>
  </si>
  <si>
    <t>Francisco del BarcoGordon</t>
  </si>
  <si>
    <t>Rodríguez Zambrano y Portocarrero, D. Pedro de la Llave y Coca, D. Josef Mariano del Pulgar y Varo, D. Francisco del BarcoGordon, D. Mariano Narvaez y Narvaez, D. Gerónimo Piáeyro y las Casas, D. Josef Arias de Saavedra Caro y Tavera, D. Antonio Moscoso y Vázquez,,D. Salvador Moreno de Guerra Navarro y Rio,</t>
  </si>
  <si>
    <t>del Camino, Francisco Ángel</t>
  </si>
  <si>
    <t>Francisco Ángel del Camino</t>
  </si>
  <si>
    <t>iento de D. Juan Vicente Bernal, ¿ D. Josef Francisco Suarez: para la Canongía de este al Racionero D. Francisco Angel del Camino: para esta Prebenda á D. Gregorio Fernanes; y para la Media-Ración que este dexa al Cura de ia Parroquia de Santa Cruz de la propia ciudad D. Manuel Antonio del Castillo: para Rac</t>
  </si>
  <si>
    <t>del Camino, Joaquín Antonio</t>
  </si>
  <si>
    <t>Joaquín Antonio del Camino</t>
  </si>
  <si>
    <t>u respuesta á la nueva demostración de la falsedad del privilegio del Rey D. Ramiro r, que escribió D. Joaquín Antonio del Camino, Canónigo de Lugo, y publicó Ja Real Academia de la-Historia. Si ilustran los puntos mas substanciales que se controvierten en el Discurso sobré el voto de Santiago, escrito contr</t>
  </si>
  <si>
    <t>del Campo y Galicia, Andrés</t>
  </si>
  <si>
    <t>Andrés del Campo y Galicia</t>
  </si>
  <si>
    <t>quella ciudad: para otra Canongía de la Iglesia de Santiago de Chile, que vacó por fallecimiento de D. Andrés del Campo y Galicia, á D. Juan Pablo Fretes; y para la Ración que este dexa en ella á D. Pedro Mont de Prado, Cura de la villa de Logroño en aquella Diócesi ; y para la Penitenciaría de la Metropolit</t>
  </si>
  <si>
    <t>del Castillo y Carroz, Juan</t>
  </si>
  <si>
    <t>Juan del Castillo y Carroz</t>
  </si>
  <si>
    <t>a de Castilla. Asimismo se ha dignado S. M. conceder honores y antigüedad del Consejo de Hacienda á D. Juan del Castillo y Carroz, Oficial mayor mas antiguo de la Secretaría de Estado, á quien ha nombrado por Director general supernumerario de Correos. Igualmente se ha dignado nombrar á D. Juan Sanjurjo y Mo</t>
  </si>
  <si>
    <t>del Castillo y Valero, Francisco</t>
  </si>
  <si>
    <t>Francisco del Castillo y Valero</t>
  </si>
  <si>
    <t>niero Director Subinspector al Coronel D. Francisco García Carrasco. El Reí se ha servido nombrar á D. Francisco del Castillo y Valero para el Corregimiento de Letras de la ciudad de Gijona. El domingo 10 de Agosto último se consagraron en la Iglesia del Real Monasterio de la Visitación de está Corte los limos. S</t>
  </si>
  <si>
    <t>del Castillo, Ángel</t>
  </si>
  <si>
    <t>Ángel del Castillo</t>
  </si>
  <si>
    <t>o conferir en el Regimiento de infantería de Extremadura Compañía al Ayudante, graduado de Capitán, D. Angel del Castillo. S. M. se ha dignado conferir la Tenencia Coronela del Regimiento de infantería Suizo de Traxler al Capitán primero, graduado de Teniente Coronel , D. Josef Traxler, y la Sargentí</t>
  </si>
  <si>
    <t>del Castillo, Manuel Antonio</t>
  </si>
  <si>
    <t>Manuel Antonio del Castillo</t>
  </si>
  <si>
    <t>nes; y para la Media-Ración que este dexa al Cura de ia Parroquia de Santa Cruz de la propia ciudad D. Manuel Antonio del Castillo: para Ración de la misma Catedral de Puebla á D. Juan Sánchez Soriano; y para la Media que obtiene este á Don Joaquín Alexo de Meave, Cura en aquella Diócesi: para otra Ración de</t>
  </si>
  <si>
    <t>del Castillo, Pedro</t>
  </si>
  <si>
    <t>Pedro del Castillo</t>
  </si>
  <si>
    <t>es ha’ conferido el Rey empleo de Alférez al de la misma clase del Regimiento de caballería del Rey D. Pedro del Castillo, y lia nombrado para su resulta á D. Miguel Buendía, Sargento de la misma Réaí Brigada. En los Regimientos de infantería de Sevilla y Asturias se ha servido S. M. conceder Subtene</t>
  </si>
  <si>
    <t>del Joro, Fernando</t>
  </si>
  <si>
    <t>Fernando del Joro</t>
  </si>
  <si>
    <t>eros y á Subtenientes el agregado de esta clase D. Raymundó dg Silva, los Cadetes D, Josef Urquizu, D, Fernando del Joro y D. Ildefonso del Toro, y los Sargentos primeros D. Manuel de Seda y Df Anastasio Díaz de granaderos, D. Dionisio López y D. Joaquín Martínez, El Brigadier de la Real Armada D,. Agus</t>
  </si>
  <si>
    <t>del Junco, Vicente</t>
  </si>
  <si>
    <t>Vicente del Junco</t>
  </si>
  <si>
    <t>briel Santoyo: Subtenencia de Compañía al de bandera D. Francisco Alfonso; y esta resulta al Cadete D. Vicente del Junco. También se ha servido el Rey conceder la Tenencia de la Compañía Urbana de caballería de la villa de Santo Espíritu ai Subteniente D. Gabriel Menéses: la Subtenencia al Alférez D</t>
  </si>
  <si>
    <t>del Mármol, Ignacio María</t>
  </si>
  <si>
    <t>Ignacio María del Mármol</t>
  </si>
  <si>
    <t>lgarejo, á D.Josef Isidoro’Morales, Racionero de la propia Iglesia : para la Ración que este dexa^a D. Ignacio María del Mármol: á D. Antonio Soler y Planas para un Beneficio de la Colegial de S. Juan de las Abadesas, Diócesi de Vique, baxo la invocación de Sta. Catalina: á D. Jayme Oliva para otro de la P</t>
  </si>
  <si>
    <t>del Oliviero, Francisco</t>
  </si>
  <si>
    <t>Francisco del Oliviero</t>
  </si>
  <si>
    <t>r y alumbrado, sino también para los usos de la medicina. De los últimos experimentos hechos por el Dr. Francisco del Oliviero, natural de Verona, que habita en Venecia, resulta que dicho aceyte es muy útil en los afectos reumáticos y del pulmón, y en las pleuresías. No está sujeto á padecer alteración co</t>
  </si>
  <si>
    <t>del Pilar Castejony Silva, María</t>
  </si>
  <si>
    <t>María del Pilar Castejony Silva</t>
  </si>
  <si>
    <t>a plaza de Agente de los del número de Indias á D. Juan Antonio Martínez Colmenar. ^ La Excma. Sra. Doña María del Pilar Castejony Silva, Condesa de moruna &amp;c., Grande de España de primera cíase, Marquesa viuda de Belamazan, falleció á los 56 años, un mes y 16 dias de su edad en la madrugada del 8 de este mes. Las</t>
  </si>
  <si>
    <t>del Postigo, Isidoro</t>
  </si>
  <si>
    <t>Isidoro del Postigo</t>
  </si>
  <si>
    <t>cuya hora empezamos á batirlo ¿ y á las 9 y media consiguió el Comandante del&gt; falucho/ numero 12,' D. Isidoro del Postigo, echarlo á pi</t>
  </si>
  <si>
    <t>del Rio y Noguerido, Juan</t>
  </si>
  <si>
    <t>Juan del Rio y Noguerido</t>
  </si>
  <si>
    <t>y Gómez,D. Francisco Sirera y Sánchez, D. Josef Ranero y Santelices, D. Lorenzo Villegas y Coronel, D. Juan del Rio y Noguerido, D. Josef Carreño y Ramírez, D. Juan VanHalen y Sarti, D. Josef González de Argandoña, D. Manuel de Umendia y Foronda, D. Quirico de Aristizaval y Sequeyra, D. Josef Yustiniani y</t>
  </si>
  <si>
    <t>del Rosario Cepeda de Gorostiza, María</t>
  </si>
  <si>
    <t>María del Rosario Cepeda de Gorostiza</t>
  </si>
  <si>
    <t>ustria y artes desde la junta pública anterior,que leyó su Secretario D. Antonio Siles; y la Señora Doña María del Rosario Cepeda de Gorostiza leyd asimismo el de las actas de la junta de. Señoras de nonor y mérito, de que es Secretaria. Enseguida se procedió á la distribución de premios á las educandas de las referidas</t>
  </si>
  <si>
    <t>del Val, Diego</t>
  </si>
  <si>
    <t>Diego del Val</t>
  </si>
  <si>
    <t>ra clase ó entrada, á D. Rafael Abreu y del Moral; y para la Vara de Alcalde mayor deCinco Villas á D. Diego del Val. En cumplimiento de lo mandado por S. M. en Real Pragmática-Sanción de 30 de Agosto de 1800, desde i.° de Agosto.próximo-hasta 30 de Setiembre se presentarán los Vales de 600 peso</t>
  </si>
  <si>
    <t>del Yerro, Antonio</t>
  </si>
  <si>
    <t>Antonio del Yerro</t>
  </si>
  <si>
    <t>Tejada y D. Miguel Ochoa: Tenencias de fusileros en los de Ciudad-Rodrigo y Alcázar al Subteniente Don Antonio del Yerro, y Teniente agregado D. Juan Ramírez: las Subtenencias de granaderos de los de Toro y Burgos á los Subtenientes de fusileros D. Josef Bocalan y D. Ramón. Gas trillo; y las Subtene</t>
  </si>
  <si>
    <t>Delagardette</t>
  </si>
  <si>
    <t>a especie de.arcos &amp;c., escrito en francés por Mr. Símoain, Profesor de Matemáticas: dado á luz por Mr. Delagardette, Arquitecto pensionado de S. M. Cristianísima, y traducido.slrespañol por D. Fausto Martínez de la Torre y D. Joscf Asensio, Profesores dtf Arquitectura y.Grabado: un tomo en foli</t>
  </si>
  <si>
    <t>Délambre</t>
  </si>
  <si>
    <t>vaciones astronómicas. El valor encontrado por los autores de la Memoria difiere muy poco de la que Mr. Délambre ha determinado recientemente en sus nuevas tablas del sol, y que ha deducido de mas de 500 observaciones. La. diferencia produciría ápénas un tercio de segundo en la altura del po</t>
  </si>
  <si>
    <t>Delgado, Francisco</t>
  </si>
  <si>
    <t>Francisco Delgado</t>
  </si>
  <si>
    <t>a Tenencia que este dexa al Subteniente D. Francisco Montrós, y la Subtenencia de bandera al Cadete D. Francisco Delgado. En el Regimiento de caballería de la Reyna se ha servido S. M. conceder empleo de Portaestandarte al Cadete D. Miguel Mauduit: en el de Algarbe Tenencia al Alférez D. Francisco A</t>
  </si>
  <si>
    <t>Delgado, Francisco Manuel</t>
  </si>
  <si>
    <t>Francisco Manuel Delgado</t>
  </si>
  <si>
    <t>e Zaragoza, para una Ración de la Colegial de Daroca , en aquella Diócesi, vacante por promoción de D. Francisco Manuel Delgado. El Vice-Cónsul de S. M., residente en Bayona, escribe con fecha de 4 de Agosto, que el dia 2 á las 6 y media de la tarde habia fondeado en aquel puerto, perseguido de corsarios I</t>
  </si>
  <si>
    <t>Delgado, Juan Bautista</t>
  </si>
  <si>
    <t>Juan Bautista Delgado</t>
  </si>
  <si>
    <t>Ayudantía al Teniente D. Lorenzo Fernandez; y en el de Santiago empleo de Portaestandarte al Cadete D. Juan Bautista Delgado. También se ha servido S. M. conceder Tenencias en los Regimientos de dragones de la Reyna y Pavía á los Alféreces D. Francisco Granados y Don Francisco Zapata: en el de Almansa e</t>
  </si>
  <si>
    <t>Delgado, Sebastián</t>
  </si>
  <si>
    <t>Sebastián Delgado</t>
  </si>
  <si>
    <t>s de Chiquimula D; Vicente Ibañez; y la .Subtenencia de la referida compañía del Castillo de Omoa á D. Sebastian Delgado, Sargento primero del Batallón fixo de Goatemala. En la extracción de la Real lotería, executada ellúnes 13 del corriente, saliéron los números 15, 84, 76, 50 y 25; y con ellos ha</t>
  </si>
  <si>
    <t>Delille</t>
  </si>
  <si>
    <t>e Devonshire compuso, sobre el paso del St. Gothardo, un poema descriptivo, que el Virgilio Francés Mr. Delille ha traducido en la lengua de Racine,</t>
  </si>
  <si>
    <t>Deloé</t>
  </si>
  <si>
    <t>os propietarios del otro lado de los Alpes; Mr. de A remberg, Grande propietario de la Bélgica; y á Mr. Deloé, Consejero de Estado de los departamentos de la orilla izquierda del Rhin.__ „ Los nuevos departamentos del Imperio Francés, dice el mensage, reconocerán en estos nombramientos qu</t>
  </si>
  <si>
    <t>Delorme, Luis</t>
  </si>
  <si>
    <t>Luis Delorme</t>
  </si>
  <si>
    <t>mrel‘Regimiento dé infantería-de Ultonia Companía^aUPeíTieme dé" granafdferosy graduado de Capitam, D. Luis Delorme ; y errel de Astúrias^Teneneia1 al' Teniente’ agregado al cuerpo-de Inhábiles déj Sé villa'1 DI Antonio María - Villalba:El REY'se ha-servido: nombrar para una plaza de Oidor de l</t>
  </si>
  <si>
    <t>Delz, Miguel</t>
  </si>
  <si>
    <t>Miguel Delz</t>
  </si>
  <si>
    <t>o. Señor. = Antonio Henriquez y Calafate, Secretario. = Excmo. Sr. Generalísimo Príncipe de la Paz. D. Miguel Delz, Profesor de Matemáticas con Real permiso, vuelve á abrir su Academia de Aritmética práctica ó de comercio el dia í f del presente mes de 7 á 9 de la noche, siendo este el segundo</t>
  </si>
  <si>
    <t>Demaimieux</t>
  </si>
  <si>
    <t>nciado hace mucho tiempo. Según escriben de Munich S. M. se pondrá en camino á principios de julio. Mr. Demaimieux, antigua Sargento mayor de infantería, inventor de la fasigrafia, escritura reducida á 12 caracteres y 12 reglas, destinada á hacer todas las lenguas inteligibles á los pasígrafos</t>
  </si>
  <si>
    <t>Demetrio Morusi, Príncipe</t>
  </si>
  <si>
    <t>Príncipe Demetrio Morusi</t>
  </si>
  <si>
    <t>n de grandes ventajas. El firman de S. A. relativo al arte de curar será puesto en execucion por el Príncipe Demetrio Morusi, sugeto muy conocido por su ardiente zelo para el mejoramiento de la instrucción publica, de lo qual ha dado pruebas irrecusables en Konroukesmé, donde ha plantificado academias d</t>
  </si>
  <si>
    <t>Demetrio Ortiz</t>
  </si>
  <si>
    <t>simple de la Parroquial de Arganin en el Obispado.de Zamora, vacante por haber contraido matrimonio D. Demetrio Ortiz, á D. Matías Arrate, Salmista de la Colegial de la Santísima Trinidad del Real Sitio de S. Ildefonso; y á D. Manuel Roig para un Beneficio residencial de la Parroquia de Constanti</t>
  </si>
  <si>
    <t>Demont</t>
  </si>
  <si>
    <t>dirigido al Senado un mensage, el 19 de este mes, comunicándole que había nombrado á plazas de él á Mr. Demont, General de división , que fué herido en la batalla de Austerliiz; Mr. Hsutpoult, General de división; Mr. Ordoner, General de división y Comandante de las guardias de á caballo;</t>
  </si>
  <si>
    <t>Deroi, General</t>
  </si>
  <si>
    <t>General Deroi</t>
  </si>
  <si>
    <t>reputado hasta ahora como Regimientos nacionales del Tirol, van á pasar al servicio de Baviera; el General Deroi los organizará sobre el mismo pie que las demas tropas Bávaras._-En Munich tienen freqiientes conferencias los Generales Deroi, Wrede, Triya y otros, para formar up plan relativo al a</t>
  </si>
  <si>
    <t>ávara mandada por el General Wrede, salió de Dresde el 31 de Octubre; la que tiene á sus órdenes el General Deroi, marchó el i.° de Noviembre; y la coiuna Wurtémburguesa ei dia 3. Todas estas colunas marchan al Oder, y forman el cuerpo del exército del Príncipe Gerónimo. El General Durosnel m</t>
  </si>
  <si>
    <t>Deroy, General</t>
  </si>
  <si>
    <t>General Deroy</t>
  </si>
  <si>
    <t>8 obuses servidos por la artillería ligera bombardearon la plaza el dia 8: al siguiente la cercó el General Deroy con su división, y ya se ha tratado de su rendición. El Príncipe elogia en sumo grado ía caballería Eávara. El dia 10 entró el General Davoust con su división en Posen; y está muy</t>
  </si>
  <si>
    <t>Dery</t>
  </si>
  <si>
    <t>los vínculos de la sangre y por las obligaciones mas sagradas. El Ayudante del Gran Duque de Berg, Mr. Dery, hizo capitular al cuerpo que escoltaba los bagages, el qual se habia retirado detras del Peene. Los Suecos entregaron los fugitivos. A esta capitulación hemos debido 1500 prision</t>
  </si>
  <si>
    <t>Dessáix, General</t>
  </si>
  <si>
    <t>General Dessáix</t>
  </si>
  <si>
    <t>or Bonorii, encargado portel Gobierno Francés de* acompañar al monte de S. Bernardo el mausoleo del General Dessáix, y de colocarlo cerca de la hospedería. Después de haber pasado algunas horas en Lausana, se embarcó para'* continuar su ruta. El peso considerable de aquel monumento haría difíci</t>
  </si>
  <si>
    <t>Devoole</t>
  </si>
  <si>
    <t>ra, y siendo menor de 3 pulgadas, con facilidad se lleya .en la mano. Se desea saber el paradero de Mr. Devoole, cerero, con el título de fábrica Real, que vivía hace 30 anos en la carrera de S. Gerónimo» frente al hospital de los Itaj taños d« ¿esta Corte: en su defecto sus hijos ó sucesor</t>
  </si>
  <si>
    <t>Di Bernardo Hernández de Alba</t>
  </si>
  <si>
    <t>. Fernando Pobbs á la Dignidad de Arcediano de Brivi'esca, en la déTfoífgo'sy á Di Bernardo Hernández de Alba, Presbítero,: para otra en la Colegial de Sta. María del Alcázar y S. Andrés de la ciudad de Baeza, Diócesi-de Jaén, vacante por fallecimiento de D. Diego Pereyra, á D. Santiago Moreno: para</t>
  </si>
  <si>
    <t>Díaz Bermudo, Francisco</t>
  </si>
  <si>
    <t>Francisco Díaz Bermudo</t>
  </si>
  <si>
    <t>asa y Corre: para la Regencia de la expresada Audiencia de Sevilla, por ascenso de Duque Estrada, á D. Francisco Díaz Bermudo, Oidor de la de la Coruña; y para la de la Chancillería de Valladolid á D. Gerónimo Diez, Oidor de la Audiencia de Valencia: para las tres plazas vacantes que resultan en la Sala</t>
  </si>
  <si>
    <t>Díaz de Herrera, Antonio</t>
  </si>
  <si>
    <t>Antonio Díaz de Herrera</t>
  </si>
  <si>
    <t>a, D. Toribio Pasalagua y Martinez, D. Vicente Fernandez de Mesa, D. Francisco de Nava y Rodríguez, D. Antonio Diaz de Herrera, D. Francisco Rodríguez López Guerrero, D. Juan Moro de Flores y Mendez, D. Josef Villavicencio y Rodríguez de Arias, D. Fulgencio Anrich y Gómez,D. Francisco Sirera y Sánchez, D.</t>
  </si>
  <si>
    <t>Díaz de Noriega, Juan Antonio</t>
  </si>
  <si>
    <t>Juan Antonio Díaz de Noriega</t>
  </si>
  <si>
    <t>ñalado su remate el dia 29 del corriente. Quien quisiere .hacer ni ejora acuda por la escribanía de Don Juan Antonio Diaz de Noriega. Retrato de Enrique Péstalozzi, dibuxado en Suiza por M Diogg, y grabado en Madrid por D. Pedro Gaseó. Se hallará en las librerías de Orea, frente í San Luis, y de Ranz, calleóla</t>
  </si>
  <si>
    <t>Díaz Moriega, Juan Antonio</t>
  </si>
  <si>
    <t>Juan Antonio Díaz Moriega</t>
  </si>
  <si>
    <t>egunda en 95,502. Quien quisiere hacer postura á ellas acuda ante dicho Señor, por la escribanía de D. Juan Antonio Diaz Moriega. Quien quisiere hacer postura á una casa sita en la calle de la1 Ruda, que hace esquina y vtielve á la plazuela de lá Cebada» núm.3 , manz. 86, tasada en 285,885 rs., acuda'arité</t>
  </si>
  <si>
    <t>ara la mejora del quarto. Quien quisiere hacerla acuda ante dicho Sr. Alcalde, por la escribanía de D. Juan Antonio Díaz Moriega. Por providencia del Sr. Alcalde de Corte D. Antonio Cano Manuel se subastan las tierras y heredades siguientes. Tierras sitas .en término de esta Corte. Una tierra á la salida de</t>
  </si>
  <si>
    <t>Díaz Noriega, Juan Antonio</t>
  </si>
  <si>
    <t>Juan Antonio Díaz Noriega</t>
  </si>
  <si>
    <t>asada en 25,028 rs. Quien quisiere hacer postura acuda ante dicho Sr. Alcalde, por la escribanía de D. Juan Antonio Díaz Noriega. En virtud de providencia del Sr. D. Francisco López de Lisperguer, del Con* sejo de S. M., Alcalde en su Real Casa y Corte, se han mandado sacar á pública subasta, por término de</t>
  </si>
  <si>
    <t>Sr. D. Diego Gil Fernandez, del Consejo de S. M., Alcalde en su Real Casa y Corte, y escribanía de D. Juan Antonio Díaz Noriega, se cita, llama y emplaza á todos los acreedores de D. Juan Acoz, vecino y del comercio de esta Corte, para que en el término de 30 días contados desde el 25 de Junio comparezcan</t>
  </si>
  <si>
    <t>. D..Die-, gp Gij Fernandez, del Consejo de S. M., Alcalde en su Real Casa y Corte, y escribanía de D. Juan Antonio Diaz Noriega, tasada en 25,028 rs., y está hecha posturabeada misma cantidad a pagar en vales Reales. A virtud de ¡providencia del Sr. Teniente de Corregidor D¿ León de Sagasfa, del 23 d¡e; Ju</t>
  </si>
  <si>
    <t>para su remate está señalado el juéves 13 del corriente, á las 12 de su mañana, en la escribanía de D. Juan Antonio Díaz Noriega. En virtud de providencia del Real Tribunal de Cádiz de 30 de Setiembre próximo pasado en autos de concurso de acreedores de D. Josef Manuel de Inchaurraga, núm. 115, del año de 1</t>
  </si>
  <si>
    <t>Díaz Norie’ga, Juan Antonio</t>
  </si>
  <si>
    <t>Juan Antonio Díaz Norie’ga</t>
  </si>
  <si>
    <t>Barco, tasada en 6790 rs. Quien quisiere hacer postura acuda ante dicho Señor por la escribanía de D. Juan Antonio Díaz Norie’ga. Quien quisiere hacer postura á unas casas y huerta sitas en la calle de Segovía, inmediatas á la puerta del Resguardo, tasadas 6^710,430 rs., sin incluirse en este precio las agu</t>
  </si>
  <si>
    <t>Díaz Sánchez, Juan</t>
  </si>
  <si>
    <t>Juan Díaz Sánchez</t>
  </si>
  <si>
    <t>sef de la Pipa por haber segado con hoces y majado 30 fanegas de pan: 600 rs. á Juan Díaz Sánchez, vecino, del lugar de Prado!, Parroquia ae la Consola-? c.ton » del Concejo de Caravia, por haber cogido 140 fanegas de batatas en terreno, inculto;, y en parage donde no acostumbraba hac</t>
  </si>
  <si>
    <t>Díaz, Alexo</t>
  </si>
  <si>
    <t>Alexo Díaz</t>
  </si>
  <si>
    <t>de Yeltes, en la Diócesis de Ciudad-Rodrigo, vacante por muerte de D. Manuel Fernandez Martínez, á D. Alexo Díaz: para el Arciprestazgo de San Estéban de Gormaz, en el Obispado de Osma, vacante por fallecimiento de D. Manuel Dorramas, á D. Pantaleon Rodríguez; y para el Beneficio rural de To</t>
  </si>
  <si>
    <t>Díaz, Lorenzo</t>
  </si>
  <si>
    <t>Lorenzo Díaz</t>
  </si>
  <si>
    <t>cuerpo; á Ayudante al Teniente D. Juan Chenard; á Tenientes á los Subtenientes D. Vicente Martínez, D. Lorenzo Díaz, D. Manuel Chenard y D. Josef Ignacio de la Torre y Cárdenas, los tres primeros de granaderos; á Subtenientes de granaderos á los de fusileros D. Francisco Xavier de Lamaddz , D.</t>
  </si>
  <si>
    <t>Díaz, Ramón</t>
  </si>
  <si>
    <t>Ramón Díaz</t>
  </si>
  <si>
    <t>e granaderos, graduado de Capitán, D. Pedro Solas; y en los de Navarra y Ñapóles á los Subtenientes D. Ramón Diaz y D. Josef Escandon. S. M. se ha servido conceder en el Regimiento Suizo de Preux empleos de Capitanes segundos al Ayudante D. Josef Escher y ai Teniente de granaderos D. Francisco de</t>
  </si>
  <si>
    <t>Diego’Benigno González</t>
  </si>
  <si>
    <t>, número lo, manz. ^14, tasada en 174,331 rs. Quien quisiere hacer postura acuda á la escribanía de D. Diego’Benigno González,:dentro de 30 dias contados desde el 9 del corriente. A voluntad de su dueño, y para pago de acreedores, se vende una hacienda situada en el término de la villa de Talavera de la</t>
  </si>
  <si>
    <t>Dieguez, Benito</t>
  </si>
  <si>
    <t>Benito Dieguez</t>
  </si>
  <si>
    <t>la chidad de Albarracin á D. Manuel Clemente Ruiz; y para la Alcaldía mayor de Callosa de Segura á D. Benito Dieguez. Ultimamente ha concedido el Rey á D. Antonio Escalera, Corregidor de la ciudad de Lucena, que continúe por el tiempo de su Reaf voluntad en dicho Corregimiento. "“En’Árhérica. S.</t>
  </si>
  <si>
    <t>Diez Barroso, Francisco</t>
  </si>
  <si>
    <t>Francisco Diez Barroso</t>
  </si>
  <si>
    <t>el jReyn.o, de- Nueva-España, se ha servido ei Rey pro^noyer á:.Capitgn aliTenj^nte? de granaderos D. Francisco Diez Barroso; á Tenientes ds granaderos.*á los? de fusileros D. Rafael .Muntero y D. Agustín de Aguirre ; á Tenientes á IosSubtenientes de granaderos D. Manuel Vilianueva y D. Josef Viya,»:y.,</t>
  </si>
  <si>
    <t>Diez de Lara, Agustín</t>
  </si>
  <si>
    <t>Agustín Diez de Lara</t>
  </si>
  <si>
    <t>e la expresada ciudad; para otra en la Colegial del Sacromonte de Granada, vacante por promoción de D. Agustín Diez de Lara á Canongía de aquella Iglesia Metropolitana, á D. Juan Morales y, Aranda: para la Media-Ración , vacante en la Iglesia Catedral dé Badajoz por muerte de D. Francisco Marin, á D. F</t>
  </si>
  <si>
    <t>Diez, Agustín</t>
  </si>
  <si>
    <t>Agustín Diez</t>
  </si>
  <si>
    <t>o «simple de la villa de la Hinojosá :dé DueroDiócesi de ^Ciudad-Rodrigó, vacante por ¡promoción dé Don Agustín Diez de, Eara áGahon jía. de la¡ Catedral de Granada, á D. Josef Guardabrazo dé Zarzosa : paca: el Benefició, simple .serviderods |a Parroquia de S. Nicolás de la villa de Madrigal, en el</t>
  </si>
  <si>
    <t>Diez, Gerónimo</t>
  </si>
  <si>
    <t>Gerónimo Diez</t>
  </si>
  <si>
    <t>á D. Francisco Díaz Bermudo, Oidor de la de la Coruña; y para la de la Chancillería de Valladolid á D. Gerónimo Diez, Oidor de la Audiencia de Valencia: para las tres plazas vacantes que resultan en la Sala de Alcaldes de mi Casa y Corte, nombro al supernumerario D. Francisco López Lisperguer, á</t>
  </si>
  <si>
    <t>Dim Pedro Antonio Sánchez</t>
  </si>
  <si>
    <t>ón^ ;.y se cofrigen•varias equivocaciones suyas, y de otros que le han servido de guia: su autor el Dr. Dim Pedro Antonio Sánchez, Canónigo de la Santa Iglesia de Santiago, y Académico correspondiente de la Real Academia de la Historia. Se. hallará ,en la librería.de Castillo, frente á lastradas de S. Felipe</t>
  </si>
  <si>
    <t>Diputado Goel</t>
  </si>
  <si>
    <t>añado de Mr. Van Styrum, ámbos individuos de la comisión Bátava en Francia. Los Diputados Goel y Six vendrán con S. M. el Rey de Holanda. El General Michaux, Comandante en gefe de las tropas Francesas, llegó también aquí ayer mañana acompañado de su Estado may</t>
  </si>
  <si>
    <t>Diputado Judíos</t>
  </si>
  <si>
    <t>mismo, tiempo por la admiración y el reconocimiento de la Europa entera.. Los. Diputados Judíos ,, convocados pon decreta de 30 de Mayo , se re— uniéfón en esta capital el 26 de Julio.próximo-pasado, en número de 95,, elegidos, en 28 departamentos. Consti</t>
  </si>
  <si>
    <t>Diputado Schorndoru</t>
  </si>
  <si>
    <t>i8o&lt;T. c El lunes último fueron á dormir á Liechstal el Burgomaestre Merian, el Diputado Schorndoru, los Consejeros Heysler y Abel Merian, el Coronel Wieland y otras personas de distinción, escoltadas por 60 cazadores de caballería. El dia siguiente pasaron l</t>
  </si>
  <si>
    <t>Diputado Servios Fabián</t>
  </si>
  <si>
    <t>mo que nos contaron estas Gazetas pabrá y 9 4 Ineses^ Dixéron. entonces que los Diputados Servios Fabián conseguido del;Gran Seño.r un firman, que allanaba todas las diñcnltactes , y ípo.niaífin y t^rníino á las desavenencias. Ahora se: afirma todo- io contrario;*</t>
  </si>
  <si>
    <t>Diputado Six</t>
  </si>
  <si>
    <t>Diputado VerhuelGógel</t>
  </si>
  <si>
    <t>ionario ha nombrado una comisión encargada de pasar’ á París; se compone de los Diputados VerhuelGógel, Van-rStyrum &gt;y ¡Six quienes se reunirá nuestro Minis*tro residente en Parisy Mr. ¡Brantseif^Nd se conoce todavía el resultado de las deliberaciones ; pero tod</t>
  </si>
  <si>
    <t>Direcjqr, Arzobispo</t>
  </si>
  <si>
    <t>Arzobispo Direcjqr</t>
  </si>
  <si>
    <t>8. dallas pendientes de collares &amp; otros tantos jovenes de ambos sexos, 12 que dio el Exorno. Sr. Arzobispo Direcjqr, 6 el Vice-Directpr Marques de Valera, 4 el Socio D. Juan Martínez de Hermosiíla con destino á las Escuelas Pias, uno la Señora Baronesa de Antella con destino á la Enseñanza de S</t>
  </si>
  <si>
    <t>Director Balmis</t>
  </si>
  <si>
    <t>al al cargo dél Subdirector D. Francisco Sálvani; y dirigiéndose el otro con el Director Balmis á la Havana:, y de allí á Yucatán. En ésta provincia se subdividió, saliendo el profesor D. Francisco Pastor del puerto de Sisal para el de Villahermosa en laj</t>
  </si>
  <si>
    <t>Director Conde del Aguila</t>
  </si>
  <si>
    <t>celebró su junta general pública en las casas consistoriales, presidida por su Director Conde del Aguila, en los dias 23 y 24 de Noviembre. La sesión del 23 se abrió por un eloqiiente discurso leído por el socio D. Félix Reynoso , en que por una serie comparativa</t>
  </si>
  <si>
    <t>Director Don</t>
  </si>
  <si>
    <t>rro y Sangran, Coronel de infantería, Presidente de la Junta, dando posesión al Director Don</t>
  </si>
  <si>
    <t>Director Dr</t>
  </si>
  <si>
    <t>a de tanto bien, causando la mas dulce emoción á los espectadores------ El Vice-Director Dr. D. Francisco de Paula García del Busto pronunció un discurso alusivo á tan tierna escena, alabando á los premiados,y excitando sus sencillos corazones al agra</t>
  </si>
  <si>
    <t>Director Marques de Valerá</t>
  </si>
  <si>
    <t>s las clases honradas de la ciudad: y á presencia del numeroso concurso el Vice-Director Marques de Valerá,que la presidió, leyó su discurso dé abertura, en que manifestó, que el objeto de la junta era obsequiar á la Reyna nuestra Señora del mejor modo que podia, ma</t>
  </si>
  <si>
    <t>Director Mr</t>
  </si>
  <si>
    <t>Director de pu entes y caminos y construcciones hidráulicas, y para la plaza de Director Mr. Sammet, sugeto activo, y muy inteligente en la materia; Mr. de Flatt, persona muy conocida por su pericia en levantar planos, es el inspector dei establecimie</t>
  </si>
  <si>
    <t>Director Subinspector</t>
  </si>
  <si>
    <t>xército de la división de Indias ha promovido S. M. á Brigadier de infantería y Director Subinspector al CoTonel D. Manuel Mascaré: á Teniente Coronel al Sargento mayor de brigada D. Fiancisco Lemaur: á este empleo al Capitán primero D. Eleuterio Cebollino; y a</t>
  </si>
  <si>
    <t>l Cuerpo de Ingenieros del Exército ha promovido el Rey á Brigadier é Ingeniero Director Subinspector al Coronel D. Francisco García Carrasco. El Reí se ha servido nombrar á D. Francisco del Castillo y Valero para el Corregimiento de Letras de la ciudad de Gijo</t>
  </si>
  <si>
    <t>Director, Luis (archiduque)</t>
  </si>
  <si>
    <t>Archiduque Luis Director</t>
  </si>
  <si>
    <t>___Han regresado de Corfú á Odessa el General Muronitzow y el Coronel Baturin. S. M. ha nombrado al Archiduque Luis Director general de los distritos situados en las fronteras militares de la Hungría y de la Transilvania, y General en gefe de todos los Regimientos de las fronteras. S. A. R. tendrá btaxo</t>
  </si>
  <si>
    <t>Dispon</t>
  </si>
  <si>
    <t>en las artes* porMr.Kirwan; me • o s&gt;-t*c iii istmo de desinfeccionar los establos &gt;, propuesto por Mr. Dispon ; extra v&gt; de una trage J&gt;a Danesa de Juan Ewald, intitulada la muerte de Ea:de ; en!¡eg «;ue ^ace r¡ sirio xvrit al xíx; modo de tener conejos de todos colores T por .MfrLois|eít</t>
  </si>
  <si>
    <t>Dódero, Capitán</t>
  </si>
  <si>
    <t>Capitán Dódero</t>
  </si>
  <si>
    <t>a gente, y le obligó á que se rindiese. La presa entró en Altea: él Gobernador Español manifestó al Capitán Dódero toda su satisfacción. Los dos corsarios-Ingleses infestaban hacia * mué hó tiempo aquellos mares, causando graves daños á la navegación* El buque apresado tenia 6 cañones* % de á</t>
  </si>
  <si>
    <t>Dodero, Luis (capitán)</t>
  </si>
  <si>
    <t>Capitán Luis Dodero</t>
  </si>
  <si>
    <t>kaf.: &lt;• rr ■FRANCIA. .. Génova 5 de Julia. El xabeque ía Serpiente , de 14 cañones, mandado por el Capitán Luis Dodero, Génoves, sostuvo el 30 de Mayo último un cómbate , en el golfo de Valencia , contra dos corsarios Ingleses mucho mas fuertes que él eñ tripulación y en artilleiía. Después de una</t>
  </si>
  <si>
    <t>un navío de guerra Ingles, y la dexó pasar, aunque venia directamente aquí de los EstadosUnidos. Ei Capitán Luis Dodero, que nó hace mucho tiempo conduxo á España un corsario Ingles, fué acometido el 12 de Agosto en las costas de Levante por 5 corsarios enemigos; después de 4 horas de combate los p</t>
  </si>
  <si>
    <t>Doillot</t>
  </si>
  <si>
    <t>uras de la Condesa de la Mota, y las memorias siguientes : i.a en su defensa por el célebre Abogado Mr. Doillot: 2.a en defensa del Conde de Gagliostro : 3.a en defensa del Cardenal de Rohan, escrita por él mismo, y dirigida al Parlamento y Junta de la Cámara: 4.a en defensa de Guay de Oliv</t>
  </si>
  <si>
    <t>Doíz, Miguel</t>
  </si>
  <si>
    <t>Miguel Doíz</t>
  </si>
  <si>
    <t>rio D. Martin de "Enseña, se ha servido promoverle á Comisario Ordenador efectivo de sus Ejércitos. Don Miguel Doíz, Profesor de Matemáticas con Real permiso, habiendo visto lo mucho que interesa á los discípulos que hayan estudiado el primer año de Matemáticas el que en estos tres meses de vac</t>
  </si>
  <si>
    <t>Dolgoroucky, Príncipe</t>
  </si>
  <si>
    <t>Príncipe Dolgoroucky</t>
  </si>
  <si>
    <t>Wirtemberg ha sido nombrado Comandante general del Austria.__ El Emperador de Rusia ha encargado al Príncipe Dolgoroucky la inspección general de los hospitales Rusos que hay en la Silesia y en la Polonia. El 19 del pasado llegaron á Lemberg, en Galiitzia , el General en gefe Kutusow y el General de Bu</t>
  </si>
  <si>
    <t>Sueca á acceder á este arreglo. „ Espero que en atención á lo dicho V. E. obrará de acuerdo con el' Príncipe Dolgoroucky, Encargado por S. M. I. de todas las Rusias de todo lo relativo al destino del exército Ruso. En el caso en que S. M. Sueca consintiese en conliar el mando de sus tropas al Conde</t>
  </si>
  <si>
    <t>Dolgorouká, Príncipe</t>
  </si>
  <si>
    <t>Príncipe Dolgorouká</t>
  </si>
  <si>
    <t>. I. y R. El General Austríaco, Conde de Noslitz, no ha dexado impune el ultraje que le ha hecho el Príncipe Dolgorouká, acusándole públicamente y de oficio no haber cumplido con su deber en una acción en que los Austríacos estaban empeñados con los Rusos contra el exéxeito Francés ; acaba de pedir</t>
  </si>
  <si>
    <t>Dolí Miguel Labrador</t>
  </si>
  <si>
    <t>día io de Febrero próximo. Los pretendientes remitirán sus memoriales al Dr. Dolí Miguel Labrador, Canónigo, Secretario del Prior y Cabildo de su Colegial. Se halla vacante la escuela de primeras Letras del Colegio de S. Mateo de la villa de Valderas, Obispado de León: su dota</t>
  </si>
  <si>
    <t>Doliany, Francisco</t>
  </si>
  <si>
    <t>Francisco Doliany</t>
  </si>
  <si>
    <t>aduado de infantería, Don Benito de la Riva: en el de Irlanda Tenencia al Subteniente de granaderos D. Francisco Doliany: en el de Asturias Tenencias al Teniente agregado D. Mudo Carelli, y al Subteniente de granaderos D. Isidro Valverde ; y en el de Málaga Subtenencia de bandera al Sargento primero</t>
  </si>
  <si>
    <t>Dolz del Castellar, Miguel</t>
  </si>
  <si>
    <t>Miguel Dolz del Castellar</t>
  </si>
  <si>
    <t>sdicción. ~Con Real permiso en la calle del Caballero de Gracia, níim. 9, quarto segundo, establece D. Miguel Dolz del Castellar, Opositor á las Cátedras de Matemáticas de la Real Casa de Pages de S. M., y substituto que ha sido de la Cátedra de Geografía, Astronomía, Cronología é Historia en el Real Semina</t>
  </si>
  <si>
    <t>Dolz, Vicente</t>
  </si>
  <si>
    <t>Vicente Dolz</t>
  </si>
  <si>
    <t>ernandez Salvador, Capitán del de Calatrava: en el de Alcántara empleo de Portaestandarte al Cadete D. Vicente Dolz; y en el de Santiago empleo de Alférez al Portaestandarte D. Manuel Puch. Igualmente se há servido el Rey promoverá Teniente Coronel del Regimiento de dragones del Rey al Coronel</t>
  </si>
  <si>
    <t>Dombrow, General</t>
  </si>
  <si>
    <t>General Dombrow</t>
  </si>
  <si>
    <t>del Oder á Posen, por donde se cree pasará el Emperador, El 16 ha llegado un correo con pliegos del General Dombrow*ky, en que avi an que los habitantes de kVayvodía de Lenczye se han apoderado de la fortaleza de este nombre, y formado ufo* confederación: la artillería , municiones y almacenes</t>
  </si>
  <si>
    <t>Dómbrowsky, General</t>
  </si>
  <si>
    <t>General Dómbrowsky</t>
  </si>
  <si>
    <t>Noviembre. El Mariscal Davoust ha salido el 16 de esta ciudad con la mayor parte de su exército. El General Dómbrowsky, á su partida dé la ciudad, ha mandado levantar la gente suficiente para formar 4 Regimientos de infantería en'el tér- ‘ mino de 15 días. También ha nombrado 17 Polacos, miembros</t>
  </si>
  <si>
    <t>Dombrowsky, General</t>
  </si>
  <si>
    <t>General Dombrowsky</t>
  </si>
  <si>
    <t>n cuyas disposiciones se puede contar, y que solo aguardan el momento favorable para declararse. El General Dombrowsky ha recibido el informe qiie sigue sobre la toma de la fortaleza de Czenstochau: „Conforme á las ordenes de V. E. nos presentamos el 18 delante de Czenstochau: constaba nuestra col</t>
  </si>
  <si>
    <t>DomingoVelez, Pedro</t>
  </si>
  <si>
    <t>Pedro DomingoVelez</t>
  </si>
  <si>
    <t>gento primero D. Mariano Espejo: en.el de Voluntarios de Castilla al Sargento primero de granaderos D. Pedro DomingoVelez, y al Cadete D. Joaquín Ximenajy en el de Extremadura Subtenencia de bandera al Sargento primero D. Fernando Carpintero.</t>
  </si>
  <si>
    <t>Domínguez, Bernardo</t>
  </si>
  <si>
    <t>Bernardo Domínguez</t>
  </si>
  <si>
    <t>ca. S. M. se ha servido nombrar para el empleo de Oficial Real Tesorero de las caxas de Sonsonate á D. Bernardo Domínguez, electo para el de Contador de las de Omoa; y para esta resulta á D. Nicolás Josef Corona, Oficial quarto de la Contaduría de exército de Goatemala. Por decreto del Real Consejo d</t>
  </si>
  <si>
    <t>Domínguez, Pedro</t>
  </si>
  <si>
    <t>Pedro Domínguez</t>
  </si>
  <si>
    <t>Nuevo Reyno de Granada se -ha dignado S. M. conferir Compañía de granaderos al Capitán de fusileros D. Pedro Domínguez ; esta resulta al.agre,gado D. Nicasio Davouza ; Ayudan tía-al'primer Teniente D: Ignacio Salcedo; primera Tenencia ai Teniente dé granaderos D..Miguel de Cé pides; -esta resulta</t>
  </si>
  <si>
    <t>Don</t>
  </si>
  <si>
    <t>de dinero de Inglaterra; estos caudales se han llevado inmediatamente áWerdenal quartel general de Mr. Don. Con este dinero han llegado también 20® uniformes ; pero ese oro, ese paño, y aun el haber cogido 7 Franceses en las inmediaciones de Hameln, ¿ qué significan estas cosuelas, est</t>
  </si>
  <si>
    <t>Don, General</t>
  </si>
  <si>
    <t>General Don</t>
  </si>
  <si>
    <t>y han formado muchas baterías dirigidas contra Hameln. En 17 del corriente ha llegado á Hannover el General Don, acompañado del General de Brigada von-der-Deseen. Parece que solo se esperaba la llegada de este General para dar principio al ataque contra dicha fortaleza. El 18 han llegado á</t>
  </si>
  <si>
    <t>ito de cerca de 30® hombres___ Los Oficiales que deben servir en el Continente baxo las órdenes del General Don, y ha nombrado el Rey últimamente, son Mrs. Tloyd, Francis Dundas y Moore con el grado de Tenientes Generales. El Doctor Patrick va á salir para Alemania, acompañado de muchos Méd</t>
  </si>
  <si>
    <t>Doorman</t>
  </si>
  <si>
    <t>anseático va á ser renovado solemnemente en Lubeck, que será la ciudad directorial. Nuestro Síndico Mr. Doorman ha salido ya de aquí para aquella ciudad como uno de los Diputados, y Mr. el Senador Schmidt va de Diputado de Bremen. Las favorables declaraciones de la Francia han acelerado la</t>
  </si>
  <si>
    <t>Doria, Antonio</t>
  </si>
  <si>
    <t>Antonio Doria</t>
  </si>
  <si>
    <t>do nombrar á D. Juan Roca para una Canongía de fa Catedral de Gerona, vacante por talle cimiento de D. Antonio Doria: á D. Vicente Castañer para otra Canongía de la Colegiata de Sra. Ana de Barcelona t vacante por muerte de D. Antonio Vinals ; y á D. Tomas Ribo para la Dignidad de Chantre de la</t>
  </si>
  <si>
    <t>Dorien, Coronel</t>
  </si>
  <si>
    <t>Coronel Dorien</t>
  </si>
  <si>
    <t>trata de enviar muchos Regimientos de caballería á Alemania. Los Guardias de Corps, mandados por el Coronel Dorien , han solicitado embarcarse. TJna parte de las tropas acantonadas en Sussex espera de un momento á otro la orden de marchar. La brigada del General Sr-encer, que se portó con much</t>
  </si>
  <si>
    <t>Dorramas, Manuel</t>
  </si>
  <si>
    <t>Manuel Dorramas</t>
  </si>
  <si>
    <t>ara el Arciprestazgo de San Estéban de Gormaz, en el Obispado de Osma, vacante por fallecimiento de D. Manuel Dorramas, á D. Pantaleon Rodríguez; y para el Beneficio rural de Torrejon y Villalpando, en la Diócesis de Cuenca, vacante por dimisión de D. Josef Ventura Duro y Solano, electo Arcediano</t>
  </si>
  <si>
    <t>Dowmann</t>
  </si>
  <si>
    <t>as órdenes de Sir David Baird y de Sir Popham.” ,, En el despacho del Almirantazgo d 27 de Febrero. Mr. Dowmann, Capitán del navio de S. M. el Diadema, ha llegado esta tarde con pliegos de Sir Home Popham, con fecha del Cabo de Buena-Esperanza el 13 de Enero : anuncian estas cartas que la e</t>
  </si>
  <si>
    <t>Dowmann, Capitán</t>
  </si>
  <si>
    <t>Capitán Dowmann</t>
  </si>
  <si>
    <t>á esta capital el Mayor Baird, enviado desde el exército con pliegos del General David Baird, y el Capitán Dowmann, enviado de la esquadra con pliegos del Conmodoro Popham, que contienen las circunstancias del importante suceso de la toma del Cabo de Buena-Esperanza. Apénas llegaron estos Ofic</t>
  </si>
  <si>
    <t>Doyle, Henrique</t>
  </si>
  <si>
    <t>Henrique Doyle</t>
  </si>
  <si>
    <t>rayado de la carrera de S. Gerónimo. Tratado sobre el cultivo, uso y utilidades de las patatas, por D. Henrique Doyle, corregido y considerablemente aumentado en esta 4.a edición. Esta obra es ya bien conocida, como lo acreditan las muchas ediciones que se han hecho de ella. En la presente se han</t>
  </si>
  <si>
    <t>Drouet, General</t>
  </si>
  <si>
    <t>General Drouet</t>
  </si>
  <si>
    <t>a que ganaría un día de tiempo; pero verle , reconocerle y acometerle fué cosa de un instante.__ El General Drouet, al frente del Regimiento núm. 27 de infantería ligera, y de los 94 y 95 de linea, se acercó á las baterías con la serenidad é intrepidez característica de las tropas Francesas. I</t>
  </si>
  <si>
    <t>Emperador 4 estandartes de quatro esquadrones Prusianos que mandaba el General Peletx, á quien ej .General Drouet obligó á capitular cerca-de Lauenburgo, donde , se,-, hallaban separados de la división del General Blucher. . . . - w El Sargento mayor Amiel, al frente de un esquadron del 16 de</t>
  </si>
  <si>
    <t>rgo, ha comido en casa de Mr. Bourienne, Ministro de Francia, con el General Leopoldo Berthier y el General Drouet. Va á Berlín, y según parece está resuelto que conservará su soberanía. Brunswick 14 de Noviembre. El cadáver del difunto Duque de Brunswick se trasladará de Ottenseit á esta ciud</t>
  </si>
  <si>
    <t>Drummond</t>
  </si>
  <si>
    <t>a entre los Mamelucos y Elfi-Bey; la del Gobernador de la Puerta no se extiende mas allá del Cayro. Mr. Drummond, Ministro de Inglaterra, está disponiendo sus cosas para ausentarse de esta capital, y en su ausencia lo reemplazará el Encargado de Negocios. RUSIA. Petersburgo 1.° de Marzo. Nue</t>
  </si>
  <si>
    <t>Duckwoorth, Almirante</t>
  </si>
  <si>
    <t>Almirante Duckwoorth</t>
  </si>
  <si>
    <t>ción pública. GRAN BRETAÑA. Londres 22 de Enero. La fragata Amethysta, destacada de la esquadra del Almirante Duckwoorth, ha llegado el 9 de este mes á Pümouth con la noticia de haber este Almirante avistado el 25 de Diciembre cerca de Tenerife una división de la esquadra Francesa de Brest, que se c</t>
  </si>
  <si>
    <t>Duckworth, Almirante</t>
  </si>
  <si>
    <t>Almirante Duckworth</t>
  </si>
  <si>
    <t>da ,*? una pensiób anual 1 de 1® &lt; libras esterlinas.” •¿LiEsta bátalla níval ne* -la&gt; ¡queTebiylee^Almirante Duckworth ha ¿dado; i una dirision Eirdacesa de la ¡esquadra de Brest á la vísta dé Santo Domingo. . *.7 ! * r.J'íIOÍ7 .. .... :nq coi ^ ‘ V , I ^ * L 7:1 . - r ... ¿J L U IÍV.. . &gt;/bo ¡‘ J</t>
  </si>
  <si>
    <t>e Seymour lo ha estado gravemente; pero se ha restablecido, y ha llegado en el Kingsfisher. El Vice-Almirante Duckworth se ha hecho á la vela para la Jamayca con las presas.” A esta relación añaden las Gazetas varias particularidades. El Almirante Duckworth partió de las aguas de Cádiz con 6 navios</t>
  </si>
  <si>
    <t>recibido por el telégrafo esta noticia *•. », El 'Capitán ■Mallcolm ha doblado el Cabo Maize con el Almirante Duckworth el 20 de Marzo: es infundada la noticia-■!que,¿orría de.hallra[i£e¡-allí-una ¡esquadra Francesa. El Donnegal se ha separado defAlmir,ante,Lewis,.y ^le ha dexad@ con el Spencer, Júpi</t>
  </si>
  <si>
    <t>arques de Bute será nombrado Gobernador del Cabo de Buena Esperanza. Escriben de los puertos que el Almirante Duckworth ha vuelto á su destino, y se ha puesto de nuevo á las órdenes de Lord Collingwood en su apostadero cerca de Cádiz con los navios de S. M. Soberbio y Acasta. El resto de su esquadr</t>
  </si>
  <si>
    <t>a cediendo el Ducado de Berg; noticia de la batalla naval dada en las aguas de Santo Domingo por el Almirante Duckworth según los Ingleses; proclama del primer Magistrado de la Istria á sus conciudadanos; discurso dei Archi-Canciller del lince rio Francés al Senado, y las actas y decretos que arreg</t>
  </si>
  <si>
    <t>■ GRAN BRETAÑA. "Londres go de Setiembre. El miércoles por la mañana, reynando viento favorable, el Almirante Duckworth hizo señal al convoy destinado al Mediterráneo de hacerse á k vela: los buques que le componen zarparon al punto, y siguieron los navios de guerra, dirigiendo el rumbo al O. Crées</t>
  </si>
  <si>
    <t>Duekworth, Almirante</t>
  </si>
  <si>
    <t>Almirante Duekworth</t>
  </si>
  <si>
    <t>so participar de todas las fatigas como un simple Oficial; y que la sola vez^en que la esquadra del Almirante Duekworth , superior en el número y la fuerza de sus ~navíos, se bailó bastante cerca para dar íU» combate, el Príncipe se anticipó á reclamar al ContraAlmirante Villaumez el privilegio de</t>
  </si>
  <si>
    <t>Dufourt, Luis</t>
  </si>
  <si>
    <t>Luis Dufourt</t>
  </si>
  <si>
    <t>ranaderos al de fusileros D. Jerge Widerman: en el de Preux á Subtenientes de bandera á los Cadetes Don Luis Dufourt y D. Estéban Ganioz : en el de Traxler á Tenientes á ios Subtenientes D. Julio Alberto Viucenz y D. Juan Baptista Ebneter, el primero de granaderos; y á Subteniente de granaderos al d</t>
  </si>
  <si>
    <t>Dumanoir, Almirante</t>
  </si>
  <si>
    <t>Almirante Dumanoir</t>
  </si>
  <si>
    <t>ois no ha podido conseguir el permiso que ha pedido de pasar á Francia á curarse de sus heridas: el Almirante Dumanoir y otros 4 Oficiales han vuelto á Francia baxo palabra de honor. El domingo ha salido de Portsmóuth una embarcación Rusa de 400 toneladas, que ha llegado poco ha de un viage al reded</t>
  </si>
  <si>
    <t>Dumas, Carlos Luis</t>
  </si>
  <si>
    <t>Carlos Luis Dumas</t>
  </si>
  <si>
    <t>ia experimental, filosófica y médica del hombre vivo, escrita en francés por el ciudadano Carlos Luis Dumas, dél Instituto nacional de Francia, profesor de Anatomía y Fisiología en la escuela de Medicina de Mompeller &amp;c., traducida por D. Juan Vicente Carrasco, Médic</t>
  </si>
  <si>
    <t>Dumonceau Ministro Plenipotenciario, Teniente General</t>
  </si>
  <si>
    <t>Teniente General Dumonceau Ministro Plenipotenciario</t>
  </si>
  <si>
    <t>ado para su Secretario de Estado á Mr. F. W. Roel; á Mr. G. Branzen Maestro mayor de ceremonias; al Teniente General Dumonceau Ministro Plenipotenciario cerca del Emperador Napoleón; al Teniente General Noguez Ballestero mayor; al Coronel Broc Mayordomo</t>
  </si>
  <si>
    <t>Dumonceau, General</t>
  </si>
  <si>
    <t>General Dumonceau</t>
  </si>
  <si>
    <t>cuerpo qtíe había en Maguncia se ha restablecido ya del todo. Las tropas Bá tavas, mandadas por el General Dumonceau, han 'recibido orden para otro destinó, y es regufar que hayan pasado el Mein, con el objetó de acantonarse en Nassau-Usingen. , Las tropas francesas han tomado sin pérdida de tie</t>
  </si>
  <si>
    <t>e Febrero. Han llegado á Nimega dos navícs con algunas tropas y equipages de la división Bátava del General Dumonceau, á quien se espera aquí de dia en dia. Se dice que no volverán de esta división mas que 6© hombres, y que el resto hará parte del campamento cerca de París, para asistir á la gran</t>
  </si>
  <si>
    <t>n de los que quedan en Helder y en la Zelanda. Las últimas cartas recibidas aquí de la división del General Dumonceau anuncian que el quartei general de aquella división se halla en Dietz, capital del país de Nassau-Dietz, perteneciente á nuestro antiguo Stathouder. Parece que las circunstancias</t>
  </si>
  <si>
    <t>oseerlos con título de Principado, y por consiguiente será un Príncipe del Sacro Romano Imperio. El General Dumonceau llegó el 17 del corriente á Utrech, y .al dia siguiente salió para la Haya. No se dudaba que este General vendria antes que las tropas Bátavas, que sirvieron á sus órdenes en Alem</t>
  </si>
  <si>
    <t>s, y en barriles de vino los mas exquisitos de Alemania para el Pensionario. La división Bátava del General Dumonceau se espera en Niméga el 24, 25 y 26; marcha en 4 colunas, compuesta cada una de 2500 infantes y 400 caballos. ITALIA. Florencia 20 de Marzo. Ayer día de S. Josef, S. E. Mr. Francis</t>
  </si>
  <si>
    <t>mpamento de Zeyst, que se había levantado, será ocupado nuevamente por otras tropas, que mandará el General Dumonceau. Se cree que se compondrá de los Regimientos de la guardia, de la artillería volante y de los cazadores. Se cree que el resto del exército marcha á Cíe ves. El General Daendels, q</t>
  </si>
  <si>
    <t>29 de Setiembre de 1806. = Luis. Nimega 28 de Setiembre. Hoy ha marchado al campamento de Zeyst el General Dumonceau. El Teniente General Michaiud llegó ayer aquí , y desde luego tomó el mando de la vanguardia del exército que se junta en estas inmediaciones. Las tropas que le han de componer ll</t>
  </si>
  <si>
    <t>Dundas</t>
  </si>
  <si>
    <t>pre los antagonistas del noble Lord. Mr. Canning añadió: ,, El Canciller del Echiquier ha dicho que Mr. Dundas tenia los sentimientos de un hijo; pero que él tenia los que eran propios de un Ministro‘. juzgúese ahora qual de estos sentimientos merece mas miramiento.” Mr. Wallace habló cont</t>
  </si>
  <si>
    <t>ámara sobre este asunto importante; pero sin hacer ninguna propuesta, remitiéndose á la promesa que Mr. Dundas habia hecho de pedir el exámen profundo de los negocios de la India. EL bilí sobre el tráfico de negros se ha adoptado sin alteración ni mudanza en la Cámara de los Pares. Las tro</t>
  </si>
  <si>
    <t>Dundas, Teniente General</t>
  </si>
  <si>
    <t>Teniente General Dundas</t>
  </si>
  <si>
    <t>egún dicen, en Tenerife con 23 presas. Va á salir un nuevo cuerpo de 102) hombres á las órdenes del Teniente General Dundas. De résúltas de la llegada de un correo, qué ha tráidó pliegos de Lord Harrowby, se ha celebrado un Consejo de Gabinete, en que se ha tratado de los negocios del Continente. „ Jam</t>
  </si>
  <si>
    <t>salió de Londres el Lord Cathcart para ir á tomar el mando del exército Ingles en el Continente. El Teniente General Dundas, que se embarcará con él,mandará la infantería, y los Mariscales de Campo Mackenzie, Frazer, Arturo Wellesley, Sherbrocke y Hill mandarán las brigadas. Los Regimientos 3.0, 8.°, 9</t>
  </si>
  <si>
    <t>Dupont</t>
  </si>
  <si>
    <t>ecibió la Diputación de la ciudad de Paris, que le fue presentada por ;S. A. S. el Príncipe Mürat. ^Mr. Dupont pronunció un discurro dando gracias en nombre del pueblo de Paris y de sus Magistrados por el presente que les había hecho de las banderas y cañones tomados en Wertingen___ S» M.</t>
  </si>
  <si>
    <t>Dupont, General</t>
  </si>
  <si>
    <t>General Dupont</t>
  </si>
  <si>
    <t>. estaba sentado baxo el dosel Ducal, rodeado de sus Edecanes y del Estado mayor de la división del General Dupont. Concluido el acto de la prestación del juramento se trasladó á la Iglesia conducido baxo de palio por el Clero. Finalizada la misa se restituyó én ía misma forma á palacio. — La</t>
  </si>
  <si>
    <t>2 de cazadores. 5.0 El cuerpo del Mariscal Ney, en la Suabia Superior, comprehende la división del General Dupont, un Regimiento de infantería ligera, 2 de línea y uno de húsares; la división del General Marchand, un Regimiento de infantería ligera y 3 de línea; la división del General Malher</t>
  </si>
  <si>
    <t>se transfirió al mi-uno para ge. He has sus disposiciones', el Príncipe de Ponte-Corvo mandó que el General Dupont acometiese á Halle, dexaudo en reserva hacia la izquierda á la división Drouet; los Regimientos 32 y 9 de infantería ligera pasaron los 3 puentes coa la mayor celeridad, y entraro</t>
  </si>
  <si>
    <t>nstanciada, sen 5© prisioneros, entre ellos 2 Generales y 3 Coroneles, 4 banderas y 34 cafu nes. £1 General Dupont se ha portado con mucho valor. El General de división Rouyer ha tenido un caballo muerto. El General de división Drouet ha hecho prisionero al Regimiento Trescou entero. No hemos,</t>
  </si>
  <si>
    <t>Dupré, General</t>
  </si>
  <si>
    <t>General Dupré</t>
  </si>
  <si>
    <t>de infantería ligera y 3 de línea; la división de caballería ligera, que está baxo las órdenes del General Dupré, un Regimiento.de húsares y otro de cazadores. En los tres Circuios de Suabia, de Baviera y de Franconia están, ademas de los mencionados, el cuerpo del General Nansouty, compuest</t>
  </si>
  <si>
    <t>Duque de Benevento, Príncipe</t>
  </si>
  <si>
    <t>Príncipe Duque de Benevento</t>
  </si>
  <si>
    <t>l,y de una arquitectura délos tiempos mas florecientes de la Grecia. De orden de Mr. de Talleyrand, Príncipe Duque de Benevento, se han suprimido los 19 conventos que habia en aquella ciudad. Mr. Gault, Ayudante del Mariscal Bernadotte, tomó posesión el 7 del corriente del Ducado de Ponte-Corvo. La ceremon</t>
  </si>
  <si>
    <t>Duque de Estrada, Vicente</t>
  </si>
  <si>
    <t>Vicente Duque de Estrada</t>
  </si>
  <si>
    <t>do en nombrar á D. Miguel Alfonso Villagomez, Ministro togado del de Ordenes en la de Carlos 111, á D. Vicente Duque de Estrada, Regente de la Audiencia de Sevilla, á D. Juan Antonio González Carrillo, Regente de la Chancillería de Valladolid, y á los Alcaldes de mi Casa y Corte D. Tomas Moyano y D. Juan A</t>
  </si>
  <si>
    <t>Duque de Wirtemberg, Mariscal</t>
  </si>
  <si>
    <t>Mariscal Duque de Wirtemberg</t>
  </si>
  <si>
    <t>ver todos los cuerpos de Dálmatas, que habían sido enganchados para servir en el exército. El Feld- Mariscal Duque de Wirtemberg ha sido nombrado Comandante general del Austria.__ El Emperador de Rusia ha encargado al Príncipe Dolgoroucky la inspección general de los hospitales Rusos que hay en la Silesia y</t>
  </si>
  <si>
    <t>Duque Xinienez, Manuel</t>
  </si>
  <si>
    <t>Manuel Duque Xinienez</t>
  </si>
  <si>
    <t>neficio servidero de la Parroquial de S. Pedro de ía ciudad de Cuenca, vacante por fallecimiento de D. Manuel Duque Xinienez, á D. Juan Saavedra, Cura de la 'yilla de Priego, en aquella Diócesi; y para el Préstamo de la Parroquial de Santiago de la villa de Medeilin, en el Obispado de Badajoz, vacante p</t>
  </si>
  <si>
    <t>Duran, Gregorio</t>
  </si>
  <si>
    <t>Gregorio Duran</t>
  </si>
  <si>
    <t>ardo Arroyo ; á Alférez al Sargento primero D. Clemente Zapata, yá Portaguiones al Sargento primero D. Gregorio Duran, y al Cadete D. Fabian de Rosas 6 Infantas; y también ha concedido S. M. la Tenencia Coronela dei Batallón de Milicias urbanas de Urubamba á D. Fermín Pierola, Sargento mayor del</t>
  </si>
  <si>
    <t>Duran, Joaquín</t>
  </si>
  <si>
    <t>Joaquín Duran</t>
  </si>
  <si>
    <t>metría; y D. Josef Pineda de todas las partes de la Aritmética.__ Concluidos los exámenes pronunció D. Joaquín Duran, Fiscal de esta Real Maestranza, una oración sobre los principios de las ciencias exáctas en ei origen de las sociedades, sus progresos, estado actualé influencia en la perfección</t>
  </si>
  <si>
    <t>Durand</t>
  </si>
  <si>
    <t>ndo en tres colunas; el Príncipe Luis manda la vanguardia, y el General Pelet irá baxo sus órdenes. Mr. Durand, Enviado de Francia en Dresde, ha pasado al Ministro Electoral una Nota con motivo de la entrada de las tropas Prusianas en Saxonia, y en seguida ha pedido sus pasaportes. Ya esta</t>
  </si>
  <si>
    <t>audiencia de despedida; y el nuevo Embaxador, el General Andreossi, ha presentado sus credenciales. Mr. Durand, Secretario del Príncipe de Benevento, Ministro de Negocios extrangeros de Francia, que ha venido á esta Corte con una comisión, se mantiene todavía aquí. El exército Ruso, que se</t>
  </si>
  <si>
    <t>Durango, Francisco</t>
  </si>
  <si>
    <t>Francisco Durango</t>
  </si>
  <si>
    <t>vavrí y Posadillo* En Valencia..........Sres. D. Francisco Peyroloa y compañía* En Valladolid...... D. Francisco Durango. En Zamora............ D. Josef Ligero. En Zaragoza....... D. Tornas de la Madrid. En Zcuta.............. D. Pedro Huguet, comisionado subalterno del de Cádiz. Se ha señalado el d</t>
  </si>
  <si>
    <t>res. Chavarri y Posadillo. En Valencia Sres. D. Francisco Peyrolon y compañía. En Valladolid. Sres. D. Francisco Durango é hijo mayor. En Zamora.......... . D. Joseí Ligero. En Zaragoza........ D. Tomas de la Madrid. En Zeuta............... D. Pedro Huguet, comisionado subalterno del de Cádiz, En vi</t>
  </si>
  <si>
    <t>havarri y Posadillo. En Valencia..... . Sres. D. Francisco Peyrolon y compañía. En Valladolid...... D. Francisco Durango é hijo mayor. En Zamora.......... D. Josef Ligero. En Zaragoza........ D. Tomas de la Madrid. En Zenta.............. D. Pedro Huguet, comisionado subalterno del de Cádiz. En la ex</t>
  </si>
  <si>
    <t>Durivoíre</t>
  </si>
  <si>
    <t>Mr. Durivoíre, antiguo Capitán del Regimiento de Ró’haft'-Soubise, anuncia que ha inventado un nuevo género de cajrruages ,_por cuya novedad- se le ha dado un privilegio exclusivo. AsegWra que</t>
  </si>
  <si>
    <t>Duroc, General</t>
  </si>
  <si>
    <t>General Duroc</t>
  </si>
  <si>
    <t>ete de S. M. el Rey de Prusiá, después de haber tenido varias audiencias del Emperador Napoleón. El General Duroc lé ha entregado de parte dél Emperador el retrato de S. M. El público se fatiga en conjeturar acerca de la éómision del Conde de Haugwitz, y creemos que sé ha concluido á •satisfa</t>
  </si>
  <si>
    <t>y en Cádiz en vasa de D. Manuel Navarro. Contiene, la nota del MU11V ferio Prusiano, comunicada al General Duroc, sobre la entrada de tropas Franca sas en su territorio; declaración del Elector Arehi. Canciller á la Dieta Germánica? manifiesto de la Corte de Viena en respuesta ai de la de Ba</t>
  </si>
  <si>
    <t>Durosnel, General</t>
  </si>
  <si>
    <t>General Durosnel</t>
  </si>
  <si>
    <t>a 3. Todas estas colunas marchan al Oder, y forman el cuerpo del exército del Príncipe Gerónimo. El General Durosnel marchó á Odesberg con una partida de caballería luego que entramos en Berlín, para interceptar quanto pasase por el canal al Oder. Ha tomado mas de rio barcos cargados de municion</t>
  </si>
  <si>
    <t>Dury, General</t>
  </si>
  <si>
    <t>General Dury</t>
  </si>
  <si>
    <t>te en 2 brigadas á las órdenes del Mayor General Dury y el Coronel Maschek___ Un tren considerable de artillería Bátava á caballo marcha á Deventer. , FRANCIA. Botona 15 de Diciembre. La segunda expedición Inglesa, que salió de las Dunas</t>
  </si>
  <si>
    <t>Dv Manuel Vicente de Torres</t>
  </si>
  <si>
    <t>o el día a o de este roes, de doce á una de su mañana r en la audiencia del Sr. Dv Manuel Vicente de Torres, Teniente Corregidor de esta villa, para el remate de dos casas sitas en ella, una, que es panadería, en la calle de Embaxad'ores, que vuelye á la de Mira el Sol y Santiago el Verde , núm.</t>
  </si>
  <si>
    <t>Dyílon</t>
  </si>
  <si>
    <t>á mi concienciadeclarando solemnemente que no me creo obligado á decir nada mas sobre la qüestion.” Mr. Dyílon replicó; pero el Presidente de la Cámara'le advirtió, que la Cámara no había abierto aun la discusión sobre este asunto;__ En el mismo dia Lord Oussulton pidió se diese un estado</t>
  </si>
  <si>
    <t>D’Essen, General</t>
  </si>
  <si>
    <t>General D’Essen</t>
  </si>
  <si>
    <t>sterlitz, y que se había reunido el dia 5 con el cuerpo del General Bannigzen, baxo las órdenes del General D’Essen: luego vuelve á hablar de la jornada del 2 , y refiere unas particularidades que nadie ha presenciado ni sabido, sin duda con la mira de probar que no ha sido una acción decisiva,</t>
  </si>
  <si>
    <t>D’Hautprult, General</t>
  </si>
  <si>
    <t>General D’Hautprult</t>
  </si>
  <si>
    <t>rpo del General Nansouty, compuesto de 2 Regimientos de carabineros y 4 de coraceros; el cuerpo del General D’Hautprult, 4 Regimientos de coraceros; el cuerpo del General Klein, 6 Regimientos de dragones; el cuerpo del General Watther, 6 Regimientos de dragones; el del General Beaumont, 6 Regimient</t>
  </si>
  <si>
    <t>Eails, Benito</t>
  </si>
  <si>
    <t>Benito Eails</t>
  </si>
  <si>
    <t>ergamino: por docenas en dicha enquadernacion á 32 rs. y en papel á 20. Adiciones á la Geometría de D. Benito Eails, por D. Mariano Josef Vallejo. Se hallará en la casa de la Real Academia de S. Fernando, calle de Alcalá, quarto del Conserge, á 9 rs. en pergamino y 11 en pasta. En la tienda de</t>
  </si>
  <si>
    <t>Echegoyen, Pedro Antonio</t>
  </si>
  <si>
    <t>Pedro Antonio Echegoyen</t>
  </si>
  <si>
    <t>de Huanuco, y de dragones de Chota y Quispicanchi, en el Reyno del Perú, áD. Josef Matías Cabrera, D. Pedro Antonio Echegoyen, D. Alonso Romero y D. Ildefonso Santos; y á igual empleo en el de caballería de disciplinadas de Nasca á D.Tomas de Arias, todos Tenientes Coroneles de los mismos Cuerpos. El dia</t>
  </si>
  <si>
    <t>Edecán del General, Capitán</t>
  </si>
  <si>
    <t>Capitán Edecán del General</t>
  </si>
  <si>
    <t>ya juntado, y solo la carta que ya citada le condenaba. Capitulación del Batallón Saxon. Mr. Shee, Capitán Edecán del General de división Clarke, y el Barón de Hund, Comandante del segundo Batallón dé granaderos Saxones, han Convenido «n los artículos siguientes: i.° El Batallón dexará sus armas mañana á la</t>
  </si>
  <si>
    <t>EdÚárd'o FeiéW</t>
  </si>
  <si>
    <t>entos de nuestra esquadra se ha temido hace tiempo una empresa .contra aquel establecimiento'; pero Sir EdÚárd'o FeiéW la ha diferidóihasta ahora; y.es probable que no intente yosá alguna en tanto qye íá esqúadra del Almirante Linois se halle en aqiielíos mares. Han llegado recientemente varios Ingen</t>
  </si>
  <si>
    <t>Eduardo</t>
  </si>
  <si>
    <t>vaba á sus órdenes el Foudroyant de 80 cañones, el Namur, HéroeRamillies , Fama, Animoso y Amazona. Sir Eduardo nos ha informado ademas de que el convoy escoltado por el Elefante ha llegado felizmente , y también los buques que llevaba en conserva el Sta. Margarita; y finalmente que la flot</t>
  </si>
  <si>
    <t>. de esta línea hasta la Isla de Francia. Después se vió por Un cálculo mas exacto, que Madras* que Sir Eduardo queria señalar por punto de reunión, se hallaba á 11 it illa- al O. de la línea indicada, siendo necesario pasar á la punta de Gales para l'egar á aouel puesto. Sir Tomas, conside</t>
  </si>
  <si>
    <t>Eduardo Berry</t>
  </si>
  <si>
    <t>Lord Corregidor eí aviso siguiente: En el Almirantazgo d 2 y de Julio. „Hoy á medio dia ha llegado Sir Eduardo Berry con pliegos del Vice-Almirante Cochrane, fecha de la bahía de Cariisle en la Barbada á 29 de Junio, que anuncian haber entrado en la Martinica en 4 dias diferentes los navios Fran</t>
  </si>
  <si>
    <t>Eduardo Pelew</t>
  </si>
  <si>
    <t>ndres /j de Setiembre. Un error geográfico ha dado motivo á una discusión entre Sir T. Trowbridge y Sir Eduardo Pelew. El primero había tenido orden de estar en crucero hacia el E., tirando una línea del Sur de la punta de Gales en la Isla de Ceylan; y Sir Eduardo Pelew , en calidad de Oficial su</t>
  </si>
  <si>
    <t>Eduardo Pellew</t>
  </si>
  <si>
    <t>camente cargadas.__ El estado de nuestras fuerzas navales en la India es como sigue: la esquadra de Sir Eduardo Pellew, que protege la costa de Malabar y los dos golfos, se compone de quatro navios de 74, de uno de 50, de seis fragatas de 32 á 40, y de quatro corbetas de 14 á 18 cañones: la esquad</t>
  </si>
  <si>
    <t>Éerthier, Mariscal</t>
  </si>
  <si>
    <t>Mariscal Éerthier</t>
  </si>
  <si>
    <t>los Comisarios respectivos para hacer el cambio. == Firmado, Juan Principe* de Lichtenstein. == Él Mariscal Éerthier. S. A* I. el Príncipe Luis» Condestable del Imperio, y Goritandanté en Gefe del exércitó del Norte, ha pasado por Bruselas la noche del 17 de este mes, de vuelta del Haya á Páris.</t>
  </si>
  <si>
    <t>Eesch, Cardenal</t>
  </si>
  <si>
    <t>Cardenal Eesch</t>
  </si>
  <si>
    <t>políticos , había propuesto y so&amp;icítádo de^S/í. para su coadjutor y sucesor á S. Erna. Monseñor el Cardenal Eesch. . ,, Como este ’ Señor reúne a las qualidades mas eminentes la circunsfancia de un. enlace, del quai debemos esperar, grandes bienes para este Arzoíbispado y e) Estado: Electoral</t>
  </si>
  <si>
    <t>Eguia, Félix</t>
  </si>
  <si>
    <t>Félix Eguia</t>
  </si>
  <si>
    <t>dad de Pentecostés ó venida del Espíritu Santo y su octava, según el Breviario y Alisal Romano, por D. Félix Eguia, Presbítero. Es muy conveniente la traducción de esta octava por los misterios y obras del amor divino que ccmprehende, pues aquí vemos el establecimiento de la Iglesia en aquel s</t>
  </si>
  <si>
    <t>EH Torquato Antonio Collado</t>
  </si>
  <si>
    <t>siguientes á los 30 de la publicación de este anuncio. Por la audieheia del Sr. EH Torquato Antonio Collado, Teniente Corregidor de esta villa, y escribanía de IX Antonio Fernandez, se ha sacado á pública subasta^ por término de 30 dias, tina casa sita én la plazuela de Antón Martin, núm. 9, manz</t>
  </si>
  <si>
    <t>Eiizaidé, Bernardo</t>
  </si>
  <si>
    <t>Bernardo Eiizaidé</t>
  </si>
  <si>
    <t>gos.......... D. Andrés Fraylfe. En Cádiz............... D. Benito dé la Piedra. En Cartagena*..... D. Bernardo Eiizaidé. En Ciudad-Real.. D. R^rnon Antonio Pico. En Córdoba........... Sres. Barcia padre é hijo. En la Coruña....... D. Manuel Elzaurdi. En Cuenca. *......... Sres. Viuda de Escolar, bo</t>
  </si>
  <si>
    <t>Eizaurdi, Manuel</t>
  </si>
  <si>
    <t>Manuel Eizaurdi</t>
  </si>
  <si>
    <t>-Real.. D. Ramón Antonio Pico. En Córdoba.......... Sres. Barcia padre é hijo. En la Cortina....... D. Manuel Eizaurdi. En Cuenca........... Sres. viuda de Escolar y Noriega é hijo. En Granada........ D. Francisco de Unzaga. En Guadalaxara. D. Isidoro García Plaza. En Jaén............... D. Pedro</t>
  </si>
  <si>
    <t>El Barón de Albini</t>
  </si>
  <si>
    <t>r revista á las tropas en Moravia y en Silesia. ALEMANIA. Ratisbona 28 de Mayo. El Barón de Albini, Ministro Directorial de S. A. S. el Elector Archicanciüer dellmperío Germánico, ha presentado á la Dieta la Nota del tenor siguiente: ,,El recenso de la Diputación ajustado en 1803 , tras</t>
  </si>
  <si>
    <t>El Barón de Dalberg</t>
  </si>
  <si>
    <t>2lS de Dinamarca, al Barón de Reedtz-Thott, á Mr. de Bielk y á Mr. Bentzen. El Barón de Dalberg, Ministro plenipotenciario del Elector de Badén, al Barón de Heynaii y á Mr. Groos. Mr. Bantzen, Ministro plenipotenciario de la República Bátava, al Almirante Verhuel, Ministro de la Marin</t>
  </si>
  <si>
    <t>El Barón de Eyben</t>
  </si>
  <si>
    <t>viejo á lá entrada del puerto Prusiano de Swinemunda, á fin de dexarla cegada. El Barón de Eyben, Ministro Plenipotenciario del Rey de Dinamarca en el Círculo de Saxonia la Inferior, ha comunicado de oficio i nuestro Senado el matrimonio del Príncipe Cristiano Federico de Dinamarca con</t>
  </si>
  <si>
    <t>El Barón de Jacobi</t>
  </si>
  <si>
    <t>que salía de la isla de Sto. Tomas, vio las esqyadras á la vista una de otra.” El Barón de Jacobi, Ministro de Prusia&gt; ha recibido sus pasaportes, y saldrá un dia de estos para Berlín.. De resultas de un Consejo que hubo ayer se. publicó una proclama prologando el Parlamento hasta 9 de</t>
  </si>
  <si>
    <t>o no pudo executarío como deseaba por impedírselo la etiqueta de la Corte. .! . El Barón de Jacobi , Ministro que fué del Rey de Prusia perca de esta Corte, se halla ya de vuelta en este país, y ha tenido una conferencia con Lord Hówick. : n, ' . Se ha prorogado el' Parlamento hasta el a7</t>
  </si>
  <si>
    <t>El Barón de Ompteda</t>
  </si>
  <si>
    <t>39° de____El Barón de Ompteda, Ministro Hannoveriano cerca de nuestra Corte, ha salido también para Dresde, en donde aguardará las órdenes ulteriores. del Rey de Inglaterra. El Emperador Alexandro ha mandado á su Minist</t>
  </si>
  <si>
    <t>nían en Corfú, es muy corto número para causar sobresalto á la Corte de Berlín. El Barón de Ompteda, Ministro Electoral de Brunswick-Luneburgo cerca de la Corte de Sgxopig, ha tenido una audiencia del Elector, en la qual ha presentado á S. A. S. sus credenciales. El ii del corriente llega</t>
  </si>
  <si>
    <t>El Conde de Arco</t>
  </si>
  <si>
    <t>epartido á los pobres 4© florines, y 1200 á los barrios de Pfuhl y Gffenhausen. El Conde de Arco, Ministro Plenipotenciario de la Orden de Malta cerca de la Corte de Munich, al pasar por Ulma, quando iba á Stuttgardt, envío á los Magistrados 300 florines para que se distribuyesen á los</t>
  </si>
  <si>
    <t>El Conde de Haugwitz</t>
  </si>
  <si>
    <t>es de que este verano se trasladarán SS. MM. á pasar una temporada en Hannóver. El Conde de Haugwitz, Ministro de Estado, ha hecho sabor al Comercio lo siguiente : ,,Las noticias últimas de Inglaterra son de que el Gobierno Ingles ha mandado embargar todas las embarcaciones Prusianas que s</t>
  </si>
  <si>
    <t>El Conde de Lowenhielm</t>
  </si>
  <si>
    <t>ina. La,Legación Sueca tiene orden de su Corte de retirarse de esta residencia. El Conde de Lowenhielm, Ministro del Rey de Suecia, faltaba del Haya hace muchos meses. Ha -enviado orden de yender los efectos que tema aquí. . . Se sabe por las noticias de Londres, de 29 de Marzo, que el Lord</t>
  </si>
  <si>
    <t>El Conde de Meerfeidt</t>
  </si>
  <si>
    <t>e Wirtemberg á fin de elevarlo al trono de Polonia. Maneé alta mente repos tumi El Conde de Meerfeidt, Ministro Austríaco, sufre unos desayres todavía mayores. Muchas personas de distinción no le han pagado la visita, que á algunas se la ha hecho dos veces. El Conde Orloíf ha mandado á su p</t>
  </si>
  <si>
    <t>El Conde de Munster</t>
  </si>
  <si>
    <t>ualquier modo que se mire su proclama en Berlín» no queda expuesto su exército. El Conde de Munster, Ministro dé Estado de Hannóver, está disponiéndose para regresar á Londres.__ Ei numero de trepas Prusianas destinadas á la ocupación del Hannóver, será de unos 25 esquadrones de caballerí</t>
  </si>
  <si>
    <t>El Coronel Crawfurd</t>
  </si>
  <si>
    <t>poderoso, para que ninguno pueda tener esperanzas fundadas de mayoría de votos. El Coronel Crawfurd, Secretario de Mr. Wíndham, está destinado al mando de una expedición particular. Es conocido este Oficial por haber servido en los exércitos Austríacos como Comisario del Rey de Inglaterra.</t>
  </si>
  <si>
    <t>El General Armstrong</t>
  </si>
  <si>
    <t>e Campó D. Benito Pardo, Ministro de S. M. C. en Berlin, y al Caballero Lcrrea; El General Armstrong, Ministro plenipotenciario de los Estados-Unidos dé América, á Mr. Bawduin, Ministró plenipotenciario de los Estados-Unidos cerca de S. M. el Rey de España. Mr. de Maillardoz, Enviado extra</t>
  </si>
  <si>
    <t>El General de KnobelsdorfF</t>
  </si>
  <si>
    <t>ncias extrangeras cerca del Emperador, han marchado ó deben marchar á Maguncia. El General de KnobelsdorfF, Ministro Plenipotenciario de S. M. Prusiana, ha salido de París. Se cree que vaya á Maguncia. Se asegura que la Confederación del Rhin tendrá un Secretario da E»</t>
  </si>
  <si>
    <t>El General Macón</t>
  </si>
  <si>
    <t>s Oficiales Franceses les han hecho varios regalos. Bamberga i.° de "Noviembre. El General Macón, Teniente Gobernador de las Tullerías, Comandante de la Legión de Honor, Gran Cruz de la Orden del León, y Comandante de Leipsick, ha fallecido allí el 27 del pasado. Francfort j de Noviemb</t>
  </si>
  <si>
    <t>El Gottdé de Póeci</t>
  </si>
  <si>
    <t>antes , "f hay bástante concurrencia de discípulos. Augsburgo jp de Diciembre. El Gottdé de Póeci, Coronel agregado al Estado mayor Bávaro, y Edecán del Emperador d¿ los Franceses, ha publicado una relación muy circunstanciada de la batalla de Aüsteriitz, durante la qual no se ha apart</t>
  </si>
  <si>
    <t>El Lord Arbmhnot</t>
  </si>
  <si>
    <t>para Cónsul general en el Levante, á Mr. Morier, Agente de la Compañía Inglesa. El Lord Arbmhnot, Ministro, de Inglaterra, ha declarado al Reis-Effendi que. si no se efectúa la renovación de los tratados entre su Corte y la. Puerta Otomana, se verá el Gabinete Ingles en la desagradable</t>
  </si>
  <si>
    <t>El Marques de Lucchesini</t>
  </si>
  <si>
    <t>dé la quarta parte de las sumas ó efectos cuyo descubrimiento hayan facilitado. El Marques de Lucchesini, Ministro plenipotenciario de Prusia, ha marchado'á Berlín. Se cree que dentro de tres semanas volverá á París. Los papeles Americanos ae 8 de Enero anuncian que los Holandeses se han apode</t>
  </si>
  <si>
    <t>El Príncipe Carlos de Baviera</t>
  </si>
  <si>
    <t>París 20 de Febrero. El Príncipe Carlos de Baviera, hijo segundo de S. M., ha sido nombrado Coadjutor del Gran Maestre de la Orden de Malta. El Gran Canciller y el Tesorero mayor de la Legión de Honor gozarán en todas las circunstancias</t>
  </si>
  <si>
    <t>El Príncipe de Benevento</t>
  </si>
  <si>
    <t>eral el alborozo, y completo el sosiego. Por la noche hubo iluminación general. El Príncipe de Benevento, Ministro de Relaciones exteriores, marchó de Maguncia ei 27 del pasado: se dice que va á Dresde. La semana pasada se botó al agua en Burdeos la fragata Penélope} de 44 cañones. Hacia mucho</t>
  </si>
  <si>
    <t>s movimientos para desertar pasando el Vístula. PRUSIA. Berlín 12 de Noviembre. El Príncipe de Benevento, Ministro-de Negocios extrangeros, que había quedado en Maguncia, ha llegado el 31 de Octubre por la noche á esta capital, y se ha alojado en la casa de la Legación Francesa, cerca def pala</t>
  </si>
  <si>
    <t>El Príncipe Lapoukhin</t>
  </si>
  <si>
    <t>ra de comer á la mesa de S. M. el Emperador, y á la del Gran Duque Constantino. El Príncipe Lapoukhin, Ministro de la Justicia, ha recibido la gracia de la Orden de S. Vaidomiro, de primera clase; y S. E. el Conde VaislieíF, Ministro de Hacienda, ademas de dicha gracia, ha recibido un regal</t>
  </si>
  <si>
    <t>El Vice-Almirante Verhuel</t>
  </si>
  <si>
    <t>en Ni mega para guarnecer aquella plaza.__ A Groninga se ha enviado caballería. El Vice-Almirante Verhuel, Ministro de la Marina Real, ha visitado los navios que hay en las radas de Helvoet-Sluis y de Fiesinga. Mr. Dedem de Geider, Ministro Holandés cerca de la Corte de Berlín , ha llegado al H</t>
  </si>
  <si>
    <t>Electoral de Badén, Príncipe</t>
  </si>
  <si>
    <t>Príncipe Electoral de Badén</t>
  </si>
  <si>
    <t>extrangeros de distinción que se hallaban aquí de unos días á esta parte principian á marchar.. El Príncipe Electoral de Badén y el MargraLuis, que han permanecido en esta ciudad hasta que marchó el Emperador , haíi vuelto á Carlsruhe. Parts g de Febrero. El Marques de Gallo, Erabaxador de la Corte de Ñapóles</t>
  </si>
  <si>
    <t>uego aprobada en la votación. Se asegura que el matrimonio de S. A. I. la Princesa Estefanía con el Príncipe Electoral de Badén se celebrará el dia 8 de Abril. El 2$ de Febrero murió en Praga el militar mas antiguo de la Monarquía Austríaca. Este hombre, llamado Josef Fraenzel, Cabo de Zapadores, nació en</t>
  </si>
  <si>
    <t>ías de firmar el contrato matrimonial de S. A. I. la Princesa Estefanía Napoleón , y de S. A. S. el Príncipe Electoral de Badén. Los Ministros, los Oficiales superiores del Imperio, los Senadores, los^Consejeros de Estado, una diputación numerosa del Cuerpo Legislativo, los miembros del Tribunado, y mas de</t>
  </si>
  <si>
    <t>tas de Trieste anuncian en fin la entrega de las bocas del Cáttaropor los Rusos. Taris de Julio. El Príncipe Electoral de Badén y su esposa partieron el i.° del corriente de St. Cloud para Carlsruhe. Mr. Brisson, miembro deí Instituto, autor de un curso de física y de otras muchas obras, ha fallecido hace po</t>
  </si>
  <si>
    <t>Electoral de Hesse Cassel, Princesa</t>
  </si>
  <si>
    <t>Princesa Electoral de Hesse Cassel</t>
  </si>
  <si>
    <t>quienes haa tratado siempre á los Franceses con la mayor cordialidad. La hermana del Rey de Prusia, Princesa Electoral de Hesse Cassel, se halla de parto en el mhmo palacio de Berlin en que está alojado el Emperador, con cuyo motivo ha mandado S. M. I. á su Mayordomo mayor que dé las órdenes correspondientes para</t>
  </si>
  <si>
    <t>Electoral de Hesse, Príncipe</t>
  </si>
  <si>
    <t>Príncipe Electoral de Hesse</t>
  </si>
  <si>
    <t>iéster. Ultimamente ha transitado por allí un correo Ruso con dirección al campo de los Servios. El Príncipe Electoral de Hesse,ha salido de Hanau con toda su Corte. Lá celeridad coh que se han empaquetado todos sus efectos, y el esmero en llevarse las alhajas mas preciosas, dan motivo á sospechar que la C</t>
  </si>
  <si>
    <t>Electoral, Príncipe</t>
  </si>
  <si>
    <t>Príncipe Electoral</t>
  </si>
  <si>
    <t>rman y al General Marmont. El Emperador ha dado el gran cordon de la Legión de Honor al Elector, al Príncipe Electoral y al Príncipe Pablo, sus hijos; y á sus hermanos el Príncipe Eugenio Federico Henrique, y Guillermo Federico Felipe: S. M. conoció á estos dos últimos Príncipes al pasar por Luisbur</t>
  </si>
  <si>
    <t>ElejaldeyD, Antonio</t>
  </si>
  <si>
    <t>Antonio ElejaldeyD</t>
  </si>
  <si>
    <t>Milicias disciplinadas de infantería de Tea á Capitanes á los Tenientes Don Antonio ElejaldeyD. Francisco Zalduajy á Subteniente de bandera al Cadete D. Manuel Barcenas. En el Regimiento de Milicias urbanas de caballería de Castro, en el Reyno del Perú, se ha servido el Rey</t>
  </si>
  <si>
    <t>Eleuterio Cebollino</t>
  </si>
  <si>
    <t>Teniente Coronel al Sargento mayor de brigada D. Fiancisco Lemaur: á este empleo al Capitán primero D. Eleuterio Cebollino; y al que este dexa al Capitán segundo D. Fernando Laserna* En América. En el cuerpo Provincial de caballería de Lanceros de Veracruz se ha servido S. M. promover á Ayudante al Te</t>
  </si>
  <si>
    <t>Elgueta, Antonio</t>
  </si>
  <si>
    <t>Antonio Elgueta</t>
  </si>
  <si>
    <t>ó K ? r j■; S. M., se ha dignado nombrar Sargenta mayor del Departamento de Artillería de Segovia á D. Antonio Elgueta » Capitán primero de Artilleros á caballo del segundo Regimiento def propio Real Cuerpo. En América. El Rey se ha servido nombrar para el Obispado de la Concepción de .Chile, vaca</t>
  </si>
  <si>
    <t>Elizalde, Bernardo</t>
  </si>
  <si>
    <t>Bernardo Elizalde</t>
  </si>
  <si>
    <t>Ó2) En Cádiz............... D. Benito de la Piedra. En Cartagena...... D. Bernardo Elizalde. En Ciudad-Real.. D. Ramón Antonio Pico. En Córdoba........... Sres. Barcia padre é hijo. En la Coruña...... . D. Manuel Elzaurdi. En Cuenca............ . Sres. viuda de Escolar,</t>
  </si>
  <si>
    <t>os............ D. Andrés Frayle. En Cádiz............... D. Benito de la Piedra. En Cartagena...... D. Bernardo Elizalde. En Ciudad-Real.. D. Ramón Antonio Pico. En Córdoba.......... Sres. Barcia padre é hijo. En la Cortina....... D. Manuel Eizaurdi. En Cuenca........... Sres. viuda de Escolar y Nor</t>
  </si>
  <si>
    <t>Ellenborough, Lord</t>
  </si>
  <si>
    <t>Lord Ellenborough</t>
  </si>
  <si>
    <t>Artillería : el Conde de Fitz-WiHiam, Presidente del Consejo: Lord Sidmodth, Guardasellos privado: Lord Ellenborough, voto sin ocupación. Aun no se han determinado definitivamente los sugetos que ocuparán las demas plazas; sin embargo creemos poder anunciar los nombramientos siguientes : El Duqu</t>
  </si>
  <si>
    <t>Elliot</t>
  </si>
  <si>
    <t>á bordo de los tales buques, y todas las demas noticias relativas á semejantes actos de violencia.” Mr. Elliot opinó que esta resolución se aprobaría unánimemente, y que la Cámara no se contentaría con una relación lisa y llana de las injurias y ultrajes que se nos han hecho ; sino que se</t>
  </si>
  <si>
    <t>Elzaurdi, Manuel</t>
  </si>
  <si>
    <t>Manuel Elzaurdi</t>
  </si>
  <si>
    <t>Real.. D. R^rnon Antonio Pico. En Córdoba........... Sres. Barcia padre é hijo. En la Coruña....... D. Manuel Elzaurdi. En Cuenca. *......... Sres. Viuda de Escolar, bodega é hijo. En (arañada........ D. Francisco Uftzaga. En G-uadalaxnra. JD. Isidoro García Plaza. En Jaén.......**..... D. Pedro y</t>
  </si>
  <si>
    <t>Real.. D. Ramón Antonio Pico. En Córdoba........... Sres. Barcia padre é hijo. En la Coruña...... . D. Manuel Elzaurdi. En Cuenca............ . Sres. viuda de Escolar, Noríega é hijo. En Granada... D. Francisco Unzaga. En Guadalaxara. D. Isidoro García Plaza. En Jaén................. D. Pedro y D.</t>
  </si>
  <si>
    <t>Embajador Turco</t>
  </si>
  <si>
    <t>Noviembre. Desde el dia 4 han pasado por aquí varios correos despachados por el Embajador Turco en Berlín á Constantinopla, con las noticias sucesivas de la destrucción total de los exércitos Prusianos, y de la marcha de los Franceses á Polonia y á las fron</t>
  </si>
  <si>
    <t>Embaxador Austríaco</t>
  </si>
  <si>
    <t>, Aufenberg ,.Aue$berg y otros. Ahora se dice que el Conde de Bellegarde irá de Embaxador Austríaco ¿París. ' ' •/ • ■ . * ‘ 1 1 Francfort iF de Enero, : 1 En todas las cartas dé la Moravia, de la Silesia y de la Polonia se ase-* gura qtié los Rúsó's continúa</t>
  </si>
  <si>
    <t>l Gabinete de Viena; pero se han desvanecido con la declaración que ha hecho el Embaxador Austríaco en Suiza, de que el Emperador su amo se mantendrá neutral en la presente guerra. FRANCIA. París 21 de Noviembre. DIARIO TRIGESIMOPRIMO DEL EXERCITO GRANDE. Berlí</t>
  </si>
  <si>
    <t>Embaxador Británico</t>
  </si>
  <si>
    <t>iete dias después, á saber el 22 de Diciembre, él Gabinete de Berlin propuso al Embaxador Británico las disposiciones que convenia tomar en común con los Generales Prusianos para elegir las posiciones de los exércitos aliados en la Saxonia Baxa; y en conseqíienci</t>
  </si>
  <si>
    <t>Embaxador Conde de Gollowkin</t>
  </si>
  <si>
    <t>en territorio ae la China la Embaxada Rusa, que se compone de 124 personas. El Embaxador Conde de Gollowkin envió hace mes y medio al Secretario de EmbaxadaBaikow á Urga, y así el Wann (cuñado del Emperador) como el Ambapn le diéron las seguridades mas amistosas que, p</t>
  </si>
  <si>
    <t>Embaxador Conde Gcllowkin</t>
  </si>
  <si>
    <t>ntes de las fronteras, hicieron , contra la costumbre, algunas proposiciones al Embaxador Conde Gcllowkin, que no pueden concillarse con el éxercicid de su empleo, y á las quales no quiso acceder. Este incidente.ha causado gran sorpresa, porque los Chinos liabian m</t>
  </si>
  <si>
    <t>Embaxador Francés</t>
  </si>
  <si>
    <t>ía de Argueta, calle de la Montera, ha llegado la música siguiente: entrada del Embaxador Francés en la gran Constantinopla, 8 rs.: una bolera á duo,‘ dedicada al Sr. Moreti por el Sr. I. P. Lúgubres: variaciones á la tumba de Nelson,’ todo para piano; y 4 va</t>
  </si>
  <si>
    <t>Embaxador Francés Vial</t>
  </si>
  <si>
    <t>este motivo * vista la diferencia de opiniones. SUIZA. JSasilea ir de Júnfa. El Embaxador Francés Vial ha llegado aquí el domingo por la noche sin que nadie tuviese la menor noticia anticipada; de modo que nofué recibido con íos honores debidos á su carácter. La</t>
  </si>
  <si>
    <t>Embaxador Ingles</t>
  </si>
  <si>
    <t>son, Ministro ordinario de Inglaterra en aquella Corte, y el Lord LevisonGower, Embaxador Ingles en Petersburgo; y todos 4 juntos no han sido poderosos á recabar del Gabinete Prusiano que contrayga una alianza ccn la Inglaterra. En la Gazeta de Viena de 28 d</t>
  </si>
  <si>
    <t>Embaxador Ruso</t>
  </si>
  <si>
    <t>a tratar sobre el asunto de prisioneros, llevó las órdenes á Mr. de Razumowsky, Embaxador Ruso en Viena, el qual las expidió inmediatamente para que saliesen de aquella provincia las tropas de su nación----- En conseqiiencia de esta noticia agradable, los</t>
  </si>
  <si>
    <t>de los bienes de la Orden Teutónica y del Espado de; Saltzburgo; respuesta,del Embaxador Ruso an Viena sobre la ocupación de las bocas del Cáttaro; toma de. posesión del Hannóv.er; rarenga del Rey de Suecia á su exército; nueva organización de los Estad</t>
  </si>
  <si>
    <t>es con S. M. Ayer llegaron aquí de Petersburgo un correo extraordinario para el Embaxador Ruso en esta capital , y el Caballero de la Orden de Malta Mr. Groshbwsky, que va con la mayor4 diligencia á Parisí.Creí.nio^ que vendría aquí el Príncipe de Hohenloh</t>
  </si>
  <si>
    <t>Embaxador Suizo</t>
  </si>
  <si>
    <t>y que;S^M. había hecho en aquella ocasión muchas preguntas á Mr. de Maillardoz, Embaxador Suizo* sobre los asuntos del pais. Mr. de Maillardoz habló entonces sobre, la suerte actual de los Oficiales que sirviéron en otro tiempo en Francia y en el Piamonte</t>
  </si>
  <si>
    <t>Embaxador Turco</t>
  </si>
  <si>
    <t>olvió á la sala del trono paj¿a declarar al Príncipe Luis Rey de -Holanda; y el Embaxador Turco pasó á presentarse á la Emperatriz, que le recibió en pie, rodeada de las Princesas, de las Damas y de los empleados de su quarto. Concluido el cumplido se ret</t>
  </si>
  <si>
    <t>Engelbrech</t>
  </si>
  <si>
    <t>en aquel país por los Suecos son enteramente contrarias á aquel convenio. Dicen que ha ido á Berlín Mr. Engelbrech para dar sobre la materia las necesarias explicaciones. Mientras tanto están quitando las águilas y todos los escudos ae armas de Prusia, y en su lugar se ponen otra vez las de In</t>
  </si>
  <si>
    <t>Eolkstóne</t>
  </si>
  <si>
    <t>, para lo venidero ; pues aquella causa fue un borron para JaiOámara * los Palies y toda la Nación. Mr. Eolkstóne apoyó la .propuesta, diciendo que lia .duración de la causa de Mr. Hastings no debía atribuirse al lugar donde se vio,,sino á su misma-naturaleza.. ; ■ Lord Petty, Canciller, del</t>
  </si>
  <si>
    <t>Eournier</t>
  </si>
  <si>
    <t>habia juntado en la Academia de Cienciasy manifestó varias aplicaciones del método en la persona de Mr. Eournier su discípulo. Koenisberg 3 de Julio. Con fecha de 2 { del pasado escribió Mr. de Auerswald una carta dirigida al gremio de Comerciantes de esta ciudad, que se ha publicado en la l</t>
  </si>
  <si>
    <t>Eox</t>
  </si>
  <si>
    <t>de Sk Juan de Jerusalen.” GRAN B R E T A Ñ A. ; Londres 14 de Febrero. . El primer uso que ha hecho Mr. Eox de sus poderes como Ministro «fe " ' &lt; *</t>
  </si>
  <si>
    <t>Erasmo Gower</t>
  </si>
  <si>
    <t>áta íde Lisboa, donde aguarda la llegada de la expedioion. &gt; El Almirantazgo ha recibido pliegos de Sir Erasmo Gower, que dicen haber llegado Sir J. Warren á las costas de Terranova, adonde ha pasado en seguimiento de la esquadra Francesa. Es probable que este Almirante se haya dirigido á Améric</t>
  </si>
  <si>
    <t>Erdale, Coronel</t>
  </si>
  <si>
    <t>Coronel Erdale</t>
  </si>
  <si>
    <t>ado de intención, y entró antes de ayer en Luneburgo. No se saben los designios de este Monarca. Al Coronel Erdale , Comandante de la vanguardia Sueca, se le ha admitido su dimisión. Los Guardias de S. M. han-llegado el mismo dia 19 al quartel general, y por cartas de Stockolmo, fecha del 10,</t>
  </si>
  <si>
    <t>Ernesto, Príncipe</t>
  </si>
  <si>
    <t>Príncipe Ernesto</t>
  </si>
  <si>
    <t>A las 6 de la tarde comenzó el bayle por un wals, que bayló S. M. la Reyna con su hermano el Príncipe Ernesto. Continuaron baylando los particulares, y á las io pasáron á pn salón en el qual se sirvió una cena espléndida. Los jardines y demas accesorios estaban iluminados primorosamente,</t>
  </si>
  <si>
    <t>Erskine</t>
  </si>
  <si>
    <t>e no haber hecho todo lo que podia hacer para obligar ai enemigo d un nuevo combate el segundo dia. Mr. Erskine está encargado de la defensa de este Almirante. FRANCIA. .Varis jo de Diciembre. Escriben de Nimega haber cogido allí un emisario Ingles, que se habia introducido en aquella plaza c</t>
  </si>
  <si>
    <t>a del nuevo Ministerio , como se determinó ayer definí ti vaniien te entre el Rey y Lord Grenville. Mr. Erskine, Lord Canciller: Lord Grenville, primer Lord de la Tesorería: Lord Henry Petty, Canciller del Echiquier: Mr. Fox, Ministro de Negocios extrangeros: el Conde de Spencer, Ministro d</t>
  </si>
  <si>
    <t>sterio, y el deseo que tiene de contribuir en quanto pueda al restablecimiento de la paz en Üqropa. Mr. Erskine ha sido introducido en la Cámara de los Pares por los Lores Moyra y Holland. • Se asegura que queriendo Mr. Sheridan ocuparse exclusivamente en los negocios públicos, ha cedido la</t>
  </si>
  <si>
    <t>e inmenso el concurso que asistió á ella, y duró la vista un día enteró. Mr. Garrow habló en vez de Mr. Erskine, é hizo el discurso siguiente, en que expuso los hechos. „Con grande sentimiento mió veo, Señores, que la ausencia de una persona importante, destinada á un elevado empleo, 05 pri</t>
  </si>
  <si>
    <t>rra el pueblo parece que quiere la paz. Mr. Fox y mucha parte de los miembros del Consejo, como son Mr. Erskine, los Lores Petty, Howich y Moira, y Mr. Sheridan tienen las mismas disposiciones. Las negociaciones principiadas desde el mes de Marzo habían ya llegado á su madurez: la paz misma</t>
  </si>
  <si>
    <t>Erskine, Tomás</t>
  </si>
  <si>
    <t>Tomás Erskine</t>
  </si>
  <si>
    <t>S. M. se ha dignado conferir la dignidad de Barón del Reyno-Unido de la Gran Bretaña y de Irlanda á Mr. Tomas Erskine. La publicación de los tratados y documentos que ha presentado nuestro Gobierno ha excitado la indignación de los Embaxadorés y Ministros extrangeros. No pédemós negar que la publ</t>
  </si>
  <si>
    <t>Erskioe</t>
  </si>
  <si>
    <t>roe acerca de los obstáculos suscitados entre los Estados-Unidos Americanos y la Gran Bretaña.—. El Doctor Erskioe, nombrado Ministro Plenipotenciario al Congreso de los Estados-Unidos Americanos, lia salido el jueves pasado para su destino. El mismo dia salió Mr. Graham con una comisión para</t>
  </si>
  <si>
    <t>Escalera, Antonio</t>
  </si>
  <si>
    <t>Antonio Escalera</t>
  </si>
  <si>
    <t>para la Alcaldía mayor de Callosa de Segura á D. Benito Dieguez. Ultimamente ha concedido el Rey á D. Antonio Escalera, Corregidor de la ciudad de Lucena, que continúe por el tiempo de su Reaf voluntad en dicho Corregimiento. "“En’Árhérica. S. ,M. se ha dignado conceder Subtenencia de granadéros e</t>
  </si>
  <si>
    <t>Escalera, Cayetano</t>
  </si>
  <si>
    <t>Cayetano Escalera</t>
  </si>
  <si>
    <t>o; y en el de Sevilla, de la propia clase, la Subtenencia de granaderos al Subteniente de fusileros Don Cayetano Escalera, y la de bandera á D. Ramón Escalera». ,r —1 " — --------------------------------- --——■ ; ’ ■■■■ ..'i?.'. V’—•— ---------------- 1 ■ ...........................■'■■■■;—1'- ■■■ I!</t>
  </si>
  <si>
    <t>Escalera, Ramón</t>
  </si>
  <si>
    <t>Ramón Escalera</t>
  </si>
  <si>
    <t>, la Subtenencia de granaderos al Subteniente de fusileros Don Cayetano Escalera, y la de bandera á D. Ramón Escalera». ,r —1 " — --------------------------------- --——■ ; ’ ■■■■ ..'i?.'. V’—•— ---------------- 1 ■ ...........................■'■■■■;—1'- ■■■ I! I Por providencia de “Di Aguátln Ldz</t>
  </si>
  <si>
    <t>Escalona, Manuel</t>
  </si>
  <si>
    <t>Manuel Escalona</t>
  </si>
  <si>
    <t>férez D. Narciso Blanco; su resulta al Portaestandarte D. Francisco Pelaez, y este empleo ál Cadete D. Manuel Escalona. En el de Milicias disciplinadas de caballería de la misma isla ha promovido también St M. á Capitán al Teniente de Carabineros D. Escolástico Quiñones; á esta resulta al Teniente</t>
  </si>
  <si>
    <t>Escandon y Noriega, Francisco</t>
  </si>
  <si>
    <t>Francisco Escandon y Noriega</t>
  </si>
  <si>
    <t>para el Beneficio simple de Sta. María de Anaya, en la Diócesi de Oviedo, vacante por promoción de D. Francisco Escandon y Noriega á Canónigo de la Catedral de León, á D. Angel Alcalde; y para el Beneficio simple del Orden, vacante en 1¿ Parroquial de la villa de Benafarces, en la Diócesi de Zamora, por falle</t>
  </si>
  <si>
    <t>Escandon y Noriega, Juan Francisco</t>
  </si>
  <si>
    <t>Juan Francisco Escandon y Noriega</t>
  </si>
  <si>
    <t>rar para la Canongía vacante en la Catedral de León, por fallecimiento de D. Juan Manuel Galiano, á D. Juan Francisco Escandon y Noriega, Cura Párroco de Santa María de Mían, en el Obispado de Oviedo: para la Prestamera de Carboneras, en la Diócesi de Cuenca, vacante por renuncia de D. Manuel María de Gamez, y para</t>
  </si>
  <si>
    <t>Escario, Joaquín</t>
  </si>
  <si>
    <t>Joaquín Escario</t>
  </si>
  <si>
    <t>osef Sánchez Boado, graduado de Teniente, Don Francisco Mena, D. Luis Lardizabal, D. Josef Medrano, D. Joaquín Escario y D. Joaquín Vivanco. En la extracción de la Real lotería executada él lunes 19 del corriente salíéron los números 84, 32, 52, 50 y 11; y con ellos han ganado los jugadores 595,190 rs</t>
  </si>
  <si>
    <t>Escolanó, Pedro</t>
  </si>
  <si>
    <t>Pedro Escolanó</t>
  </si>
  <si>
    <t>o Antonio de la Hoyuela para la Dignidad de Chantre de la Catedral de Teruel, vacante por muerte de D. Pedro Escolanó. En el Regimiento de Reales Guardias Españolas se ha servido el Rey promover á Capitán á D. Raymundo Ferrer, Teniente de granaderos del mismo Cuerpo: Compañía en el Regimiento de</t>
  </si>
  <si>
    <t>Escolástico Quiñones</t>
  </si>
  <si>
    <t>adas de caballería de la misma isla ha promovido también St M. á Capitán al Teniente de Carabineros D. Escolástico Quiñones; á esta resulta al Teniente D. Bernardino de la Seda; á Tenientes los Alféreces D. Antonio Esteban, de Carabineros y D. Pedro Mártir * García; á Alférez de Carabineros al Alférez</t>
  </si>
  <si>
    <t>Escribas, Francisco</t>
  </si>
  <si>
    <t>Francisco Escribas</t>
  </si>
  <si>
    <t>ros de granaderos; á Subtenientes de granaderos á los de fusileros D. Francisco Xavier de Lamaddz , D. Francisco Escribas y D. Josef María Chenard; á Subtenientes de fusileros los de bandera D. Antonio Boza, D, Josef Gregorio de Castilla, D. Andrés Perez y D. Josef Cayetano de Sastre, y á Subtenientes de</t>
  </si>
  <si>
    <t>Escrich, Vicente</t>
  </si>
  <si>
    <t>Vicente Escrich</t>
  </si>
  <si>
    <t>de la Colegial de Medinaceli: para la Ración, vacante en la Catedral de Avila por fallecimiento de Don Vicente Escrich, á D. Pablo Antonio Zapata, Colector general del Obispado de Plasencia: para el Beneficio simple de la Parroquia del lugar de Montuenga, Diócesi de Sigiienza, vacante por muerte d</t>
  </si>
  <si>
    <t>Escriche, Ramón</t>
  </si>
  <si>
    <t>Ramón Escriche</t>
  </si>
  <si>
    <t>Capellanía de Reyes nuevos de Toledo, vacante por fallecimiento de D. Josef Miguel de Mendioroz, á D. Ramón Escriche, Racionero de aquella Sta. Iglesia : para la Ración vacante en la Catedral de Palencia, por muerte de D. Feliciano Martínez, á D. Angel Roxo Redondo, Presbítero; y á D. Antonio pe</t>
  </si>
  <si>
    <t>Escriehe, Ramón</t>
  </si>
  <si>
    <t>Ramón Escriehe</t>
  </si>
  <si>
    <t>Dignidad de Capiscol que obtiene: para igual Prebenda en la propia Catedral, vacante por ascenso de D. Ramón Escriehe á una Capellanía de Reyes Nuevos, á D. Matías de Calva, Dignidad de Arcipreste de la Colegial de Medinaceli: para la Ración, vacante en la Catedral de Avila por fallecimiento de D</t>
  </si>
  <si>
    <t>Esmark</t>
  </si>
  <si>
    <t>ica de la Sociedad Real de Giencias se ha leído ^ una Memoria que ha remitido de Kóngsberg su autor Mr. Esmark, Asesor»; del Consejo de Minas, en la qual da cuenta de un mineral nuevo encontrado en iast inmediaciones de Arundal. El autor de la Memoria le ha puesto</t>
  </si>
  <si>
    <t>Español, Capitán</t>
  </si>
  <si>
    <t>Capitán Español</t>
  </si>
  <si>
    <t>_ El viento favorable á nuestro corsario impedia que se pusiese á la vela el enemigo; y sabiendo el Capitán Español aprovecharse de sus fuerzas y ventajosa situación, batió sucesivamente á dos de las fragatas y vet bergantín; y luego que las hubo rendido y marinado, emprendió dar caza á la terc</t>
  </si>
  <si>
    <t>Español, Francisco Xavier</t>
  </si>
  <si>
    <t>Francisco Xavier Español</t>
  </si>
  <si>
    <t>buelos maternos por el valor de i/9 rs. Quien supiere de éi, lo avisará en Cádiz á su tío y curador D. Francisco Xavier Español, empleado de aquella Real Aduana. Se desea saber el'paradero de Melchor Gómez &gt;: marido, de Catalina Perez, na* tura! de Sigüenza, soldado del Regimiento de infantería: -del Rey;-</t>
  </si>
  <si>
    <t>Esparbiel, Ignacio</t>
  </si>
  <si>
    <t>Ignacio Esparbiel</t>
  </si>
  <si>
    <t>z de Maye, S. M. se ha servido nombrar para tres Raciones de la Iglesia Metropolitana de Zaragoza á D. Ignacio Esparbiel, D. Joaquín Capdevila y Don Francisco Manuel Delgado; y para un Beneficio de residencia ,baxo la invocación de S. Miguel» unido á otro de la misma invocación de la Catedral de Sol</t>
  </si>
  <si>
    <t>Espinosa y Barraguer, Antonio</t>
  </si>
  <si>
    <t>Antonio Espinosa y Barraguer</t>
  </si>
  <si>
    <t>ido promover á Alféreces de Fragata de su Real Armada á los Caballeros Guardias Marinas siguientes. Don Antonio Espinosa y Barraguer, D. Joaquín Vial y Vacaro, Don '"Josef Pilón y Tobalina, D. Mariano García de Cáceres, D. Justo Pasalagua y Martínez, D. Antonio Godoy y Castro, D. Pedro López de Carrizosa , D. A</t>
  </si>
  <si>
    <t>Espinosa, Pedro</t>
  </si>
  <si>
    <t>Pedro Espinosa</t>
  </si>
  <si>
    <t>una Canongía de la Metropolitana de Tarragona, vacante por fallecimiento de D. Francisco Botines, á Don Pedro Espinosa, Canónigo de la Catedral de Huesca: para otra de dicha Metropolitana, vacante por muerte de D. Juan Morell, á D. Francisco Tru^ yolls, Beneficiado de la Catedral de Mallorca: para</t>
  </si>
  <si>
    <t>Espronce, Juan</t>
  </si>
  <si>
    <t>Juan Espronce</t>
  </si>
  <si>
    <t>llería de Algarbe sé ha servido S. M. conferir el empleo de Sargento mayor al Capitán del de Borbon D. Juan Espronce— da: Compañías á los Ayudantes, graduados de Capitán, D. Diego Aguirre y D. Manuel Samaniego: Ayudantías á los Tenientes D. Josef de Cárdenas y D. Lu is Rey: Tenencias á los Alfér</t>
  </si>
  <si>
    <t>Essen, Teniente General</t>
  </si>
  <si>
    <t>Teniente General Essen</t>
  </si>
  <si>
    <t>tillería, á los fusiles y á las bayonetas de los Rusos. Fuéron heridos los Generales siguientes: el Teniente General Essen, que luego murió de resultas de las heridas; los Mayores-Generales Sacken,Depreradowich, Gishizky, Repnin, Berg y los dos Muller, estos tres últimos quedáron prisioneros, y tambié</t>
  </si>
  <si>
    <t>Estado, Alexo</t>
  </si>
  <si>
    <t>Alexo Estado</t>
  </si>
  <si>
    <t>o, el Rey promover á Capitán ai Teniente D. Antonio Dalon; á Teniente de granaderos al de fusileros D. Alexo Estado , y á Subtenientes de bandera á los Cadetes D. Manuel Gallo y D. Antonio Buendia; y en el Regimiento de Milicias urbanas de dragones de Huambbs á Teniente Coronel* Comandante y Sa</t>
  </si>
  <si>
    <t>Estado, Joaquín</t>
  </si>
  <si>
    <t>Joaquín Estado</t>
  </si>
  <si>
    <t>ntía al Teniente, graduado de Capitán, D. Francisco de Armijo: Tenencia en el de Almansa al Alférez D. Joaquín Estado; y en el de húsares Españoles empleo de Alférez al Sargento primero del de cazadores: voluntarios de España D. Antonio Lanzuela. Ei Rey se ha servido nombrar á D. Josef Ruiz Manza</t>
  </si>
  <si>
    <t>Estala, Pedro</t>
  </si>
  <si>
    <t>Pedro Estala</t>
  </si>
  <si>
    <t>BuíFon, clasificado según el sistema de Linneo por Renato Ricardo Castel, traducido é ilustrado por D. Pedro Estala, Pres-» bítero: tomo xvm y iv de las aves,que contiene la historia de los trepadores, de la abubilla, del glaucope, del picabuey, de la sita, de la oropéndola y de los trupiales,</t>
  </si>
  <si>
    <t>Curato rural de Valtodano, jurisdicción del lugar de Langa, en la de Avila, vacante por ascenso de D, Pedro Estala á Canongía ae la Catedral de Toledo, á Don Dámaso Carbaxo y Bueno. En; el Regimiento de infantería de Saboya se ha servido el Rey promover á Subteniente de bandera al Sargento pri</t>
  </si>
  <si>
    <t>Estanislao</t>
  </si>
  <si>
    <t>Pablo\Sehwiter.,,Capítan del- j^isapycqejrpo: Capitanes primeros en el de Preux á los de granaderos D. Estanislao ae Werra y D. Guillermo Lavallaz: para estas resultas! los Capitanes séy gundos D. Henrique de Preux y D. Alexo efe W^m**-Teniente en el dd Traxler al Subteniente de granaderos D.</t>
  </si>
  <si>
    <t>Estanislao Curand</t>
  </si>
  <si>
    <t>Española la Dolores , del porte de 24 piezas de artillería con 260 hombres de equipage, al mando de D. Estanislao Curand , Capitán mercante-----Este bttque se hizo á la vela de Montevideo el 23 de Junio, y se dirigió á hacer el corso sobre la costa de Guinea, donde el i.°de Setiembreatacó á la boca</t>
  </si>
  <si>
    <t>Estanislao Rodríguez</t>
  </si>
  <si>
    <t>án al Teniente D. Francisco Ruiz; á Teniente al Alférez D. Pedro Bausá^á Alférez al Portaestandarte D. Estanislao Rodríguez, y á Portaestandarte al Cadete D. Adrián Medina. Observación del eclipse de Sol el dia 16 de Junio de i8o(f en algunos pueblqs de España, y conclusión de la longitud de ellos por</t>
  </si>
  <si>
    <t>Este, Rafael</t>
  </si>
  <si>
    <t>Rafael Este</t>
  </si>
  <si>
    <t>dicha galería, dibuxado por el Profesor de Pintura D. Josef Martínez, se está también grabando por D. Rafael Este ve, Grabador de Cámara de S. M., y bien conocido por su mérito en esta Corte. _ A fin de conciliar en este proyecto la rapidez de la publicación, con la bondad de la obra y la con</t>
  </si>
  <si>
    <t>Estéban Antonio Martín</t>
  </si>
  <si>
    <t>Parroquial de Santiago de la villa de Medeilin, en el Obispado de Badajoz, vacante por dexacion de Don Estéban Antonio Martin, á D. Laureano Juan Antonio Martin. Con atención á la antigua nobleza y lustre de la familia de D. Juan Antonio de Fivaller, Bru y de Rubí, Marques de Villel» Conde de Darnius, Ge</t>
  </si>
  <si>
    <t>Estebe, Joaquín</t>
  </si>
  <si>
    <t>Joaquín Estebe</t>
  </si>
  <si>
    <t>lá portería de Padres Agonizantes, calle de Fuehcarral. Diccionario-Catalan-Castellánó-Latino; por D. Joaquín Estebe, D. Josef Belvitges y D. Antonio Jiíglá: tomo 2.° y último. Se hallará con el i.° en la libreríá de Qúiroga,, calle de )ás Carretas; y en Barcelona en la de la viuda de Pía.__ La</t>
  </si>
  <si>
    <t>Estefanía de Tejada, Pedro</t>
  </si>
  <si>
    <t>Pedro Estefanía de Tejada</t>
  </si>
  <si>
    <t>rreta, en Córdoba, 42.0 rs.: á Doña María Ureña, en Jaén, 400*. á la casa Lañerera, en Jaén, 500: á D. Pedro Estefanía de Tejada, en Sevilla, 860; y á D. Josef López, en Granada, 320. Las personas interesadas acudirán en Madrid á D. Rafael Antonino Diez y Tovar, Agente de negocios, que vive en la calle de C</t>
  </si>
  <si>
    <t>Estefanía Napoleón, Princesa</t>
  </si>
  <si>
    <t>Princesa Estefanía Napoleón</t>
  </si>
  <si>
    <t>e hizo la ceremonia en el palacio de las Tullerías de firmar el contrato matrimonial de S. A. I. la Princesa Estefanía Napoleón , y de S. A. S. el Príncipe Electoral de Badén. Los Ministros, los Oficiales superiores del Imperio, los Senadores, los^Consejeros de Estado, una diputación numerosa del Cuerpo Le</t>
  </si>
  <si>
    <t>e del Emperador Napoleón al Senado dando parte del casamiento del Príncipe heredero de Badén con la Princesa Estefanía Napoleón ; discurso y proyecto de ley presentado al Cuerpo Legislativo para crea? una junta de Prohombres en León á beneficio de las fábricas de seda &amp;c« El Sr. D. Torquato Antonio Collado</t>
  </si>
  <si>
    <t>A. ’ Strasburgo 5 de Julio. Antes de ayer llegaron aquí SS. AA. el Príncipe de Badén y su esposa la Princesa Estefanía Napoleón. Se alojaron en el palacio Imperial, y ayer mañana partieron para Carlsruhe. El Consejero de Estado Ruso Mr. d’Oubril salió de esta ciudad el 3 del corriente encaminándose á París</t>
  </si>
  <si>
    <t>miento del Principe Electoral con la Princesa Estefanía Napoleón; pero S. M. le ha devuelto la carta de aviso, haciéndole presente que no podía llevar á bien semejante enlace miéntras que no se muden sus relaciones con cierta Potencia. Escriben</t>
  </si>
  <si>
    <t>Estefanía, Princesa</t>
  </si>
  <si>
    <t>Princesa Estefanía</t>
  </si>
  <si>
    <t>4 se leyó en el Senado un mensage del Emperador, dando cuenta de tener tratado el casamiento de la Princesa Estefanía, sobrina de ia Emperatriz, con el Príncipe Carlos, heredero del Elector de Badén. CUERPO LEGISLATIVO. El dia 4 se trato de elección de oficios y otros puntos particulares; y glese</t>
  </si>
  <si>
    <t>./ Cíirlsfuhe 8 effttjtáarzai ; Ayer se publicó el enlace matrimonial del PrínciperE¿et«ral con 1*, Princesa Estefanía ; y, con tan plausible motivo lia habido gran gala en la Corte, á la qual lia asistido Mr. d’Aubusson,Gentilhombre del Emperador de los Franceses. GRAN B R E T A Ñ A. Londres id d</t>
  </si>
  <si>
    <t>ntajas de ella, quedando luego aprobada en la votación. Se asegura que el matrimonio de S. A. I. la Princesa Estefanía con el Príncipe Electoral de Badén se celebrará el dia 8 de Abril. El 2$ de Febrero murió en Praga el militar mas antiguo de la Monarquía Austríaca. Este hombre, llamado Josef Fra</t>
  </si>
  <si>
    <t>Esterripa, Nicolás</t>
  </si>
  <si>
    <t>Nicolás Esterripa</t>
  </si>
  <si>
    <t>n de Piñuela, de los Capellanes de Honor D. FranciscoQuesada, Don Juan Guillen, D. Agustín Librero, D. Nicolás Esterripa, D. Manuel Gallardo, D. Vicente Navarro, D. Josef Duaso, y D. Blas de Toro, Maestro de Ceremonias de la Real Capilla, de los Gentileshombres de Boca y Casa D. Vicente Lanz, D. Man</t>
  </si>
  <si>
    <t>Estrada, Duque</t>
  </si>
  <si>
    <t>Duque Estrada</t>
  </si>
  <si>
    <t>de Alcaldes de Casa y Corre: para la Regencia de la expresada Audiencia de Sevilla, por ascenso de Duque Estrada, á D. Francisco Díaz Bermudo, Oidor de la de la Coruña; y para la de la Chancillería de Valladolid á D. Gerónimo Diez, Oidor de la Audiencia de Valencia: para las tres plazas vaca</t>
  </si>
  <si>
    <t>Estrada, Manuel</t>
  </si>
  <si>
    <t>Manuel Estrada</t>
  </si>
  <si>
    <t>ha servido conceder Tenencia en el Regimiento de infantería de Ultonia al Subteniente de granaderos D. Manuel Estrada; y Subtenencias de bandera en los de Guadaláxara y Toledo á los Sargentos primeros D. Juan de Cárdenas y D. Josef María Ar joña, y en el de Voluntarios de la Corona ai Cadete D. M</t>
  </si>
  <si>
    <t>EU, Lord</t>
  </si>
  <si>
    <t>Lord EU</t>
  </si>
  <si>
    <t>lar el Cabo de Buena-Esperanza. Ayer han llegado á Portsmouth los buques de la Cómpiñía de la India Lord EU don y el Tattenka?ri, por los que se ha sabido queuel buque Experimenta que pertenecía á la. misma Compañía, ha sido apresado y conducido á fca Isla de Francia. ' ! . :: hb v. •r HOL</t>
  </si>
  <si>
    <t>Eudaldo Rigal</t>
  </si>
  <si>
    <t>ara la-Dignidad de Abad de la Colegiata jde S. Felió de la ciudad. de Gerona* tacante por muerte.de D. Eudaldo Rigal, á D. Luis María de Martínez y de Válete: á D. Pablo Domingo para la Canongía Doctoral de la Metropolitana de Tarragona; y á D. Manuel Trasovares para un-Beneficio de la Parroquia</t>
  </si>
  <si>
    <t>Euge, Príncipe</t>
  </si>
  <si>
    <t>Príncipe Euge</t>
  </si>
  <si>
    <t>res hacer que ceseA estas inquietudes. En conse.qüencia hemos determinado adaptarcomonuestrohijo al Príncipe Euge: nio, Archi-Canciller de Estado: de nuestro Imperio, yVirey de nuestro Reyno de Italia. Le habernos llamado., después de,Ños y de. nuestros hijos naturales y legítimos, al trono d</t>
  </si>
  <si>
    <t>Eugenia Ruiz de Mantalban</t>
  </si>
  <si>
    <t>tud dé,atuerdo celebrada en 16 de Junio próximo por lós Sres. Patronos de las memorias fundadas por Doña Eugenia Ruiz de Mantalban mandáron se cite y.emplace, por término de 30 días contados desde aquella fecha, á todas las personas parienfas de la .fundadora que crean tener derecho al goce y obtención de las</t>
  </si>
  <si>
    <t>Eugenio de la Peña</t>
  </si>
  <si>
    <t>las hernias, que tiene su correspondiente aprobación. Elogio de D. Josef Queraltó, por su discípulo D. Eugenio de la Peña. Se vende en la librería de Alonso, frente á las gradas de S. Felipe, á 4 rs. EN LA IMPRENTA REAL.</t>
  </si>
  <si>
    <t>Eugenio de Wirtcmberg, Príncipe</t>
  </si>
  <si>
    <t>Príncipe Eugenio de Wirtcmberg</t>
  </si>
  <si>
    <t>beu para cortar las colanas Prusianas, sabiendo que la reserva del Rey de Prusia, á las órdenes del Príncipe Eugenio de Wirtcmberg, habia llegado á Halle , se transfirió al mi-uno para ge. He has sus disposiciones', el Príncipe de Ponte-Corvo mandó que el General Dupont acometiese á Halle, dexaudo en reserva</t>
  </si>
  <si>
    <t>Eugenio de Wirtemberg, Príncipe</t>
  </si>
  <si>
    <t>Príncipe Eugenio de Wirtemberg</t>
  </si>
  <si>
    <t>s de todo género. Jamas victoria alguna fué señalada con mayores desastres. La reserva que manda el Príncipe Eugenio de Wirtemberg ha llegado á Halle. Así es, que al noveno dia de la campaña, ya el enemigo se ve obligado á emplear el último recurso. El Emperador marcha contra él, y mañana será acometido , si</t>
  </si>
  <si>
    <t>Octubre me dio el Príncipe de Hohenlohe el mando de la división que hasta entonces había mandado el Príncipe Eugenio de Wirtemberg. Hallábase esta división muy debilitada con la pérdida de una batalla, dada en las inmediaciones d.e Halle, y no tenia mas que una media batería de cañones de 12, batería y media</t>
  </si>
  <si>
    <t>Eugenio de Wurtemberg, Duque</t>
  </si>
  <si>
    <t>Duque Eugenio de Wurtemberg</t>
  </si>
  <si>
    <t>ZETA DE MADRID DEL VIERNES 3 DE OCTUBRE DE 1806. PRUSIA. 'Berlín 2 de Setiembre. Ha llegado aquí el Duque Eugenio de Wurtemberg. El Barón de Schíaden; Ministro de nuestra Corte en Munich, ha sido acreditado con igual carácter cerca de S. M. él ítey de Wurtemberg.— El Barón Fenft dePilsach, que estuvo de Em</t>
  </si>
  <si>
    <t>Eugenio de Zuloaga</t>
  </si>
  <si>
    <t>ete, Don Gerónimo Maza, D. Juan Maza, D; Luis Berganza , D. Alexandro lagoa, D. Bernabé de Otalora, D. Eugenio de Zuloaga, D. Josef María de Bassoco y D. Vicente de Bassoco. Ganáron el premio extraordinario de instrucción religiosa ios Caballeros gefes de trozo D. Pedro Tavira y D. Manuel Cámara, y e</t>
  </si>
  <si>
    <t>Zárate, D. Antonio Albuerne, D. Pablo Unda, D. Josef Silvan, D. Pablo Ferrando, D.AIexandro Lagoa, D. Eugenio de Zuloaga, D. Josef Bassóco, D. Vicente Bas$óco,D. Matías de la Torre, D. Joaquín Ossés, D. Gerónimo Maza, D. Juan Maza, Don Bernabé de Otálora, D. Juan de Mazarredo, D. Cárlos Van-Zoelen y</t>
  </si>
  <si>
    <t>Eugenio Federico Henrique, Príncipe</t>
  </si>
  <si>
    <t>Príncipe Eugenio Federico Henrique</t>
  </si>
  <si>
    <t>gión de Honor al Elector, al Príncipe Electoral y al Príncipe Pablo, sus hijos; y á sus hermanos el Príncipe Eugenio Federico Henrique, y Guillermo Federico Felipe: S. M. conoció á estos dos últimos Príncipes al pasar por Luisburgo, y ha tenido mucho gusto en darles una prueba de la opinión que ha concebido de su</t>
  </si>
  <si>
    <t>Eugenio Fer</t>
  </si>
  <si>
    <t>eyes: en el esquadron de dragones de América^ también ñxo de la misma plaza, á Teniente al graduado D. Eugenio Fer-, nandez, Alférez del propio cuerpo ;á Alférez ai Portaestandarte D. Buenaventura Boíx, y á esta resulta al Sargento IV Juan Percheman. , ., *{ En el Regimiento de infantería Provi</t>
  </si>
  <si>
    <t>Eugenio Izquierdo</t>
  </si>
  <si>
    <t>aordinario y Ministro Plenipotenciario de S. M. Católica; y en seguida presentó á S. M. al Exc. Sr. D. Eugenio Izquierdo , dei Consejo de Estado de S. M. Católica, y al Secretario y agregados á aquel'Ministerio. • ¡ : ■, ‘ " : ; : ‘ : ‘ FRANCIA. Génova 19 de Noviembre. .V • Escriben de Marsella que</t>
  </si>
  <si>
    <t>Eugenio Llaguno y Amírola</t>
  </si>
  <si>
    <t>que ganó el premio de la Sociedad Holandesa de las ciencias, y traduxo al castellano el Excmo. Sr. D. Eugenio Llaguno y Amírola. Se hallará en las librerías de Francés y de Castillo, frente á S. Felipe el Real. Historia verdadera del perrito de Madama Espligni, invectiva graciosa contra el excesivo amor á</t>
  </si>
  <si>
    <t>Eugenio Lorenzo Vidal</t>
  </si>
  <si>
    <t>dero en dicha Iglesia con el título de S. Pedro, vacante por fallecimiento de D. Antonio Castaño, á D. Eugenio Lorenzo Vidal; y para otro igual titulado de S. Miguel en Ja Parroquia de S. Juan de la propia villa, que se halla vacante por ascenso de D. Manuel López Gutiérrez al de S. Gil, á D. Pedro AÍva</t>
  </si>
  <si>
    <t>Eugenio Mac-crohon</t>
  </si>
  <si>
    <t>cia del tercer batallón del Regimiento de infantería dé Hibernia al Sargento mayor del mismo cuerpo D. Eugenio Mac-crohon; Tenencia en el Inmemorial del Rey af Subr teniente de granaderos D. Josef Ordoñez, y Subtenencia de bandera en el de Africa al Cadete D. Josef Garcen de San Yust. En el Regimient</t>
  </si>
  <si>
    <t>Eugenio Napoleón, Príncipe</t>
  </si>
  <si>
    <t>Príncipe Eugenio Napoleón</t>
  </si>
  <si>
    <t>ciudad. ’r ■ y. Venecia 8 de Febrero. &gt; . El 3 de este mes se supo la próxima venida dé S. A. I. el Príncipe Eugenio Napoleón, Virey de Italia, y la Princesa Augusta su esposa. A las 3 de la tarde anunció la artillería la llegada de SS. AA. á Mestre. A esta se-K ñal todo el mundo abandonó sus casas, y se</t>
  </si>
  <si>
    <t>as dos cartas que nos habéis escrito el 28 de Enero de 1806, felicitándonos sobre,el matrimonio del Príncipe Eugenio Napoleón, nuestro hijo adoptivo, con la Princesa Augusta de Baviera, y sobre la paz firmada en Presburgo. Habéis podido apreciar el interes que tomamos por la Confederación Helvética, haci</t>
  </si>
  <si>
    <t>Eugenio Negroni</t>
  </si>
  <si>
    <t>Tenencia al Subteniente de granaderos D. Juan Boixo, y Subtenencia de. bandera al, Sargento primero D. Eugenio Negroni : ene! Fjxo de Ceuta ha promovidoi’Teniente al Subteniente D.i Juan. María Garrido: en.ei deRédiiíg, ¡número 3.°? á Capitán primérdlal de granaderos :D, ^Antonio Kay~? ser ?: en r</t>
  </si>
  <si>
    <t>Eugenio Salvador</t>
  </si>
  <si>
    <t>que se dedicaron á enriquecerla con su trabajo, durante el tiempo que gozáron de salud y robustez: D. Eugenio Salvador, de primero, el comercio fomenta la agricultura y artes, y aumenta prodigiosamente la cantidad de sus producciones: D. Miguel Mir, de segundo, combatir por medio de empréstitos es</t>
  </si>
  <si>
    <t>Eugenio Virey de Italia, Príncipe</t>
  </si>
  <si>
    <t>Príncipe Eugenio Virey de Italia</t>
  </si>
  <si>
    <t>iación. ITALIA. Verana 27 de Enero. Ayer á las 5 de la tarde llegaron a esta ciudad SS. MM. II., el Príncipe Eugenio Virey de Italia, y la Princesa Augusta su esposa. A la entrada en el tenitorio Veneciano fuéron cumplimentadas por una diputación del Gobierno provisional Veneciano, por los Ministros del Reyno d</t>
  </si>
  <si>
    <t>Eugenio, Príncipe</t>
  </si>
  <si>
    <t>Príncipe Eugenio</t>
  </si>
  <si>
    <t>Mariscal Massena con el exército de Italia forma ya - \ el octavo cuerpo del exército grande. * El Príncipe Eugenio tiene el mando en gefe de todas las tropas que están en el país de Venecia y en elReyno de Italia.</t>
  </si>
  <si>
    <t>yo le traygo, tiene por objeto instruiros en dos importantes contratos: el uno es el casamiento del Príncipe Eugenio con la Princesa Augusta, hija de S. M. el Rey de Baviera: el otro es el tratado de paz con el Emperador de Austria ¿ concluido en Presburgo el 26 de Diciembre último, y ratificado</t>
  </si>
  <si>
    <t>ones; pero teniendo acordado,; largó tiempo hace, con el Rey de Baviera el casamiento de mi.hijo el Príncipe Eugenio con la Princesa Augusta su hija, y hallándome eñj Munich &lt;en el momento en que debía verificarse la celebración:del matrimonio, no he podido -resistir al placer de uñir Yo mismolo</t>
  </si>
  <si>
    <t>buena á S. M. la Emperatriz y Reyna; é igualmente acordó que el Presidente escribiese á S. A. S. el Príncipe Eugenio, Virey de Italia y Archi-Canciller del Estado, dándole la enhorabuena por su casamiento, ■!- , , i . r .í 0f i EN LA IMPRENTA REAL.</t>
  </si>
  <si>
    <t>de su nuevo fundador----- Dado en nuestro quartel general de Padua el 31 de Diciembre de 1805. = El Príncipe Eugenio.’* FRANCIA. Parts 1$ de Enero. El día 7 del corriente se publicó una promoción muy numerosa de individuos de la Legión de Honor, entre los quales se cuentan de la primera, clase ó</t>
  </si>
  <si>
    <t>te en gefe de la Artillería; y el Coronel Sorbier, Comandante en gefe de Ingenieros.”=: Firmado, El Príncipe Eugenio. Ayer el Gobierno provisional publico una proclama á los habitantes de Padua en estos términos: » La llegada á esta ciudad de S. A. S. el Príncipe Eugenio, Virey de Italia, ha sid</t>
  </si>
  <si>
    <t>Ck) j6 Rusas; 84 Americanas, y 14 Portuguesas, feAVlERA; Munich i i de Enejrói S. A. t. Monseñor el Príncipe Eugenio liego ajrer áqüí á lás i o y tñédia de la mañana. De todas partes recibimos noticias de las pruebas de amor y de lealtad que se han manifestado el dia de lá proclamación dé la dig</t>
  </si>
  <si>
    <t>e fué recibido con el ceremonial acostumbrado, y después de un breve discurso sobre la adopción del Príncipe Eugenio y la herencia de la Corona de Italia, entregó al Presidente la carta de S. M. el Emperador y Rey, en que comunica al Senado su voluntad en estos términos: Senadores. „E1 Senado-Consult</t>
  </si>
  <si>
    <t>ue en defecto , sea dé nuestra descendencia directa, legítima y natural, sea de la descendencia del Príncipe Eugenio, nuestro.hijo.* la Corona de Italia pasará al hijo ó al pariente mas cercano del Príncipe de nuestra sangre, que, sucediendo este caso, se encuentre entonces reynando en Francia__</t>
  </si>
  <si>
    <t>invierno es tan benigno, quizá puedan irse también los Rusos. Augs burgo 11 de Enero. . . S. A. el Príncipe Eugenio llegó ayer mañana á Munich, y se apeó en el palacio Real. Todos los caminos de Viena á Baviera están llenos actualmente de artillería y de municiones, frutos de la victoria y de l</t>
  </si>
  <si>
    <t>e arreglen las providencias que conviene tomar para la reunión de este país al Rey no de Italia, El Príncipe Eugenio, nombrado Gobernador de aquellos Estados, reunirá la autoridad civil y militar. PORTUGAL. Lisboa / de Febrero. El paquebote de Falmouth, que acaba de llegar, trae la noticia posit</t>
  </si>
  <si>
    <t>letemburgo, y le entregó una carta del Rey de Prusia. Ahora mismo el Emperador recibe un Edecán del Príncipe Eugenio, que le avisa de una victoria conseguida sobre los Rusos en Albania. - La proclama del Emperador á sus soldados es como sigue. Soldadoy. „ Habéis justificado mis esperanzas, y cor</t>
  </si>
  <si>
    <t>Eurtado</t>
  </si>
  <si>
    <t>, para que envíen á París Diputados capaces de suministrar al Gobierno nuevas luces. El Piesidente, Mr. Eurtado, respondió á los Comisarios Imperiales con otro discurso, dando gracias al Emperador por las bondades que prodiga al pueblo Judio; y en. seguida la Asamblea de los representantes</t>
  </si>
  <si>
    <t>Eusebio de Villa</t>
  </si>
  <si>
    <t>dias WaJonas D« Carlos Wambiteli: en el de la Princesa Ayudantía al Teniente, graduado de Capitán , D. Eusebio de Villa: en el de Ultonia Subtenencia de bandera al Sargento primero distinguido D. Pedro Mellado: en el de Zaragoza Subtenencia de bandera al Cadete D. Antonio de la Paz y Alfaro : en el</t>
  </si>
  <si>
    <t>Eusébio Medra</t>
  </si>
  <si>
    <t>D. Pedro Antonio yillajnayor y al Sargento Don Carlos Ramón Canseco; y á Portaestandarte .al Cadete D. Eusébio Medra* no; asimismo en el Regimiento de Milicias disciplinadas.de caballería de Buenos-Ayres se ha servido promover á Alféreces á D. Jomas Ribera., Don Manuel Naranjo y ,D. Bernabé San</t>
  </si>
  <si>
    <t>Eustasio López</t>
  </si>
  <si>
    <t>do aprobada por la Junta, se sirvió esta adjudicar los tres premios mayores de 5 f pesos cada uno á D. Eustasio López, D. Isidro Franco y D. Felipe Alvaro, y los tres segundos de á 35 pesos á D. Juan Antonio Peíiteyro, D. Gaspar Cañada y D. Lorenzo -dañan a. El día i.° de Mayo próximo pasado fall</t>
  </si>
  <si>
    <t>Ewer</t>
  </si>
  <si>
    <t>este motivo se juntaron inmediatamente ios Directores. Por la misma via se ha recibido una carta de Mr. Ewer, Agente de comercio de la Compañía en Bancoul, en que avisa haber llegado de Macao 350 Chinos para cuidar de los plantíos de árboles de especias,, que aseguran están en un estado</t>
  </si>
  <si>
    <t>Excelmans, Coronel</t>
  </si>
  <si>
    <t>Coronel Excelmans</t>
  </si>
  <si>
    <t>estando cortado por el lado1 del &lt;Qder. y de la Pomerania, parece haberse retirado hacia Lubeck. El Coronel Excelmans, Comandante del primer Regimiento, de cazador res del Mariscal Davoust, ha eritrado en Posnania, ..en Polonia, dónde le han recibido con sumo gozo ; las calles estaban tan llenas</t>
  </si>
  <si>
    <t>Eximeno, Antonio</t>
  </si>
  <si>
    <t>Antonio Eximeno</t>
  </si>
  <si>
    <t>rústica. Apología de Miguel de Cervantes sobre los. yerros que se le han notado en el Quixote, por D. Antonio Eximeno. Esta obrita es una impugnación del último artículo de La análisis del Quixote, publicada en la edición hecha por la Real Academia de la Lengua en 1780. Hace, ver su autor que Cer</t>
  </si>
  <si>
    <t>Ezequiel</t>
  </si>
  <si>
    <t>q "EHzaldé, D. Benigno Risueño, D. Baltasar B,alagqervljL josef FernandezsRanes, D, Diego Mosquera, D. Ezequiel £ai?e&gt;y;¿p.Antótuo RolapdÁ*:Vt o V T ^ *&gt; ¡ Madrid 2% de Agosto. . S. M, se ha servido mombrar para la Dignidad de Tesorero de. la Catedral de Canarias, ¡vacante per fallecimiento</t>
  </si>
  <si>
    <t>Ezequiel Moreno</t>
  </si>
  <si>
    <t>a Prestamera de la Parroquial de la villa de Zafra, Diócesi de Cuenca, vacante por fajlecimienro de D. Ezequiel Moreno, á D. Juan Antonio Martínez, Presbítero, Capellán de la ermita rural de S. Pantaleon en aquel Obispado; y para un Beneficio de la Parroquial de la villa de Epila, Diócesi de Zarag</t>
  </si>
  <si>
    <t>Ezquerra, Fulgencio</t>
  </si>
  <si>
    <t>Fulgencio Ezquerra</t>
  </si>
  <si>
    <t>aviso público, se procederá á la elección, sin admitir mas instancias que las que esten recibidas. D. Fulgencio Ezquerra, que vive en la plazuela de la Leña, casa núm. 13, desea saber el paradero de D. Antonio María de Barrios, que estuvo en esta Corte por Noviembre de 1802 , pues tiene que comunica</t>
  </si>
  <si>
    <t>Fabian de Rosas</t>
  </si>
  <si>
    <t>ento primero D. Clemente Zapata, yá Portaguiones al Sargento primero D. Gregorio Duran, y al Cadete D. Fabian de Rosas 6 Infantas; y también ha concedido S. M. la Tenencia Coronela dei Batallón de Milicias urbanas de Urubamba á D. Fermín Pierola, Sargento mayor del mismo Cuerpo. El Rey se ha digna</t>
  </si>
  <si>
    <t>Fabre</t>
  </si>
  <si>
    <t>l Senado por el Tribunado en cuerpo, y depositadas en esta sala, el miércoles i.° de Enero de 1806. Mr. Fabre (de TAude), Presidente del Tribunado, hizo una arenga al tiempo de presentar las banderas, á la que respondió S. A I. el Príncipe Gran Elector en estos términos. ,,E1 Senado- ve c</t>
  </si>
  <si>
    <t>xéron una misma cosa con diferentes palabras.; por cuya razón solo insertarémcs el que pronuncio Mr. Fabre, Presidente del Tribunado, que es como sigue: Señor. „ El Tribunado viene á juntar con las aclamaciones publicas la expresión del contento que le inspira el feliz regreso de V. M_</t>
  </si>
  <si>
    <t>Fadrique</t>
  </si>
  <si>
    <t>s contados desde el 7 del presente. Se halla vacante la plaza de Médico de la villa de la Puebla de D. Fadrique, en la provincia de la Mancha, 9 leguas del Real Sitio de Aranjuez,-población de 650 \recínos: tiene ue dotación, ademas de lo que paga el Cabildo eclesiástico, 709 ducados anuale</t>
  </si>
  <si>
    <t>Falcó y Valcárcel, Antonio</t>
  </si>
  <si>
    <t>Antonio Falcó y Valcárcel</t>
  </si>
  <si>
    <t>edro Mártir y de S. Nicolás, y los restantes la Real Sociedad. A mas djp un premio de solo, honor á D. Antonio Falcó y Valcárcel: distinguió el adelantamiento de Doña María Vicenta de Quevedo, de 4 años y medio, en la doctrina cristiana , leer y éxercicio de calceta, con el Catecismo histórico de Fleuri pri</t>
  </si>
  <si>
    <t>Falcon y Salcedo, Ramón</t>
  </si>
  <si>
    <t>Ramón Falcon y Salcedo</t>
  </si>
  <si>
    <t>ias consideró precisas para la construcción del de'esta villa; y previa la aprobación del limo. Sr. D. Ramón Falcon y Salcedo, Obispo de la Diócesi, y del Sr. D. Arias Mon y Velarde, del Consejo de S. M., y Juez comisionado en esta Provincia , se ha construido uno capaz y decente. Se hizo la bendición de</t>
  </si>
  <si>
    <t>Faletti-Barolle</t>
  </si>
  <si>
    <t>Mr. Petiet, Intendente del exército grande y Consejero de Estado ; Mr. Barral, Arzobispo de Tolosa; Mr. Faletti-Barolle , Presidente de la Academia de Turin, y uno de los mas ricos propietarios del otro lado de los Alpes; Mr. de A remberg, Grande propietario de la Bélgica; y á Mr. Deloé, Consejero</t>
  </si>
  <si>
    <t>Farias, Francisco</t>
  </si>
  <si>
    <t>Francisco Farias</t>
  </si>
  <si>
    <t>. Josef Berzabal; á Ayudante al Teniente D. Manuel Bonilla; á Teniente al Subteniente de granaderos D. Francisco Farias; á Subteniente de granaderos al de fa</t>
  </si>
  <si>
    <t>Fariza, Domingo Julián</t>
  </si>
  <si>
    <t>Domingo Julián Fariza</t>
  </si>
  <si>
    <t>servido nombrar para la Dignidad de Prior, vacante en la Catedral de Sigiienza por fallecimiento de D. Domingo Julián Fariza, á Don Josef Urraca, Cura del lugar de Escobosa en aquella Diócesi: para la Ración, vacante en la Catedral de Córdoba por muerte de D. Pedro Carrascal, á D. Juan Clari, Medio-Raci</t>
  </si>
  <si>
    <t>Burgos y á D. Simón piez: para la Canongía, vacante en la Catedral de Sigüenza por fallecimiento de D. Domingo Julián Fariza, á Don Josef Urraca, con retención de ja Dignidad de Prior de la misma, que le confirió S. M. por decreto de % del próximo pasado: para la Prebenda Magistral de la Real Colegial d</t>
  </si>
  <si>
    <t>Faro, Francisco</t>
  </si>
  <si>
    <t>Francisco Faro</t>
  </si>
  <si>
    <t>misma Diócesi; y á D. Medardo Vergara para otra de la misma Iglesia, vacante ■por fallecimiento de D. Francisco Faro. En los Regimientos de infantería de Zaragoza y Mallorca se ha servido el Rey promover á Tenientes á los Subtenientes D. Luis López y D. Facundo Ibañez, este de granaderos; y á Su</t>
  </si>
  <si>
    <t>Fauenzien, Conde</t>
  </si>
  <si>
    <t>Conde Fauenzien</t>
  </si>
  <si>
    <t>d imperial de Nuremberg. Fecho en la ermita cerca de Bayreuth á 14 de Abril de 1806. ~ Firmado &gt; el Conde Fauenzien, Comandan-* te en gefe de las tropas Prusianas en Franconia.” Hannóver 8 de Abril. Se ha publicado la proclama siguiente: „ Nos Federico Guillermo m,&gt; Rey de Prusia, hacemos saber</t>
  </si>
  <si>
    <t>Faurie, Pedro</t>
  </si>
  <si>
    <t>Pedro Faurie</t>
  </si>
  <si>
    <t>astizabal, en Bilbao D. Juan Bautista de Larraondo, en Barcelona D. Gerónimo Jacchella, en Valencia D. Pedro Faurie, en Murcia los Sres. Valence y Sobrino, en Cartagena D. Henrique Fawson y compañía, en Granada D. Juan Manuel García de Tejada y compañía, en Córdoba D. Ventura Aute, en Sevilla l</t>
  </si>
  <si>
    <t>bal é hijo, en Bilbao D. Juan Bautista de Larraondo, en Barcelona D. Gerónimo Jachella, en Valencia D. Pedro Faurie, en Murcia los Sres. Valer.ce y Sobrino, en Cartagena D. Henrique Tawson y compañía, en Granada D. Juan Manuel García de Tejada y compañía, en Córdoba D. Ventura Aute, en Seviba l</t>
  </si>
  <si>
    <t>Faustino Bermudez</t>
  </si>
  <si>
    <t>s D. Joaquín Chamorro; y de fusileros á los Subtenientes D. Josef Corneiio Guerrero, de granaderos, D. Faustino Bermudez y D. Hermenegildo ligarte ; á Subteniente de granaderos al de fusileros D. Josef Rosario Rodriguez, y de fusileros á D. Juan Cerda y D. Josef Vicente Solórzano, que lo eran de bandera</t>
  </si>
  <si>
    <t>Faustino de Cezar, Manuel</t>
  </si>
  <si>
    <t>Manuel Faustino de Cezar</t>
  </si>
  <si>
    <t>os granos sé manifestaban de los mas bien caracterizados, sé hizo la Operación de brazo á brazd por D. Manuel Faustino dé Cezar, Maestro sangrador* zeladór y enfermero mayor de dicha Reai cása, principiando por 3 niñas y 2 niños, que fué hasta dónde alcanzó él pus ác los deferidos granos. Posténoíínente de</t>
  </si>
  <si>
    <t>Faustino Garay</t>
  </si>
  <si>
    <t>o Retana, Sargento mayor agregado al de la Reyna: en el, de Santiago empleo de Ayudante al Teniente D. Faustino Garay: empleo de Alférez en el Regimiento de dragones de la Reyna al Portaestandarte D. Pedro Wamba, y esta resulta al Cadete D. Sebastian de Leca; y en el de Sagunto empleo de Portagui</t>
  </si>
  <si>
    <t>Faustino Guillen</t>
  </si>
  <si>
    <t>promovido el Rey á Cadete de número aL Supernumerario D. Juan Sibas; y á Supernumerario al Guardia D. Faustino Guillen. S. M. se ha servido conceder en el Regimiento de infantería de la Princesa Tenencia al Subteniente D. Baltasar Araujo; y en el de Voluntarios de la Corona Subtenencia de bandera</t>
  </si>
  <si>
    <t>menca del Real Cuerpo de Guardias de Corps ha promovido el Rey á Cadete de número al supernumerario D. Faustino Guillen , y á supernumerario al Guardia D. Miguel Font. j. S. M. se ha servido conceder en el Regimiento de infantería de América Tenencia al Subteniente D. Dionisio de Piedra; y en el de</t>
  </si>
  <si>
    <t>Fausto Caballero</t>
  </si>
  <si>
    <t>Bengoa. En el Regimiento de caballería de Borbon se ha servido el Rey conceder Tenencia al Alférez D. Fausto Caballero; y en el de Santiago Compañía al Ayudante, graduado de Capitán, D. Luis Pareja. Igualmente se ha servido S. M. conceder Tenencia en el Regimiento de dragones de la Reyna al Alfére</t>
  </si>
  <si>
    <t>Fausto de Chozas</t>
  </si>
  <si>
    <t>ymerick: en los de Ultonia, América y Extremadura Tenencias á los Subtenientes D. Pedro Sprackmans, Don Fausto de Chozas y D. Pedro Bernaldes: en el de la Princesa Subtenencia de bandera al Cadete D. Juan Nion y Caamaño: Tenencia en el Regimiento de infantería de Jaén al Subteniente de granaderos D. Fra</t>
  </si>
  <si>
    <t>Fausto Esquerra</t>
  </si>
  <si>
    <t>or de asta, villa, de 12 de. Agosto último , se ha. mandado hacer saber á D; Ignacio GarciMartin ,. D. Fausto Esquerra-, IX Tomas. Ruiz Dávila, D. Luis-Bartolomé Calvo, D. Francisco Sarabia, D. Rafael Figueroa, D; Joaquín Martínez y D. Julián Guarisii, últimos tenedores respective que: fueron de 9</t>
  </si>
  <si>
    <t>Fausto Martínez de la Torre</t>
  </si>
  <si>
    <t>luz por Mr. Delagardette, Arquitecto pensionado de S. M. Cristianísima, y traducido.slrespañol por D. Fausto Martínez de la Torre y D. Joscf Asensio, Profesores dtf Arquitectura y.Grabado: un tomo en folio, con 49 láminas finas. Se hallará en la librería de Tieso, calle de las Carretas. = En la misma se hallarán</t>
  </si>
  <si>
    <t>Fawson, Henrique</t>
  </si>
  <si>
    <t>Henrique Fawson</t>
  </si>
  <si>
    <t>erónimo Jacchella, en Valencia D. Pedro Faurie, en Murcia los Sres. Valence y Sobrino, en Cartagena D. Henrique Fawson y compañía, en Granada D. Juan Manuel García de Tejada y compañía, en Córdoba D. Ventura Aute, en Sevilla los Sres. D. Domingo y Justo Torrijos, y en Cádiz en la imprenta y librería</t>
  </si>
  <si>
    <t>Fdxi</t>
  </si>
  <si>
    <t>Setiembre Lord Thurloxv terminó su carrera; y en fin, Mr. Fox ha muerto en 13 del corriente. Murió Mr. Fdxi el sábado 13 á las 6 menos quarto de la tarde , en los brazos de su sobrino Lord Holland. El dia anterior íe anunciaron los Médicos su próximo fin, noticia que recibió con grande se</t>
  </si>
  <si>
    <t>Febrer, Miguel</t>
  </si>
  <si>
    <t>Miguel Febrer</t>
  </si>
  <si>
    <t>iago : para la Ración vacante en la .Catedral .de Mondoñedo, por muerte de D. Josef Benito Camban i D. Miguel Febrer, ¡Capellán del nú ¿aero de la Real'Ar^ mada: para el Beneficio titulado Arciprestazgo de la Parroquial de Villasandino, Diócesi de Burgos, vacante por fallecimiento de D. Francisc</t>
  </si>
  <si>
    <t>Federica Luisa de Oraoge, Princesa</t>
  </si>
  <si>
    <t>Princesa Federica Luisa de Oraoge</t>
  </si>
  <si>
    <t>Ducado. El Príncipe Carlos había nacido en Londres en 8 de Febrero de 1766, y casó en ,179o con la Princesa Federica Luisa dé Oraoge. : r^ : *-,:: ' 'Hann&amp;úer 21 de Setiembre. Sé ha transferido á Mulhaüsén el quartel general del General Rucbel. Ya no pasará por aquí el cuerpo de exército del General Kalkreuth;</t>
  </si>
  <si>
    <t>Federico Go</t>
  </si>
  <si>
    <t>droAguilaEyComandaiite en ge fe deí batallón de Milicia'? dé 'Paraos/dd'Pátíaíilá't esita Resulta á D. Federico Go-: bea , Aynídatífé vétferaft’Gí d^PReginiiérito dé Milicias disciplinadas de la misma plaza; y Id qtjé esté.ddká ¿1 de igual clase del batallón de Pardos de Gartageñá D. Antódío' Q</t>
  </si>
  <si>
    <t>Federico Gravina</t>
  </si>
  <si>
    <t>das de S. Felipe, y én la d¿ Gómez Fúentenebro, calle de las Carretas. Oda en elogio del Excmo. Sr. D. Federico Gravina, Capitán General dé Marina &amp;c., dedicada á D. Francisco Sánchez, entre los Arcades Floralbo Corintio, por D. M. B. G. S. Acompaña á esta oda el retrato, y una viñeta que represent</t>
  </si>
  <si>
    <t>a nación de Siberia, llamada Wodyakos, por D. A. C. B.; extracto de la oda en elogio del Excmo. Sr. D. Federico Gravina, por D. M. B. G. S.; la reflexión melancólica, soneto; y varios artículos acerca de economía y literatura extrangera. El 17 contiene reflexiones críticas sobre los mausoleos en ge</t>
  </si>
  <si>
    <t>Convento de la Merced Calzada, á 10 rs. en pasta y 8 en pergamino. Elogio, en prosa, del Excmo. Sr. D. Federico Gravina, Capitán General de la Real Armada, por D. Josef Mor de Fuentes. En este escrito se da noticia individual de las campañas de aquel General infatigable; se describen los sitios pri</t>
  </si>
  <si>
    <t>testimonios auténticos. Véndese en la librería de González, calle de Atocha. Retrato del Excmo. Sr. D. Federico Gravina, Capitán General de Marina de S. M. Católica, y Comandante general de la esquadra del Océano, que se ha distinguido en el combate naval contra la esquadra Inglesa en las aguas de</t>
  </si>
  <si>
    <t>Federico Guerraty</t>
  </si>
  <si>
    <t>e de granaderos al de fusileros D. Josef Teodosio Kalbermaten, y Subteniente de fusileros al Cadete D. Federico Guerraty: en el de Traxler Teniente de granaderos al de fusileros D. Remigio Kayser, y Subteniente de fusileros á D. Francisco Zellger: en el de Reding, num. 2.°, Subteniente de bandera al</t>
  </si>
  <si>
    <t>Federico Guillermo de Brunswick-Oels, Príncipe</t>
  </si>
  <si>
    <t>Príncipe Federico Guillermo de Brunswick-Oels</t>
  </si>
  <si>
    <t>udó de rumbo, y consiguió reunirse á la coluna del Duque de Weymar, á quien se habia juntado la del Príncipe Federico Guillermo de Brunswick-Oels, hijo del Duque de Brunswick. De esta manera se halláron las tres colunas á las. órdenes del General Biucher, al qual se le habían reunido otros cuerpos poco numerosos. Intentáron</t>
  </si>
  <si>
    <t>Federico Moretti, Capitán</t>
  </si>
  <si>
    <t>Capitán Federico Moretti</t>
  </si>
  <si>
    <t>es, precedidos de los elementos generales de la música, dedicados á la Reyna nuestra Señora, por el Capitán Don Federico Moretti, Alférez de Reales Guardias Walorias, Académico Filarmónico de Bolonia, y de los Reales Conservatorios de música de Ñapóles. Esta obra está dividida en dos partes: la i.a contiene</t>
  </si>
  <si>
    <t>Federico'Gravina</t>
  </si>
  <si>
    <t>nta de Espinosa, calle del Espejo: pue-* de ir en carta. Retrato en forma de medalla del Excmo. Sr. D. Federico'Gravina, Capitán General de Marina, y Comandante General de la esquadra del Océano, y puede servir en caxa, dibüxado en Paris por Tournier, y grabado por J. B. Se hallará en la librería d</t>
  </si>
  <si>
    <t>Federico, Príncipe</t>
  </si>
  <si>
    <t>Príncipe Federico</t>
  </si>
  <si>
    <t>poseídos del mas justo y profundo sentimiento por la muerte acaecida en esta mañana de S. A. R. el Príncipe Federico» hermano del Rey, que había nacido en 11 de Octubre de 17^3. ALEMANIA. Viena 8 de Diciembre. Ya están entabladas las negociaciones para la paz entre el Emperador de los Franceses</t>
  </si>
  <si>
    <t>o le ha señalado una pensión anual de 60. ESPAÑA. Madrid de Junio. Con motivo del fallecimiento del Príncipe Federico, hermano del Rey de Dinamarca, del Príncipe Guillermo hermano del Duque de Brunswick, y del Margrave de Anspach, primo del Rey de Prusia, ha mandado el Rey que se vista la Corte d</t>
  </si>
  <si>
    <t>Feliciano López</t>
  </si>
  <si>
    <t>24 6 tan del de Dragones de Lusitania; y á Alférez en el de Almansa al Portaguión D. Feliciano López. En cumplimiento de lo mandado en Real Pragmática-Sanción de 30 de Agosto de 1800, desde 1.? de Abril próximo hasta 31 de Mayo siguiente se presentarán los Vales de 600 y de 300 p</t>
  </si>
  <si>
    <t>Feliciano Martínez</t>
  </si>
  <si>
    <t>acionero de aquella Sta. Iglesia : para la Ración vacante en la Catedral de Palencia, por muerte de D. Feliciano Martínez, á D. Angel Roxo Redondo, Presbítero; y á D. Antonio pereña para otra</t>
  </si>
  <si>
    <t>de Llarena, y para el Beneficio simple de Autilla del Pino en la de Patencia, vacante por muerte de D. Feliciano Martínez, á D. Froylan Mendez de Vigor para una Canongía de la Catedral de Vique, vacante por fallecimiento de D. Benito Boada, á Don Bartolomé Seoane, Gapellan provisional de la Real Arra</t>
  </si>
  <si>
    <t>Feliciano Rodríguez</t>
  </si>
  <si>
    <t>en ía propia Diócesi: para otra Canongía de la Iglesia de Puerto Rico, vacante por fallecimiento de D. Feliciano Rodríguez, á D. Nicolás Alonso Andrade; y para la Ración que este dexa á D. Tiburcio González Esmurra, Cura de Coamo en la misma Diócesi. El Rey r&gt;e ha dignado conceder la Sargentía mayor d</t>
  </si>
  <si>
    <t>Felipe- Gil de Taboatla</t>
  </si>
  <si>
    <t>, poj ^nte e),escrijt&gt;aqo: c|ej ,n4j»e-« ro D; Julián-Gómez¡SaeZi ................... ,■ &lt; . El Sr. D. Felipe- Gil de Taboatla y. Temos, del Consejo de Mi, su Alcalde de Casa y Corte,.ha señalado el martes 22 del corriente,para.el remate de un^,ca« sa sita en la:calle del Príncipe^, núm. 6 jrmanz., 3jA*tasa</t>
  </si>
  <si>
    <t>Femando, Archiduque</t>
  </si>
  <si>
    <t>Archiduque Femando</t>
  </si>
  <si>
    <t>os para alcanzar con la mayor brevedad una indemnización plena y completa en Alemania á S. A. R. el Archiduque Femando. xin. S. M. el Rey de Baviera podrá ocupar la ciudad de Augsburgo y su territorio, reuniría á sus Estados, y poseerla en toda propiedad y soberanía. Igualmente podrá S. M. el Rey</t>
  </si>
  <si>
    <t>Fenelon</t>
  </si>
  <si>
    <t>arte moral y política de aquel célebre poema, ó mas bien toda la instrucción que su inmortal autor, Mr. Fenelon , quis •"&gt; dar por medio de él á su augusto educando; por lo qual debe ser mirado como Un prontuario ó manual de educación, ó como un extracto de lo mas útil é importante de idicl</t>
  </si>
  <si>
    <t>Fenft, Barón</t>
  </si>
  <si>
    <t>Barón Fenft</t>
  </si>
  <si>
    <t>ra Corte en Munich, ha sido acreditado con igual carácter cerca de S. M. él ítey de Wurtemberg.— El Barón Fenft dePilsach, que estuvo de Embaxador en Copenhague, va con igual destino á Constantinopla, y el Barón Bielfed, que era nuestro Encargado de negocios allí, pasa á otro destino important</t>
  </si>
  <si>
    <t>Ferasado</t>
  </si>
  <si>
    <t>^sr concer dér emple^’de ípríaestáhdarte gj, ijqsefRarap*en el de Alcán-r tara /Tenencia al Alférez D. Ferasado^Roinerp; y. en el de Santiago Ayudantía al Teniente, graduado de Capitán, D. Alfonso Marín. También se ha servido. S. M. promover a Alférez en el Regimiento de dragones de Lusitañ</t>
  </si>
  <si>
    <t>Fermín Antonio</t>
  </si>
  <si>
    <t>para darle una noticia en que tiene mucho interes; por lo que acudirá personalmente, ó por carta, á D. Fermín Antonio. Lumbreras, Procurador del Consejo en esta Corte, ó por su fallecimiento sus herederos ó sucesores con documentos justificativos. Varia comensuracion de Juan de Arfe y Villafane,</t>
  </si>
  <si>
    <t>Fermín Argumosa</t>
  </si>
  <si>
    <t>aida, y la ©tra por un bote y dos cañoneros de Sancti Petri, baxo las órdenes del Teniente de Navio D. Fermín Argumosa. En cumplimiento de las Reales Cédulas de S. M. de 15 de Julio y 29 de Noviembre de 1797 se recibirán en la Tesorería mayor y en las de Exército, desde el lunes 2 de Junio próximo</t>
  </si>
  <si>
    <t>Fermín Perezj Compañía, Antonio</t>
  </si>
  <si>
    <t>Antonio Fermín Perezj Compañía</t>
  </si>
  <si>
    <t>nfantería de Voluntarios de Castilla al Sargento mayor del de Burgos, graduado de Teniente Coronel, D. Antonio Fermín Perezj Compañía en el de Irlanda al Teniente, graduado de Capitán, D. Pedro Hersen Baradieu: Tenencia en el de León al Subteniente de granaderos D# Fernando Cevallos; y Subtenencias de bandera en e</t>
  </si>
  <si>
    <t>Fermín Pierola</t>
  </si>
  <si>
    <t>s; y también ha concedido S. M. la Tenencia Coronela dei Batallón de Milicias urbanas de Urubamba á D. Fermín Pierola, Sargento mayor del mismo Cuerpo. El Rey se ha dignado conferir la Comandancia del Cuerpo de dragones de la frontera de Chile al Coronel D. Fernando Amador de Amaya, Sargento mayo</t>
  </si>
  <si>
    <t>Fermín Ramírez Pizarro</t>
  </si>
  <si>
    <t>Pedro Verea Aguiar y Mosquera; de Subteniente de granaderos en el de Ciudad-Rodrigo al de fusileros D. Fermín Ramírez Pizarro; y de Subteniente de bandera en el de Guadix al Cadete D. Josef de Arias. t . El Rey ha nombrado Maestro Armero de Artillería de la plaza de Zamora á Vicente Herrarte. S. M. se ha</t>
  </si>
  <si>
    <t>Fermín Remon</t>
  </si>
  <si>
    <t>de pasto, perteneciente al hospital de los Ríos de la ciudad de Córdoba, se ha rematado en favor de D. Fermín Remon en 308® rs. á pagar en vales; lo qual se pone en noticia del público para la puja ó mejora del quarto. El remate de la casa calle de la Victoria, núm. 12 , manz. 207, tasada en 106,</t>
  </si>
  <si>
    <t>Fernanda, Príncipe</t>
  </si>
  <si>
    <t>Príncipe Fernanda</t>
  </si>
  <si>
    <t>sionero, al Príncipe Augusto Fernando, hermano del Príncipe: Luis, muerto en Sa^Ifels, é hijo del . Príncipe Fernanda, hermano de|. Gran Federico.__. AM puqs el numeroso.'y lucido exército Prusiano sé^ia disipado como un a niebla qeotoño á los primero'* rayos.del sol: Generales en gefe, Generales</t>
  </si>
  <si>
    <t>Fernández Blanco, Manuel</t>
  </si>
  <si>
    <t>Manuel Fernández Blanco</t>
  </si>
  <si>
    <t>la Parroquia del lugar de Montuenga, Diócesi de Sigiienza, vacante por muerte de D. Josef Azcona, á D. Manuel Fernandez Blanco, Capellán provisional de la Real Armada: para otro titulado Areiprestazgo de Lará en el Arzobispado de Burgos, vacante por fallecimiento de D. Hemeterio Capellán, á D. Antonio Ven</t>
  </si>
  <si>
    <t>Fernández Cavada, Félix</t>
  </si>
  <si>
    <t>Félix Fernández Cavada</t>
  </si>
  <si>
    <t>Cátedra de Economía civil, que dirige el socio D. Raymundo de Santander, se distribuyó el primero á D. Félix Fernandez Cavada, el segundo á D. Cipriano Antonio de Barcenilla y Langayo, sorteado con D. Julián Cabañas, á quien de consiguiente le correspondió el tercero. En la de Agricultura, dirigida por e</t>
  </si>
  <si>
    <t>Fernández de Mesa, Vicente</t>
  </si>
  <si>
    <t>Vicente Fernández de Mesa</t>
  </si>
  <si>
    <t>Mesa, D. Carlos Soubiran y Mantelan, D. Miguel Quesada y Tarriba, D. Toribio Pasalagua y Martinez, D. Vicente Fernandez de Mesa, D. Francisco de Nava y Rodríguez, D. Antonio Diaz de Herrera, D. Francisco Rodríguez López Guerrero, D. Juan Moro de Flores y Mendez, D. Josef Villavicencio y Rodríguez de Arias,</t>
  </si>
  <si>
    <t>Fernández de Moratin, Nicolás</t>
  </si>
  <si>
    <t>Nicolás Fernández de Moratin</t>
  </si>
  <si>
    <t>te á las gradas de S. Felipe, á 42 rs. Las naves dé Cortés destruidas, canto épico: obra postuma de D. Nicolás Fernandez de Moratin, ilustrada por el editor con notas críticas. Se hallará en casa de Castillo y en el puesto dé Arnaiz, calle de la Concepción. Las estampas de los Santos, correspondientes á los me</t>
  </si>
  <si>
    <t>Fernández de Velasco, Pedro</t>
  </si>
  <si>
    <t>Pedro Fernández de Velasco</t>
  </si>
  <si>
    <t>* * ■■ ' Continuación de los quadernos de Varones Ilustres Españoles, quaderno 18, que comprehende D. Pedro Fernandez de Velasco, D. Juan Sebastian de Elcano, Fr. Melchor Cano, el P. Alfonso Salmerón, D. Bernardo de Baibuena y D. Felipe Gil de Taboada, con un epítome de sus vidas.. Se hallará, con los anter</t>
  </si>
  <si>
    <t>Fernández de Villanueva, Gaspar</t>
  </si>
  <si>
    <t>Gaspar Fernández de Villanueva</t>
  </si>
  <si>
    <t>de S. Pedro de Cela , en el Obispado de Tuy, vacante por fallecimiento de D. Francisco Valverde, á D. Gaspar Fernandez de Villanueva, Cura de S. Salvador de Piñeyra en la misma Diócesi: para otro igual de la Parroquial de Sta. María de la vi</t>
  </si>
  <si>
    <t>Fernández del Valle, Juan</t>
  </si>
  <si>
    <t>Juan Fernández del Valle</t>
  </si>
  <si>
    <t>do de aplicar las ventosas y las sanguijuelas: un tomo en 8.°, á 10 rs. en pasta. Son originales de D. Juan Fernandez del Valle, Cirujano de número y entradas de Jos Reales hospitales. Se hallará en la librería de Escribano,calle de las Carretas. El espíritu del bello sexo: obra singular, y la mas útil é i</t>
  </si>
  <si>
    <t>Fernández Duran, Francisco</t>
  </si>
  <si>
    <t>Francisco Fernández Duran</t>
  </si>
  <si>
    <t>sición; y para la Abadía de Foncebadon, Dignidad de la Catedral de Astorga,de precisa residencia, á Don Francisco Fernandez Duran, Capellán de la Real Armada. El Rey se ha servido conferir en el Regimiento de Infantería de Granada Compañía al Ayudante, graduado de Capitán, D. Manuel de la Lastra; Ayudantía a</t>
  </si>
  <si>
    <t>Fernández García, Martín</t>
  </si>
  <si>
    <t>Martín Fernández García</t>
  </si>
  <si>
    <t>ngleses ricamente cargados. ■ ' y ‘ . ESPAÑA. Sevilla &gt;z5 de Noviembre. En esta ciudad y en casa de D. Martin Fernandez García falleció el día 11 de este mes, Cayetano Rodríguez, su criado, de nación Portuguesa, de la edad de 106 años ; se mantuvo firme hasta un mes antes: de fallecer, quando se vio,preci</t>
  </si>
  <si>
    <t>Fernández Gonzalo del Rio, Luis</t>
  </si>
  <si>
    <t>Luis Fernández Gonzalo del Rio</t>
  </si>
  <si>
    <t>rcio ha formado una Junta de Gobierno, compuesta del Excmo.Sr. Duque de Osuna, su Presidente; Señor D. Luis Fernandez Gonzalo del Rio, Caballero de la Real y distinguida Orden de Cárlos m, del Consejo de S. M., y su Ministro honorario de la Junta de Comercio, Moneda y Minas; Sr. D. Manuel García de la Prada, de</t>
  </si>
  <si>
    <t>Fernández Martínez, Manuel</t>
  </si>
  <si>
    <t>Manuel Fernández Martínez</t>
  </si>
  <si>
    <t>mo de la Parroquial de la Puebla de Yeltes, en la Diócesis de Ciudad-Rodrigo, vacante por muerte de D. Manuel Fernandez Martínez, á D. Alexo Díaz: para el Arciprestazgo de San Estéban de Gormaz, en el Obispado de Osma, vacante por fallecimiento de D. Manuel Dorramas, á D. Pantaleon Rodríguez; y para el Bene</t>
  </si>
  <si>
    <t>Fernández Mateos, Juan</t>
  </si>
  <si>
    <t>Juan Fernández Mateos</t>
  </si>
  <si>
    <t>quial de Santiago de la villa de Utrera, en el Arzobispado de Sevilla, vacante por fallecimiento de D. Juan Fernandez Mateos, á D. Diego de Igualada, Presbítero, Administrador del hospital del Cardenal de aquella ciudad, con la precisa calidad de .personal residencia: á D* Carlos Martin y Lañáis para la</t>
  </si>
  <si>
    <t>Fernández Muñoz, Juan María</t>
  </si>
  <si>
    <t>Juan María Fernández Muñoz</t>
  </si>
  <si>
    <t>ranaderos á D. Francisco Alonso Moran; de fusileros á D. Francisco Xavier de Llamas, y de bandera á D. Juan María Fernandez Muñoz, los tres últimos vecinos de la expresada ciudad. Asimismo S. M. se ha servido conceder á D. Francisco de la Cuesta, Ayudante del Regimiento de infantería provincial de Valladolid</t>
  </si>
  <si>
    <t>Fernández Navarrete, Sebastián</t>
  </si>
  <si>
    <t>Sebastián Fernández Navarrete</t>
  </si>
  <si>
    <t>e Esquivel, D. Manuel Cámara y D. Faustino Vitori• ca, y Seminaristas D. Gerónimo y D. Juan Maza, y D. Sebastian Fernandez Navarrete, quienes diéron por sentado que la Religión Cristiana es verdaderamente revelada por Dios , y lo probáron por los milagros de Jesucristo y de los Apóstoles, por las profecías y su</t>
  </si>
  <si>
    <t>Fernández Palomares, Julián</t>
  </si>
  <si>
    <t>Julián Fernández Palomares</t>
  </si>
  <si>
    <t>informes debidos hasta el día 2 de Noviembre próximo, en que ha de proveerse en el mas benemérito. D. Julián Fernandez Palomares, Profesor del noble arte de pintura y de vidrio á fuego en la ciudad de Toledo, y Maestro de grabado sobre pieles en aquella Catedral, ha descubierto el secreto de grabar sobre pí</t>
  </si>
  <si>
    <t>Fernández Peredo, Buenaventura</t>
  </si>
  <si>
    <t>Buenaventura Fernández Peredo</t>
  </si>
  <si>
    <t>1044 García de Agnírre y D. Buenaventura Fernandez Peredo. Asimismo se ha dignado S. M. conferir el Corregimiento de Chiquimula de la Sierra, en el Reyno de Goatemala, á D. Manuel Viilarroel y Morales, Por providencia de D. Antonio Basil</t>
  </si>
  <si>
    <t>Fernández Peredo, Diego</t>
  </si>
  <si>
    <t>Diego Fernández Peredo</t>
  </si>
  <si>
    <t>granaderos ají de fusileros D. Josef María ide Castro ; á Capitanes á los Tenientes de grar nádenos D. Diego Fernandez Peredo y D. Francisco Arandía; á Tenientes de granaderos á los de fusileros D. Juan de Dios Ortega y D. Josef Arechavala; á Tenientes al Subteniente de granaderos D. Juan Josef Pinto, y á lo</t>
  </si>
  <si>
    <t>Fernández Reyna, Manuel</t>
  </si>
  <si>
    <t>Manuel Fernández Reyna</t>
  </si>
  <si>
    <t>go González y D. Gonzalo Carvajal; y ha nombrado Subteniente de bandera del de Alcázar de S. Juan á D. Manuel Fernandez Reyna. Ei Rey se ha dignado nombrar para la plaza de Alcalde de su Real Casa y Corte, vacante por fallecimiento de D. Francisco Gutiérrez Vigil de Quiñones, á D. Tomas Casanova de Arnue</t>
  </si>
  <si>
    <t>Fernández, Alonso</t>
  </si>
  <si>
    <t>Alonso Fernández</t>
  </si>
  <si>
    <t>dero de Dott Lorenzo González, D. Antonio Abad, D. Tomas de Fuentenebro, vecino de Aranda de Duero, D Alonso Fernandez, los herederos de otro de igual nombré, el curador de D. Lorenza Pascual de Iriarte, D. Joaquín de la Raya, vecino de Granada, los hijos de D.‘Santiago Irrisarri, los herederos de</t>
  </si>
  <si>
    <t>án, D. Miguel Zapiain: Ayudantía en el de infantería de la Corona al Teniente, graduado de Capitán, D. Alonso Fernandez; y Subtenencia de bandera en el de Irlanda al Cadete D. Tomas Naghten. En el Regimiento de caballería del Rey se ha servido S. M. conceder Tenencia al Alférez D. Ildefonso Villar:</t>
  </si>
  <si>
    <t>Fernández, Antonio</t>
  </si>
  <si>
    <t>Antonio Fernández</t>
  </si>
  <si>
    <t>del Sr. D. Torquato Antonio Collado, Teniente Corregidor de esta villa, y escribanía del número de D. Antonio Fernandez, se han sacado á pública subasta, por término de 30 días contados desde el 4 del presente, las fincas siguientes: una tierra en término del lugar de Villaverde, del otro lado del</t>
  </si>
  <si>
    <t>,449 rs. Quien quisiere haceypostura acuda ante dicho Sí, Teniente^ por la escribanía del.número dé D. Antonio Fernandez. „ , Por el referido Sr. Teniente, y escribanía de D. Ramón de Milla Cuellar, se ha mandado sacar á pública subasta, por términb de 30 dias contados desde el 17 del corriente, otr</t>
  </si>
  <si>
    <t>encia del Sr. D. Torquato Antonio Collado, Teniente Corregidor de esta villa, por ante el Escribano D. Antonio Fernandez, para el remate de una casa sita en la plazuela de los Truxillos ó del Clavel, núm. 4, manz. 399 , tasada en 116,449 rs’»jcuya .cantidad dan por ella en vales Reales, con rebaxa d</t>
  </si>
  <si>
    <t>ere hacerla acuda ante el Sr. Teniente Corregidor D. Torquato Antonio Collado, por la escribanía de D. Antonio Fernandez. Tercera edición del Febrero reformado y anotado, ó Librería de Escribanos, que compuso D. Josef Febrero, Escribano Real, y ha reformado en su lenguage, estilo, método y muchas de</t>
  </si>
  <si>
    <t>ñalando 30 días-de término para la puja del quarto. Quien quisiere hacerla acuda á la escribanía de D. Antonio Fernandez. Se ha señalado el dia 17 del corriente para el remate de una casa sita en la pía-,, zuela de Antón Martin, núm. 9, manz. 237, tasada en 118,645 rs., y dan por ella, las dos terce</t>
  </si>
  <si>
    <t>cerla acuda ante el Sr. D. León de Sagasta, Teniente Corregidor de esta villa, por la escribanía de D. Antonio Fernandez. El Sr. D. León de Sagasta, Teniente Corregidor de esta villa, ha señalado el dia 3. de Junio próximo para el remate de quatro casas : una en la calle de Emba</t>
  </si>
  <si>
    <t>3 2,994 fs.’ Ouiefl quisiere hacef postura acuda á la escribanía de D. Antonio Fernandez. El Sr. Intendente de esta provincia, por su decreto de 19 de Setiembre último, se ha servido aprobar, y mandar se publique por 30 días mas para la mejora del quarto, el remate de</t>
  </si>
  <si>
    <t>Fernández, Francisco</t>
  </si>
  <si>
    <t>Francisco Fernández</t>
  </si>
  <si>
    <t>221 de dragones de Pavía y Sagunto á los Tenientes D. Francisco Fernandez j D. Lorenzo Martínez. En América. En el Regimiento de Milicias disciplinadas de caballería de Ferreñafe, en el Reyno del Perú, se ha dignado el Rey conceder Compañía á D. Josef C</t>
  </si>
  <si>
    <t>;.. D. Juan Casou jr eómpafiía. En Amia,*............ D. Josef Piguerás Gómez. En Badajoz.......... D. Francisco Fernandez de la 'Peña y 5. Miguel. En Barcelona....... D. Ramón de Liordeíla é hijo. En Btírgos.......... D. Andrés Fraylfe. En Cádiz............... D. Benito dé la Piedra. En Cartagena*..... D.</t>
  </si>
  <si>
    <t>o conceder en el Regimiento de infantería de Astil» rias Subtenencia de bandera al Sargento primero D. Francisco Fernandez. La Real Junta Superior gubernativa de Farmacia, conseqüente á lo que tiene manifestado en el Edicto de 18 de Abril último, Diario y Gazeta de Madrid de 18 y 25 del mismo mes, hac</t>
  </si>
  <si>
    <t>Portaestandarte: ai Sargento^priqiero í) Ildefonso Ramírez; en el ae la Reyna Ayudantía al Teniente D. Francisco Fernandez; y.en el del Infante .empleo de Alférez ;:al Portaestandarte D. -Antonio Mota. En América. En ,el Regimiento de Milicias disciplinadas de 'caballería de la frontera de Buenos-Ayre</t>
  </si>
  <si>
    <t>.... D. Juan Casou y compañía. En Avila.............. D. Josef Piqueras Gómez. En Badajoz.......... D. Francisco Fernandez de lJ*Peña y S. Miguel. En Barcelona....... D. Ramón de Llordella é hijo. En Burgos............ D. Andrés Frayle. En Cádiz............... D. Benito de la Piedra. En Cartagena...... D</t>
  </si>
  <si>
    <t>Fernández, Lorenzo</t>
  </si>
  <si>
    <t>Lorenzo Fernández</t>
  </si>
  <si>
    <t>urias. En el Regimiento de caballería de Borbon se ha servido el Rey conceder Ayudantía al Teniente D. Lorenzo Fernandez; y en el de Santiago empleo de Portaestandarte al Cadete D. Juan Bautista Delgado. También se ha servido S. M. conceder Tenencias en los Regimientos de dragones de la Reyna y Paví</t>
  </si>
  <si>
    <t>Fernández, Manuel</t>
  </si>
  <si>
    <t>Manuel Fernández</t>
  </si>
  <si>
    <t>anaron el Caballero Seminarista mayor D. Francisco Barraycta: los gefes ae sala D. Alonso Alvarado, D. Manuel Fernandez, D. Sebastian Gorvea y D. Ramón de Zuloaga: los gefes de trozo D. Pedro Tavira, D. Manuel Ferrando, D. Josef de Castro, Cadete de Reales Guardias Walonas, Don Josef Fernandez, D.</t>
  </si>
  <si>
    <t>ras vencidos, y el consejo de Jetró. Ultimamente , gano este mismo premio el Caballero Gefe de sala D. Manuel Fernandez, quien habló con extensión de la ley dada á ios Israelitas, y sangre de la alianza: de Moyses en el monte Sinaí, explicando todo lo que Dios le mandó que hiciese en orden al culto</t>
  </si>
  <si>
    <t>o de la villa de Herrera del Rio Pisuerga, en el Obispado de Palencia, vacante por fallecimiento de D. Manuel Fernandez, á D. Saturnino de Sta. María, Oficial tercero retirado del Ministerio de Mjarina: para el Préstamo Beneficio simple de la Parroquia de Villarejo e*.</t>
  </si>
  <si>
    <t>o combate naval de 21 de Octubre de 1805, dixo en,la IgJesia.mayor .de,,d;ichó Departamento el. Dr- D. Manuel Fernandez(Varpdaijj.Correspondie^tepde.la. Real Academia de la Historia, Colegial y Rector- que fué en elMayor.de Fonsecay jUnil. versidad Üe Santiago Sec.*. papel en folio marquilla, con l</t>
  </si>
  <si>
    <t>Fernández, Pedro Antonio</t>
  </si>
  <si>
    <t>Pedro Antonio Fernández</t>
  </si>
  <si>
    <t>de Corral, calle de los,Tintes, á la de Toledo. 1 El Repaso de doctrina moral, puesta en verso por D. Pedro Antonio Fernandez, Rector de Santiago de Albarracin: 2 tomos en 11.° Se hallarán en la librería de Castillo, frente á las gradas de S, Felipe. Romance historial de la sagrada pasión y muerte de Jes</t>
  </si>
  <si>
    <t>ar para una Canongía de la Catedral de AIbarracin, vacante por fallecimiento de D. Manuel Moreno, á D. Pedro Antonio Fernandez : para un Beneficio en la villa de Momblaneh, Diócesi de Tarragona, vacante por muerte de D. Tomas Boitas, á D. Lorenzo Guinovar: para otro en la Parroquia de Sta. Pau, Diócesi de</t>
  </si>
  <si>
    <t>gona, vacante por promoción de D. Fernando Ximenez Vallejo al Priorato de S. Hipólito de Córdoba: á D. Pedro Antonio Fernandez para la Dignidad de Tesorero de la Catedral de Albarracin, vacante por muerte de D. Manuel Oñate: á D. Miguel Pagós para una Capellanía residencial de la Parroquia de Santa María</t>
  </si>
  <si>
    <t>Fernando, Archiduque</t>
  </si>
  <si>
    <t>Archiduque Fernando</t>
  </si>
  <si>
    <t>stbs 1.5®. hombres viniéron4 parar al exército de -Soult en Memmingen, y fpérori hechos,pedazos.-El Archiduque Fernando, desasosegado y descontento de Id¡iposicieíióqtfle «¡tftüiac.en. Ulma,; cometió’ una*¡falta gravísima; pues hizo una salida con 20® hombres á buscar el camino de.Bo*2 hernia porSt</t>
  </si>
  <si>
    <t>senté tratador x.( Los países de Saltzburgo y de Berchtolsgaden , pertenecientes á S. A. R. y E. el Archiduque Fernando, serán incorporados al Imperio de Austria, y S. M. el Emperador de Alemania y de Austria los poseerá en toda propiedad y soberanía personalmente con el título de Ducado. xi. S. M.</t>
  </si>
  <si>
    <t>. LaGazeta de Wurtzburgo anuncia que el Principado de Osnabruck, en Westfalia, ha sido conferido al Archiduque Fernando, que desde el recenso general de Ratisbona de 1802 era'Soberano del Brisgau, para indemnizarle del Ducado de Módena. Esta noticia merece confirmación. Stuttgardt 14 de Enero. Escr</t>
  </si>
  <si>
    <t>'i^ncésas4nteS;-.d^i^4§l!gor^nte?ik; . ¿ sbíyhlh nk'^vc? .'..Sfe«roneras duTurquía el exército del Archiduque Fernando: ignoramos quáí: sea'su intención, S. M. eltEmpgrador Ea/conferido á. su hermano el Archiduque. sJuan la. ^ruz de ;Gomendad©rr y gl General en gefe Ruso Conde de Kutuspw la Gr¿h )</t>
  </si>
  <si>
    <t>como cosa positiva que se trata de arreglar de nuevo el punto de las indemnizaciones prometidas al Archiduque Fernando, que primero</t>
  </si>
  <si>
    <t>iías que dos años hace fuércn reunidas ai Principado de Bamberg, han sido cedidas por la Baviera al Archiduque Fernando; en virtud de las disposiciones del tratado de Presburgo. Este Príncipe ha confirmado todas las leyes y ordenanzas que rigen ahora en el país de Wurtzburgo, y los empleados contin</t>
  </si>
  <si>
    <t>o y examinando las fronteras orientales , el Archiduque Juan las meridionales de la Monarquía, y el Archiduque Fernando está viajando para pasar revista á las tropas en Moravia y en Silesia. ALEMANIA. Ratisbona 28 de Mayo. El Barón de Albini, Ministro Directorial de S. A. S. el Elector Archicanciüer</t>
  </si>
  <si>
    <t>tria ha nombrado para el Obispado de Waitzen, en Hungría, á su sobrino el Príncipe Carlos, hijo del Archiduque Fernando : vale en renta anual aquella Mitra unos 20© florines. Con fecha de 16 del corriente escriben de Hamburgo que de resultas de las mudanzas acaecidas en la Alemania Meridional y Occ</t>
  </si>
  <si>
    <t>Fernando, Princesa</t>
  </si>
  <si>
    <t>Princesa Fernando</t>
  </si>
  <si>
    <t>* . Ayer, antes de la revista, visitó S. M. I. á la viuda del Príncipe Henrique, al Príncipe y á la Princesa Fernando , quienes haa tratado siempre á los Franceses con la mayor cordialidad. La hermana del Rey de Prusia, Princesa Electoral de Hesse Cassel, se halla de parto en el mhmo palacio de B</t>
  </si>
  <si>
    <t>Fernando, Príncipe</t>
  </si>
  <si>
    <t>Príncipe Fernando</t>
  </si>
  <si>
    <t>e á sostener la causa común. En la guerra de 7 años algunos Regimientos Ingleses, á las órdenes del Príncipe Fernando, decidieron el suceso de la batalla de Minden *. de este modo se cubre una nación de gloria: sic itur ¿id astra. -Con el valor de sus tropas, y no solo pagando extrangeros, consig</t>
  </si>
  <si>
    <t>de 19 batallones de infantería, 20 esquadrones de caballería y dos baterías , baxo las ordenes del Príncipe Fernando. —El General deKalkreuth tiene todavía su quartel general en Pasewalk. _ Los Suec*» bloquean ahora todos nuestros puertos.</t>
  </si>
  <si>
    <t>se cree que irá acompañado del Conde de Haugwitz. Ya van caminando todos los hermanos de S. M.; el Príncipe Fernando ha ido á Saxonia. En Magdeburgo esperan á Mr. de Moéllendoríf y ai Duque de Brunswick. La Cámara Real de la Guerra de Eichfeld-Erfurth ha publicado, de orden del Rey, que todos lo</t>
  </si>
  <si>
    <t>to del Gran Federico, qüe ésta colgado y amueblado d_í mismo modo que al tiempo de su muerte. __ El Príncipe Fernando h ’nnano del Gran Federico, ha quedado en Berlín-___ En el arsenal de Berlia se han hall.; do 5^00 cañones, mu chais .miles- de quintales de polvera, y michos miles de fusile!;—-E</t>
  </si>
  <si>
    <t>General Milhaud, y que consta como sigue de los Regimientos: infantería, Treuenfels, Zeuge, Siech, Príncipe Fernando: caballería, Conde de Heukel, Husing, Carabineros , Suériting, Holzendorf y Balliodz: ocho cañones de 6, un caxon y un destacamento de húsares de Bela: quedarán en poder dé las tr</t>
  </si>
  <si>
    <t>de la revista fue presentado el Príncipe Augusto al Emperador, quien le envió á casabe su-padre, el Príncipe Fernando, para que se curase y descansase. . * . Ayer, antes de la revista, visitó S. M. I. á la viuda del Príncipe Henrique, al Príncipe y á la Princesa Fernando , quienes haa tratado sie</t>
  </si>
  <si>
    <t>Fernanes, Gregorio</t>
  </si>
  <si>
    <t>Gregorio Fernanes</t>
  </si>
  <si>
    <t>o Suarez: para la Canongía de este al Racionero D. Francisco Angel del Camino: para esta Prebenda á D. Gregorio Fernanes; y para la Media-Ración que este dexa al Cura de ia Parroquia de Santa Cruz de la propia ciudad D. Manuel Antonio del Castillo: para Ración de la misma Catedral de Puebla á D. Jua</t>
  </si>
  <si>
    <t>Fernapd'éz, Pedro</t>
  </si>
  <si>
    <t>Pedro Fernapd'éz</t>
  </si>
  <si>
    <t>bien.jr prosperidad de estos ReynpSí.dedtcada.al'jPvesidénte del mismo Supremo Consejo' por éí Lie. D. Pedro Fernapd'éz]Ha^ar;^éíe|;'.Sé pone, a continuación una carta ins-^ truétiva y curiosa dé Lelio Peregrino,a,Estanislao Borhió, Privado del Rey^de Pó— Ipnial Esta obra apreciable cpntiéjié;é?cel</t>
  </si>
  <si>
    <t>Ferrá, Juan</t>
  </si>
  <si>
    <t>Juan Ferrá</t>
  </si>
  <si>
    <t>S. Ildefonso á D. Juan Manuel Bedoya, Canónigo Lectoral de la misma. S. M. se ha servido nombrar á D. Juan Ferrá para una Canongía de la Catedral de Mallorca: á D. Jacinto Costa para la Canongía Doctoral de la Catedral de Vique: á D. Francisco Llor para un Beneficio de la Colegial de Manresa</t>
  </si>
  <si>
    <t>Ferran, Buenaventura</t>
  </si>
  <si>
    <t>Buenaventura Ferran</t>
  </si>
  <si>
    <t>o: nombrar para una plaza de Oidor de la Real Audiencia de Cataluña", vacante por fallecimiento" dé D. Buenaventura Ferran, á D. Josef Francisco de Másdevall ; y para la de Alcalde del Crimen que resulta-vacante en la misma Audiencia, á D. Josef Joaquín Ortiz y Galvez, En América. S. M. se ha dignado</t>
  </si>
  <si>
    <t>Ferran, Julián</t>
  </si>
  <si>
    <t>Julián Ferran</t>
  </si>
  <si>
    <t>la Capellanía mayor de la Parroquia de. Llaneras, Diócesi de Gerona, vacante, por fallecimiento de D. Julián Ferran... . El Mercurio de España de 15 de Agosto, num. 15, se hallará en el despacho de la Imprenta Real, y en Cádiz en casa de D. Manuel Navarro. Contiene la introducción al nuevo Regl</t>
  </si>
  <si>
    <t>Ferran, Melchor</t>
  </si>
  <si>
    <t>Melchor Ferran</t>
  </si>
  <si>
    <t>celona , vacante por promoción de D. Francisco Roquer al Curato de Valcarcara en aquella Diócesi, á D. Melchor Ferran; y para un Beneficio de la Parroquial de Santiago de la ciudad de Zaragoza á D. Josef Aparicio de Verge. S. M. se ha servido promover á Coroneles de los Regimientos primero y terc</t>
  </si>
  <si>
    <t>Ferrand, General</t>
  </si>
  <si>
    <t>General Ferrand</t>
  </si>
  <si>
    <t>rancesa 3 semanas ántes, y había desembarcado 1500 hombres para reforzar la guarnición que manda el General Ferrand. Supo la llegada de los Franceses á Santo Domingo por el Capitán Cochrane,, que había observado ios movimientos de la esquadra hasta verla anclar en la Bahía: informado de esto el</t>
  </si>
  <si>
    <t>Ferrando, Juan</t>
  </si>
  <si>
    <t>Juan Ferrando</t>
  </si>
  <si>
    <t>tados desde el 17 de este mes. Los acreedores que se estimen con derecho á los bienes de la masa de D. Juan Ferrando comparecerán dentro del perentorio término de un año, contado desde el dia 6 del,presente, en el Tribunal del Consulado de Cádiz, por la escribanía de D. Melchor Nicolás Truxillo,</t>
  </si>
  <si>
    <t>Ferrando, Manuel</t>
  </si>
  <si>
    <t>Manuel Ferrando</t>
  </si>
  <si>
    <t>D. Manuel Fernandez, D. Sebastian Gorvea y D. Ramón de Zuloaga: los gefes de trozo D. Pedro Tavira, D. Manuel Ferrando, D. Josef de Castro, Cadete de Reales Guardias Walonas, Don Josef Fernandez, D. Josef Martínez , D. Manuel Cámara y D. Faustino Vitorica; y los Seminaristas D. Pedro Cendeja, D. M</t>
  </si>
  <si>
    <t>, D. Ramón de Zuloaga, D. Ramón Carrillo y D. Manuel Fernandez: los Gefes de trozo D. Pedro Tavira, D. Manuel Ferrando, D. Josef de Castro, Cadete de Reales Guardias Walonas, Don Josef Fernandez, D. Josef Martínez, D. Manuel Cámara y D. Manuel Abbad: y los Seminaristas D. Ceferino Carrillo, D. Tor</t>
  </si>
  <si>
    <t>Ferrando, Pablo</t>
  </si>
  <si>
    <t>Pablo Ferrando</t>
  </si>
  <si>
    <t>Pedro Sánchez Pavón, D. Juan Ortiz de Zárate, D. Antonio Albuerne, D. Pablo Unda, D. Josef Silvan, D. Pablo Ferrando, D.AIexandro Lagoa, D. Eugenio de Zuloaga, D. Josef Bassóco, D. Vicente Bas$óco,D. Matías de la Torre, D. Joaquín Ossés, D. Gerónimo Maza, D. Juan Maza, Don Bernabé de Otálora, D.</t>
  </si>
  <si>
    <t>Ferraz, Salvador</t>
  </si>
  <si>
    <t>Salvador Ferraz</t>
  </si>
  <si>
    <t>mediante haber quedado sin efecto'la gracia que S. M. hizo de él á D.Hosef , Pascasio Figueroa,. á D. Salvador Ferraz, Capellán de los expresados Hospitales en Roma. &gt; El Rey se ha servido conceder Subtenencias de bandera en los Regimientos de infantería de Navarra é Hibernia á los Cadetes D. Alb</t>
  </si>
  <si>
    <t>Ferrer Merino, Vicente</t>
  </si>
  <si>
    <t>Vicente Ferrer Merino</t>
  </si>
  <si>
    <t>omunicarles asuntos que les interesa. Quien tenga alguna noticia se servirá comunicarla en Madrid a D. Vicente Ferrer Merino , Agente de Negocios de los Reales Consejos, que vive en la calle de los Leones, núm. 16. Memorial literario, niim. 15 de este año. Contiene noticias relativas á varias tribus de</t>
  </si>
  <si>
    <t>Ferrer, Miguel</t>
  </si>
  <si>
    <t>Miguel Ferrer</t>
  </si>
  <si>
    <t>vacante en la Parroquia de Cambrils, Diócesi de Tarragona, por fallecimiento de D. Miguel Planas: á D. Miguel Ferrer para otro con cargo de Sochantre, vacante en la Colegiata de S. Feliu de Gerona por muerte de D. Áiitonio-Comas. , S. M. se ha servido conceder en los Regimientos de infantería de</t>
  </si>
  <si>
    <t>Ferrery Rafael Granda, Miguel</t>
  </si>
  <si>
    <t>Miguel Ferrery Rafael Granda</t>
  </si>
  <si>
    <t>Subtenientes de bandera al Sargento primero D. Nicolás Naranjo, y á los Cadetes D. Antonio Arango, D. Miguel Ferrery Don Rafael Granda. En el Regimiento de infantería de Cuba á Capitán al Teniente de granaderos D. Gil Josef Pacot; á Teniente de granaderos al de fusileros D. Josef Eligió; á Teniente de fusileros a</t>
  </si>
  <si>
    <t>Ferres y Parella, Pedro</t>
  </si>
  <si>
    <t>Pedro Ferres y Parella</t>
  </si>
  <si>
    <t>de Sta. María del Mar de la ciudad de Barcelona , vacante por fallecimiento de D. Josef Esparter, á D. Pedro Ferres y Parella; y para otros dos Beneficios residenciales de la Catedral de Gerona, vacantes por promoción de D. Josef Ferrer á Canongía de la Colegiata de S. Feliu, y por ascenso de D. Antonio</t>
  </si>
  <si>
    <t>Fesch, Cardenal</t>
  </si>
  <si>
    <t>Cardenal Fesch</t>
  </si>
  <si>
    <t>e \%ob.zzHenrique Bailie.” 7 n■ francia: \.r :■ .1 - París 28 de Abril. .. ■. 0 ^Se asegtfra que el Cardenal Fesch vendrá pronto á Francia, y será reemplazado en su embaxada de Roma por Mr. Alquier. Se dice también que el General Beurnonviile vendrá á ocupar su plaza en el Senado, y que tendrá</t>
  </si>
  <si>
    <t>nta del nombramiento de Rey de Holanda *, del consentimiento del Emperador Napoleón á que admita el Cardenal Fesch la elección hecha por S. A. Electoral el Príncipe Archi-Canciller del Imperio Germánico, designándole por su coadjutor y sucesor; del nombramiento de Príncipe dé Benevento á Mr. de Tal</t>
  </si>
  <si>
    <t>ones importantísimas, ha creído no poder echar mano de otro sugeto mas digno que de S. Erna. Mr. el Cardenal Fesch, cuyos antepasados hicieron muy señalados servicios públicos en Alemania en los siglos xv y xvi; y hallándose ahora en lo mas florido de la edad, y siendo ya Cardenal de la Santa</t>
  </si>
  <si>
    <t>i, Ministro dírectorial, relativa á la elección que ha hecho S. A. S. el Elector Archicanciller del Cardenal Fesch para su coadjutor, ha producido en la Dieta una gran sensación. Todos los sugetos á quienes debis sorprehender mas esta novedad,y de quienes se esperaba con algún fundamento que l</t>
  </si>
  <si>
    <t>onseñor el Elector Archi-Canciller comunicó á la Corte de Viena el nombramiento que había hecho del Cardenal Fesch para su Coadjutor. Con fecha de 18 de Junio ha remitido S. M. I. una carta, no á la Dieta, sino al Elector Archi-Canciller en persona, exponién-, dolé el punto de vista baxo el qu</t>
  </si>
  <si>
    <t>ado, dándole cuenta del nombramiento de su hermano Luis para Rey de Holanda , y de que á su ti o el Cardenal Fesch le habían elegido para sucesor de Archi-Canciller de Alemania; tratado entre Francia y Holanda; nombramientos de Príncipes al Ministro de Relaciones exteriores Mr. de'Taileyrand,</t>
  </si>
  <si>
    <t>Fescn, Cardenal</t>
  </si>
  <si>
    <t>Cardenal Fescn</t>
  </si>
  <si>
    <t>ador de Austria al Archi- Canciller del Imperio Germánico en el asunto relativo al nombramiento del Cardenal Fescn á la Dignidad de Coadjutor. Dicha carta es lacónica, y generalmente ha parecido fría, y como dictada con bastante disgusto. El Elector de Badén ha participado á S. M. el Rey de Su</t>
  </si>
  <si>
    <t>Fezenzac</t>
  </si>
  <si>
    <t>Los sentimientos expresados en esta carta son comunes Á todos los Franceses. Escriben de-Auch, que Mr. Fezenzac, antiguo Mariscal de Campo, y -cabeza* de la ilustre casa de su nombre, después de haber reparado á sus expensas la Iglesia de/Marsan, pueblo que habita , ha adquirido un presbite</t>
  </si>
  <si>
    <t>Fiancisco Lemaur</t>
  </si>
  <si>
    <t>Director Subinspector al CoTonel D. Manuel Mascaré: á Teniente Coronel al Sargento mayor de brigada D. Fiancisco Lemaur: á este empleo al Capitán primero D. Eleuterio Cebollino; y al que este dexa al Capitán segundo D. Fernando Laserna* En América. En el cuerpo Provincial de caballería de Lanceros</t>
  </si>
  <si>
    <t>Fíarítisco VázqUez</t>
  </si>
  <si>
    <t>e laá Giéñciás dé.Lisboa 8fty; ñtfetfd trádufceiott mejorada én el estilo y en los versos pbr el Pí D. Fíarítisco VázqUez ¿ héchá por la íiltima edición qué publicó él autor, córrégidá f áudfíéhtádá éénr iiÓfaS íriüy Curiosas y óportunás. En la presente traducción se há pídéüíádo eXpré&amp;dt tódOS los p</t>
  </si>
  <si>
    <t>Fidel Fernández Bretón</t>
  </si>
  <si>
    <t>Don Francisco Antonio de Pando, del comercio de esta Corte,dirigió en 9 da Octubre próximo pasado á D. Fidel Fernandez Bretón, vecino de Hornillos, un vale Real de goo pesos, de la creación dé Setiembre,núm. 37702 , renovado á favor de dicho Pando, y cedidorpor- e.ste al,referido D. pidel;. y, habiéndose</t>
  </si>
  <si>
    <t>Fidel Spieler</t>
  </si>
  <si>
    <t>es D. Juan Baptista Duc y D. Mauricio Zenkfusen: en el de Wimpífen Subtenencia de bandera al Cadete D. Fidel Spieler; y en el de Traxler Subtenencia de granaderos al Subteniente de fusileros D. Basilio Chicherio. El Teniente General D. Juan María de Villavicencio,Comandante general de Marina en</t>
  </si>
  <si>
    <t>Fíetcher</t>
  </si>
  <si>
    <t>á quien se mandó comparecer en la Cámara por ciertas expresiones^ injuriosas hacia el ¿Secretario: Sir Fíetcher vNorthon- No se sabe si éñ ésta deasioii Mr. Fox ntí se ¡conformó con las instrucciones.que el Ministró le; habla dádóVÓ ¿fí el mismo: Ministro las: olvidó ó fingió, olvi-» darlas</t>
  </si>
  <si>
    <t>Figueroa, Rafael</t>
  </si>
  <si>
    <t>Rafael Figueroa</t>
  </si>
  <si>
    <t>artin ,. D. Fausto Esquerra-, IX Tomas. Ruiz Dávila, D. Luis-Bartolomé Calvo, D. Francisco Sarabia, D. Rafael Figueroa, D; Joaquín Martínez y D. Julián Guarisii, últimos tenedores respective que: fueron de 9 vales. Reales, de 150 pesos, creación de r 0 de Setiembre de 1804, núms. 160409,. 178300 ,</t>
  </si>
  <si>
    <t>Figuewla, Carlos</t>
  </si>
  <si>
    <t>Carlos Figuewla</t>
  </si>
  <si>
    <t>ertieh de la villa de Torruella de Montgri, Obispado de Gerona, por muerte de D. Francisco Gller: á D. Carlos Figuewla para una Canongía de la Colegial de Ager, nullius Diócesis, en Cataluña, vacante por promoción de D. Antonio Ros al Arciprestazgo de la misma Iglesia. En América, En el Batallón d</t>
  </si>
  <si>
    <t>Fitz, General</t>
  </si>
  <si>
    <t>General Fitz</t>
  </si>
  <si>
    <t>detuvo hasta cerca de medio dia. Por la tarde dió audiencia al Conde de Thanet, á Lord Holland, al General Fitz</t>
  </si>
  <si>
    <t>Fitz-Patrik, General</t>
  </si>
  <si>
    <t>General Fitz-Patrik</t>
  </si>
  <si>
    <t>os particulares á su sobrino, hijo del General Fox; y á sus amigos Lord Holland, el General Fox, el General Fitz-Patrik, Lord Roberto Spencer, Lord Fitz-William &amp;c. dexa parte de sus libros y quadros en testimonio de su carino. La guerra entre Francia y Prusia ha empezado. Las Gazetas de Hamburgo,</t>
  </si>
  <si>
    <t>Fitz-William, Conde</t>
  </si>
  <si>
    <t>Conde Fitz-William</t>
  </si>
  <si>
    <t>en y malversaciones, y se obligaba á probarlo. La réplica se pufco sobre la tabla. Luego propuso el Conde Fitz-William que el juicio de HenriqueLord Vizconde Melleville se abriese el 29 de Abril próximo á las 11 del dia, y se enviase un mensage á la Cámara de los Comunes para informarla de esta de</t>
  </si>
  <si>
    <t>Fitz-William, Lord</t>
  </si>
  <si>
    <t>Lord Fitz-William</t>
  </si>
  <si>
    <t>ral Fox; y á sus amigos Lord Holland, el General Fox, el General Fitz-Patrik, Lord Roberto Spencer, Lord Fitz-William &amp;c. dexa parte de sus libros y quadros en testimonio de su carino. La guerra entre Francia y Prusia ha empezado. Las Gazetas de Hamburgo, que llegan hasta el 17 del corriente , nó</t>
  </si>
  <si>
    <t>Fitzgerald, Carlos</t>
  </si>
  <si>
    <t>Carlos Fitzgerald</t>
  </si>
  <si>
    <t>fusileros Conde de la Vegá del Pozó: en el de Hibernia Coronel al Teniente Cpr°oel del de XJltonia Don Carlos Fitzgerald: Tenencias en el Inmemorial del Rey¡yel expresado de Ultonia á los Subtenientes de granaderos D. Salvador Ceoollino y D. Vicente Magrat; y Subtenencia de bandera en el de Voluntar</t>
  </si>
  <si>
    <t>Fiwatz, Nicolás</t>
  </si>
  <si>
    <t>Nicolás Fiwatz</t>
  </si>
  <si>
    <t>de Flue y D. Alfonso Josef Mayr : en él de Reding número 3.0 Tenencia al Subteniente de granaderos D. Nicolás Fiwatz; y en el de Reding núm. 2.0 el empleo de Teniente Coronel ai Sargento mayor del mismo D. Josef Chaqué , graduado de Teniente Coronel. Teniendo el RErén consideración los dilatados</t>
  </si>
  <si>
    <t>Flaminio Agacini y Bilbao</t>
  </si>
  <si>
    <t>ón Arias y Toubes, D. Ignacio Chacón, D. Angel Valdes y Diaz Canalizo, D. Julián Morales y Sánchez, D. Flaminio Agacini y Bilbao, D. Tomas de Torres y Zapata, y D. Manuel Croquer. En América. El Rey se ha dignado promover á Capitán de la Compañía de infantería veterana íixa de Popayan al Capitán D. Antonio</t>
  </si>
  <si>
    <t>Flood, Lorenzo</t>
  </si>
  <si>
    <t>Lorenzo Flood</t>
  </si>
  <si>
    <t>del Regimiento de infantería de Hibernia al Teniente Coronel del mismo Cuerpo, graduado de Coronel, D. Lorenzo Flood: la Tenencia Coronela del ae Extremadura al Teniente Coronel, agregado al de Saboya, graduado de Coronel, D. Carlos de Velasco: Compañía en el de Voluntarios de la Corona al Cabal</t>
  </si>
  <si>
    <t>Flores Picón, Juan</t>
  </si>
  <si>
    <t>Juan Flores Picón</t>
  </si>
  <si>
    <t>Dean de la misma Iglesia; y para una Rae ron de la Catedral de Málagavacante: por fallecimiento de D. Juan Flores Picón,á D. Juan LÍ-* nar y Castelli, Capellán de la Parroquia de S. Pedro de dicha ciudad. S. M. se ha servido conceder en e! Regimiento de infanterías-de^Eliberniá Ayudantía al Tenient</t>
  </si>
  <si>
    <t>Flores Valle, Juan</t>
  </si>
  <si>
    <t>Juan Flores Valle</t>
  </si>
  <si>
    <t>emadura, al Subteniente B. Manuel Victorio ; y Subtenencias de bandera: errel &lt;de Zamprta al Cadete D. Juan Flores Valle jo, yb eÁ el de Voluntarios de la Corona al Cadete del de Navarra D. Santiago Bermudez y Armada. El dia 17 del pasado falleció en esta Corte, á los 65 años de edad no cumplidos, e</t>
  </si>
  <si>
    <t>Florez Quevedo, Pedro</t>
  </si>
  <si>
    <t>Pedro Florez Quevedo</t>
  </si>
  <si>
    <t>mara los dos Reales Decretos del tenor siguiente: ,,Eh atención á los méritos y buenos servicios de D. Pedro Florez Quevedo, Fiscal del Consejo,de Hacienda, he venido en concederle plaza de Ministro togado del mismo Tribunal, que se halla vacante por fallecimiento de J). Luis Alvarez de Mendieta; y par</t>
  </si>
  <si>
    <t>Florian</t>
  </si>
  <si>
    <t>, calle de las Carretas. Eliezer y Kefjtali; poeAvaten 4 cantos , traducido dedas obras postumas de Mr. Florian : un.tomp en.tS.^^i ^ rs.enrústicay 7 en pasta. Se hallará én la librería de Orea, calle dé la Montera. Mapa geográfico-dp les-Rsynps de Polonia y Prusia, por D. Tomas López, Geóg</t>
  </si>
  <si>
    <t>Fo, General</t>
  </si>
  <si>
    <t>General Fo</t>
  </si>
  <si>
    <t>del mismo rhés el General Fo*, qne rbémplaza-al General Stuaft en reí mando rfe las tropas Inglesas en Sicilia, había llegado á la isla: salió de Gibral* tar el jo. Todavía no se ha publicado en la Gazeta de</t>
  </si>
  <si>
    <t>Foikstone y Mr, Lord</t>
  </si>
  <si>
    <t>Lord Foikstone y Mr</t>
  </si>
  <si>
    <t>nte este monumento á sus expensas , y se dé cúéñta de ello á S. M.” ^ ~ ; E1‘Marques de Titchfield, Lord Foikstone y Mr. H. Addington aprobaron la propuesta. * Mr., William Smith; ,, Con mucho sentimiento me veo obligado a votar contra la propuesta.....Se ha prodigado á Mr. Pitt el título de excele</t>
  </si>
  <si>
    <t>Folkstone, Lord</t>
  </si>
  <si>
    <t>Lord Folkstone</t>
  </si>
  <si>
    <t>s verá con complacencia este acto del reconocimiento público.” Mr. Bootle, Windham, Jorge Ponsonby, Lord Folkstone, Mrs. Smith y Fox habláron sucesivamente, y apoyaron la propuesta, que se adoptó unánimemente. Escriben de Calcuta, que los vecinos han decidido en una junta general vestir luto p</t>
  </si>
  <si>
    <t>Font, Antonio</t>
  </si>
  <si>
    <t>Antonio Font</t>
  </si>
  <si>
    <t>de S. Miguel» unido á otro de la misma invocación de la Catedral de Solsona, vacante por muerte de D. Antonio Font, i D. Ramón Riva. El Rey se ha servido conceder Tenencia en el Regimiento de infantería de Cantabria al Subteniente de granaderos D. Sebastian de Arcos; y Subtenencias de bandera</t>
  </si>
  <si>
    <t>Font, Miguel</t>
  </si>
  <si>
    <t>Miguel Font</t>
  </si>
  <si>
    <t>ido el Rey á Cadete de número al supernumerario D. Faustino Guillen , y á supernumerario al Guardia D. Miguel Font. j. S. M. se ha servido conceder en el Regimiento de infantería de América Tenencia al Subteniente D. Dionisio de Piedra; y en el de Hibernia Subtenencia de bandera al Sargento pr</t>
  </si>
  <si>
    <t>Fornier, Ramón María</t>
  </si>
  <si>
    <t>Ramón María Fornier</t>
  </si>
  <si>
    <t>nes dé la Rey na* y Pavía ¡se ha ^servido el Rp y.conceder ¡empleos. de Alférez á los Portaguiones ¡D. Ramón Mana Fornier y D. Joaquín Magallon: :én el de Sagunto Tenencia al Alférejz D. Vif cente Algarra ; y en el de Lusitania Compañía al Teniente CoroneLD» Fé** liX Arzü , Tehientéldel mismo' cuerpo. ¡</t>
  </si>
  <si>
    <t>Fourcroy</t>
  </si>
  <si>
    <t>tario de la Legación en Madrid, pasa á Comisario general de las Relaciones comerciales en Lisboa; y Mr. Fourcroy á Comisario también de Relaciones comerciales á la Coruña. Por decreto Imperial de 21 del corriente se manda exigir el derecho de 2^0 pesetas-por cada quintal decimal de chocolate</t>
  </si>
  <si>
    <t>del Cuerpo de enseñanza se pre;sentará en forma de ley al Cuerpo Legislativo en su sesión de 1810.” Mr. Fourcroy, uno de los tres Consejeros que presentaron el proyecto anterior, intentó probar en su discurso el engaño que padecían muchos padres de familias de que en los liceos no se estudia</t>
  </si>
  <si>
    <t>Fox</t>
  </si>
  <si>
    <t>sa mucha admiración á toda la Europa, y aun á sus propios vencedores. (Messenger.) La predicción de Mr. Fox se ha verificado. El Austria, la segunda de las Potencias continentales, ha perdido su antigua reputación y sus principales recursos. Privada de las.plazas fuertes que la servian</t>
  </si>
  <si>
    <t>nuevo gobierno que debe sucederle. Se habla de Lord Sidmouth ( Addington }, de Lord Welies2íey, de Mr. Fox, de Lord Grenville y de Lord Spencer; y aun no falta' quien hable de los Lores Gastlereagh y Hawkesbury. La voz solo de que ®e nombraba Ministro á Lord Sidmouth ha hecho baxar los</t>
  </si>
  <si>
    <t>nte pa a limitar el poderío de una Potencia enemiga , no contribuirá mas á su engrandecimiento.** „ Mr. Fox opinó como Lord Petty, y óixo que miraba en acuella ocasión como inútil el hacer un largo discurso á la Cámara, bien que confiaba en que los representantes del pueblo Ingles no&gt; m</t>
  </si>
  <si>
    <t>ue solo se concediéron al padre ilustre de este por quien los solicitan con mucha mérios justicia.” Mr. Fox. „Apuro cruel es este á que me hallo reducido, que me precise á manifestar una opinión contraria á aquellas personas cuya amistad eran las delicias de mi vida privada, y de quiene</t>
  </si>
  <si>
    <t>Canciller: Lord Grenville, primer Lord de la Tesorería: Lord Henry Petty, Canciller del Echiquier: Mr. Fox, Ministro de Negocios extrangeros: el Conde de Spencer, Ministro de lo Interior: Mr. Windham, Secretario de la Guerra y de las Colonias: Mr. Grey, primer Lord del Almirantazgo *.</t>
  </si>
  <si>
    <t>y romperán el silencio si creyesen* deber hacerlo, pues serán responsables de las conseqiiencias.” Mr. Fox preguntó si se habían dado á la Cámara otros documentos rcolativos al exército Ingles en el Continente. : ) : . . &gt; .: Lord Castlereagh respondió, creía que ¡no; pero que ese info</t>
  </si>
  <si>
    <t>ns, y en la unión del Reyno de Irlanda, operaciones que habían sido muy perjudiciales á aquel país* Mr. Fox , alabando el mérito particular del Marques de CornwaIfi% apoyó la propuesta con tanto mas gusto, por quanto no contenia la expresión de excelente estadista (aludiendo al epíteto</t>
  </si>
  <si>
    <t>sos á nuestros aliados. (Morning- Chronicle.) Ayer ha habido un Consejo de Gabinete en la posada de Mr. Fox, qué ha durado mas de dos horas. Aun se ignora su objeto. Hoy al mediodía Mr. Fox ha dado audiencia á los Ministros extrangeros. Los nuevos miembros deL\lmirantazgo se juntaron ay</t>
  </si>
  <si>
    <t>os, ha cedido la propiedad y dirección del teatro Real de Drury-Lane á su hijo Mr. Tomas Sheridan". Mr. Fox ha sido reelegido unánimemente miembro del Parlamento por Westminster. En la junta que ha habido con este motivo hizo un discurso, en que examinó el espíritu y el objeto de la ley</t>
  </si>
  <si>
    <t>ente. Ditblin 10 de Febrero. r Mr. Ryan, en cuya casa se juntan los Católicos Romanos, ha escrito á Mr. Fox felicitándole sobre su nueva promoción, recordándole el afecto de los Católicos Irlandeses hacia su persona, y manifestándole la esperanza de que el nuevo Ministerio se interesará</t>
  </si>
  <si>
    <t>esta expedición continuaban acercándose á la costa de Malabar. En varias ocasiones recientes había Mr. Fox dado á entender que estaba siempre dispuesto á favorecer Jas reclamaciones de los Católicos Irlandeses, y á hacer revocar, quando fuese ocasión, la acta de unión. Pero en la junta de</t>
  </si>
  <si>
    <t>á sus movimientos,voluntad y caprichos. Examinando luego la nueva formación del Ministerio, veia en Mr. Fox un estadista, considerado por las Potencias extran-*</t>
  </si>
  <si>
    <t>nión. Mediante esta exposición nadie se maravillará de la especie de debilidad y ambigüedad con que Mr. Fox se explica ahora sobre los negocios de Irlanda. El hecho es que quando ha entrado en el Ministerio se le puso por primera condición que renunciase á la idea de realizar las miras</t>
  </si>
  <si>
    <t>los del Caucase fueron subyugados por los Rusos. . GRAN BRETAÑA. Londres 2$ de Febrero. Según dicen Mr. Fox ha propuesto al Rey confirmar , en el empleo de Gobernador general de la India á Sir Jorge Barlow, encargado interinamente de el por el Marques de Cornwaliis, apoyando esta propue</t>
  </si>
  <si>
    <t>e negocio mas importante para la nación que la esquadriüa de Boloña, de que tanto se habia hablado.—Mr. Fox aplaudió f</t>
  </si>
  <si>
    <t>oldados, GRAN BRETAÑA. Lóndres $ de Marzo* Antes de ayer hubo Consejo de gabinete en el despacho de Mr. Fox, que duró bastante tiempo. No pretendemos saber ni anunciar lo que en él se ha tratado: nos contentaremos con decir que de resultas se despachó un correo. El Almirantazgo ha manda</t>
  </si>
  <si>
    <t>es de los católicos Irlandeses; deseaba salir de dudas sabiendo á qué atenerse sobre el particular. Mr. Fox respondió ignoraba de qué personas quería hablar, por cuya causa no podía contestar con mas exactitud; y qué por su parte diría su sentir sobre la qíiestiori, quandcf llegase ei c</t>
  </si>
  <si>
    <t>e haber sido inconseqiiente: ¿ no había ninguna inconseqüencia de que acusar al partido contrario ? Mr. Fox respondió á Mr. Perceval. Confesó había votado por el procedimiento criminal; pero lo habla hecho porque se había desestimado el impeachement , y se había hallado en la alternativ</t>
  </si>
  <si>
    <t>Londres el 30 de Marzo último á los 49 años de su edad. Los que han observado los primeros pasos de Mr. Fox en la carrera política, y que saben el uso que el pueblo Ingles hace de su libertad en las elecciones parlamentarias, se acordarán que jamas se ha presentado en las tabernas de West</t>
  </si>
  <si>
    <t>os del Gabinete Francés, que contienen probablemente la respuesta á la carta que suponen ha escrito Mr. Fox. Añaden que dos Oficiales Franceses han traído dichos pliegos á Deal el viérnes; pero como las cartas que hemos recibido de este puerto nada dicen de una cosa tan importante, duda</t>
  </si>
  <si>
    <t>a Cámara de los Comunes su plan de defensa del Reyno. Lord Castlereagh le combatió terriblemente, y Mr. Fox le defendió con un discurso , cuyo extracto publicaremos. Conforme á dicho plan los soldados sentarán plaza por tiempo limitado, y no para siempre. A los de infantería se les dará</t>
  </si>
  <si>
    <t>Mr. de Windham presentó en la Cámara de los Comunes suplan militar: Lord Castlereagk se opuso á él. Mr. Fox habló después</t>
  </si>
  <si>
    <t>rlamento el mensage siguiente del Rey. Lord Greuville le ha presentado en la Cámara de los Pares, y Mr. Fox en la de los Comunes. » Jorge Rey, S. M, cree conveniente anunciar á la Cámara que se ha visto en la precisión de mandar retirar su Ministro cerca de la Corte deBeriin, y de tomar c</t>
  </si>
  <si>
    <t>iisia en: Inglaterra^ con fecha de&gt; \*j de Marzo r con motivo de .dicha proclama. En esta Nota dice Mr. Fox, que si S. M. Prusiana juzga conveniente ocupar,militarmente él ^Electorado, no ve que sea por eso necesario destruir el gobierno civil, ni hacer sufrir á los habitantes la carga</t>
  </si>
  <si>
    <t>terio actual. El discurso de gracias* se adoptó unánimemente. Cámara de los Comunes. Ef 24 de Abril Mr. Fox hizo en esta Cámara, con motivo del mensage del Rey, el discurso siguiente: „ Es imposible que el mensage que acabamos de oir no excite la sensación mas viva en los miembros de es</t>
  </si>
  <si>
    <t>sentir jamas en transferir sus fieles y afecto* íúbditos Hannoverianos.” - ■ ... y-- . ' ^'Gónéluyó Mr. Fox su discurso,.proponiendo ;qn discurso’ de gracia* &amp; í; M.y]el que Se aprobó sin ninguna agosicioq./ . í . : . • j i,</t>
  </si>
  <si>
    <t>inión. En la votación hubo 119 votos á favor del impuesto propuesto por los Ministros contra 109. — Mr. Fox resumió en algún modo en estas palabras casí toda la discusión. „He oído , dixo, todas las opiniones que se han manifestado'; y todas, lo confieso, hán hecho graú de impresión en</t>
  </si>
  <si>
    <t>discusión que hubo ayer en la Cámara de los Comunes con nt^* fivo del plan militar de Mr. Windham, Mr. Fox pronunció un largo discurso manifestando la necesidad que habia de tomar varias disposiciones: quejóse de la distinción que qúeria hacerse entre el exército Real y las tropas leva</t>
  </si>
  <si>
    <t>atei acerca del Tribunal que debía conocer de los delitos de que se acusa al ex-Gobernador, propuso Mr. Fox se juntase la Cámara todos los días á las 11 de la mañana, como la de los Pares lo hizo en el asunto de Lord Melville, y examinase los testigos hasta las 4 de la .tarde, hora en q</t>
  </si>
  <si>
    <t>os para creer que los asuntos &lt;áe que se trata son de mayor importancia que lo que algunos suponen. Mr. Fox sigue mucho mejor de su enfermedad: ha pasado la noche de ayer bastante bien. Le asiste el Doctor Vaugham y otro Médico. Se ha descubierto el robo hecho en el Museo Británico de u</t>
  </si>
  <si>
    <t>initos correos que se envían los Gobiernos Francés^ Ingles. Mr. Basifico, que estaba al servicio de Mr. Fox; y qué le estima mucho, ha sido despachado á París; Es cierto que por ambas partes se procura entrar en negociación. Muchos se lisonjean que la paz se hará; pero los mas no tienen</t>
  </si>
  <si>
    <t>apar de este dé sastre y y han Hfcgtfdb* á • W ydals* &gt; (The rSmu )' *- »**•■-&gt; ■ - "-ib o 1 x Ayer Mr. Fox estuvo en estado de trabajar, y dio audiencia á varias personas en su casa: por ia tardé'salió á[dar uri paseo. Los dolores qüe ha padecido le han'dexado tal-debilidad én las pierna</t>
  </si>
  <si>
    <t>, ■ . J?¿iris 18 de Julio. ? 5: . \ . S^dice que Mr. Fox, habiendo dado permiso para venir á Francia al .General-Eappype y á (otr,os dos.mili/ares de distinción baxo palabra de hoñor, pidió con este motivo á S. M. I. la misma gracia par</t>
  </si>
  <si>
    <t>Holanda. { The Star.) Con grande satisfacción anunciamos al público el mejor estado de la salud de Mr. Fox. Ayer trabajó en su casa con diferentes personas. A las 10 y media llamó á un correo, y le detuvo hasta cerca de medio dia. Por la tarde dió audiencia al Conde de Thanet, á Lord H</t>
  </si>
  <si>
    <t>á la Dieta Germánica al presentar el manifiesto del Rey de Inglaterra contra Prusia; el discurso de Mr. Fox sobr; el mismo asunto; la capitulación del General Holandés Mr. Janssens con los Comandantes Ingleses en el Cabo de Buena-Esperanza; el discurso de los Embaxadores de Holanda pidi</t>
  </si>
  <si>
    <t>Ayer se extendió la voz de que Mr. Fox había dado sú d&amp;hiáion: el' estado de su salud lo hace muy probable. Ayer estaba un poiso mejor, pe-' ro no tan bien que sus amigos conciban grandes esperanzas ¡dé su restablecimi</t>
  </si>
  <si>
    <t>escoltará una esquadra numerosa, mandada probablemente por el Almirante Stirling. La enfermedad de Mr. Fox no es de tanto cuidado como han dicho algunos papeles, y ciertos sugetos que esperan lograr los empleos que vaquen por su fallecimiento. Podemos asegurar que ayer seguía mucho mej</t>
  </si>
  <si>
    <t>que salga de la mediocridad.' ¡ Y estos hombres serán llamados para salvar la patria si perdiese á Mr. Fox! Seria este el colmo del envilecimiento. Podemos decir, sin lisonjear á Lord Grenviile, que desprecia estos viles aduladores; Ni ofenderemos á los Lores Fitz-William, Moira &amp;c. co</t>
  </si>
  <si>
    <t>eo qué tiene de contribuir á la paz del ipundo. „ En Inglaterra el pueblo parece que quiere la paz. Mr. Fox y mucha parte de los miembros del Consejo, como son Mr. Erskine, los Lores Petty, Howich y Moira, y Mr. Sheridan tienen las mismas disposiciones. Las negociaciones principiadas desd</t>
  </si>
  <si>
    <t>dicos permiten, ver á Mr, Fox. Ayer, al cabo de varias irresoluciones, se decidieron ios Médicos de Mr. Fox á probar la operación de la punción: los síntomas se habían hecho tan temibles, que juzgaron era imprudente el dilatar por mas tiempo este medio. Hízose la operación á las 2 déla</t>
  </si>
  <si>
    <t>GRAN BRETAÑA. , ■ ' Londres 8 de Agosto. . Mr. Fox ha recibido algunas visitas desde que se le ha hecho felizmente la operación. Su semblante, que en el discurso de la enfermedad se había desfigurado notablemente, ha vuelto á su e</t>
  </si>
  <si>
    <t>atros, varios edificios públicos y casas particulares.. .w , Anunciamos con grande satisfacción que Mr. Fox sigue con notable mejoría, y que se espera su perfecto restablecimiento. El Príncipe de Gales le ha visitado; y desea* con tantas veras el-restablecimiento de su amigo, que, vlha</t>
  </si>
  <si>
    <t>con esta voz baxáron los;efectos, públicos, ¡y hubo mas vendedores; que compradores. Ayer. se paseó Mr. Fox en su 'jarjUja-,; y tuvo,luego una conferencia con el Marqués de Dougias antes de su partida para S. Petersburgo,. adonde pasa en calidad de Embaxador. También recibió’ayer las visi</t>
  </si>
  <si>
    <t>r Gerónimo; Bonaparte , y son: la Lydia} James y Jolin-Isabella, Alexander} Silver -jEU y Hester. • Mr. Fox ha aceptado el convite que el Duque de Devonshire le ha hecho de ir á pasar algunos dias á su casa de campo de Chiswick. La inmediación de Londres, y la facilidad de ver con freqi</t>
  </si>
  <si>
    <t>prudente extraer de una vez sola el agua que se había acumulado desde la primera operación hecha á Mr. Fox. A su edad, yen las circunstancias presentes, que aumentan el interes-que todos dcbeá tomar en* ía ^alüd de este Ministro, no.era presumible que lost^édiccs,llevasen la cosa tan a</t>
  </si>
  <si>
    <t>Setiembre. Anunciamos al público con grande sentimiento que los Médicos declararon antes de ayer á Mr. Fox en grande riesgo: era extrema su debilidad, y se hallaba en un estado de atonía general, que embargaba todas sus facultades físicas. Habíamos referido fielmente, según la relación d</t>
  </si>
  <si>
    <t>ó el día 13 á Paris. Ha hecho su viage en 3 dias. Asegura que al momento de su salida los amigos de Mr. Fox no tenían esperanza de la salud de aquel Ministró, y que generalmente se decía que había ya muerto. Los bustos de SS. MM. II. y RR. hechos al natural por Mr. Houdon ge expondrán e</t>
  </si>
  <si>
    <t>sos han podido descabrir sobre el estado actual de las "^Hemoftenido notichTciertas de la muerte de Mr. Fox, cuya pérdida se mirará sin duda en Inglaterra como una calamidad pública. El Lord Lauderdale está indispuesto hace algunos días. Escriben del Havre que un Prusiano y un Belga, qu</t>
  </si>
  <si>
    <t>de este año de 1806 murió Mr. Pitt: en 12 de Setiembre Lord Thurloxv terminó su carrera; y en fin, Mr. Fox ha muerto en 13 del corriente. Murió Mr. Fdxi el sábado 13 á las 6 menos quarto de la tarde , en los brazos de su sobrino Lord Holland. El dia anterior íe anunciaron los Médicos s</t>
  </si>
  <si>
    <t>nes , fué desestimado por la de los Pares, ocurrencia que produxo la demisión del Ministerio de que Mr. Fox hacia parte. Vuelto otra vez al partido de la Oposición, la Regencia, la causa de Mr. Hastings , y principalmente la revolución Francesa, le diéron ocasiones freqiientes de manife</t>
  </si>
  <si>
    <t>stros extrangeros cerca de ésta Corte, á quienes ha comunicado de oficio la noticia de la muerte de Mr. Fox les ha participado que deberán entenderse internamente con él en los asuntos que ocurran propios de su encargo. :•» j « El entierro de Mr. Fox se. hará en la Abadía de Westminster</t>
  </si>
  <si>
    <t>a y del Ancora: presidió el Duque de Norfolk. Mr. Adam pronunció un discurso eloqüente en elogio de Mr. Fox: propuso se participase á la familia del difunto el deseo que los individuos del Club tienen de acompañar el entierro. Adoptóse esta propuesta, y se han nombrado comisarios á este</t>
  </si>
  <si>
    <t>nuestros puertos, excepto dos buques que- se han ido á pique: durante la travesía. ; El entierro de Mr. Fox se hará el 10 de Octubre en Ja Abadía de West</t>
  </si>
  <si>
    <t>illeros Ingleses. Ayer se abrió la junta de los Electores de Westminster para nombrar el sucesor de Mr. Fox en el Parlamento. Mr. Whitbread hizo un elogio pomposo del Ministro, cuya pérdida lamentable daba motivo á nueva elección ; y después de decir que Mr. Sheridan, Sir Francis Burdett,</t>
  </si>
  <si>
    <t>vez cada año el dia de la rendición de Ulma. • El Gabinete de Londres, que por el fallecimiento de Mr. Fox se ha entregado enteramente á la influencia del Lord Grenville y de Mr. Windham, implacables enemigos de la paz, sigue de nuevo sus planes antiguos. Sus máquinas incendiarias se h</t>
  </si>
  <si>
    <t>mbarco. -Es la misma esquadra qup se había divisado en Yarmouth. El 10 se hiciéron los funerales de Mr. Fox con la misma pompa y aparato que se acostumbra pára los personajes m^s ilustresá quienes la nación concede este'testimónio de su gratitud por los servicios eminentes que la han he</t>
  </si>
  <si>
    <t>resentantes. Mr. Sheridan, que había rehusado Concurrir con Lord Percy* pon motivo del reemplazo de Mr. Fox, acaba de proponerse á los mismos Electores de Westminster. No se duda que sea sostenido por un partido fnuy considerable. Lord S. Vicente ha vuelto á tomar el mando de la esquadr</t>
  </si>
  <si>
    <t>as; pues el énemigo no nos dexa otra alternativa sino la de continuar la guerra con el mayor vigor. Mr. Fox dexa á^-su muger por heredera universal y testamentaria: algunos- legados particulares á su sobrino, hijo del General Fox; y á sus amigos Lord Holland, el General Fox, el General Fit</t>
  </si>
  <si>
    <t>e la misa de Per, 600, Y en p'1rtitura SOO ~ minué J con va:i&lt;lciones '. par~ piano, á la muerte de Mr. Fox, por Trosk, 20; Y la toma de Berh~ par'l dicho mstrum~nto, pcr Mr. Kzaph, 10. ----------------.-- ------_. EN LA IMPRENTA lt.EAL. .</t>
  </si>
  <si>
    <t>En las últimas negociaciones que hubo entre Francia é Inglaterra se dixo, que se habia presentado á Mr. Fox un hombre para hablarle de un plan de conspiración contra la persona del Emperador. Luego que el Gobierno tuvo esta noticia, tomó las providencias mas eficaces para arrestarle; y</t>
  </si>
  <si>
    <t>no tratar sin acuerdo de sus aliados. » Por las respuestas del Ministro de Relaciones extrangeras á Mr. Fox se convencerá fácilmente qualquiera de que si el Gobierno Ingles hubiere insistido en esta reserva, jamas se hubieran entablado las negociaciones ; y qualquiera se convencerá fáci</t>
  </si>
  <si>
    <t>tajosas, conservando á Malta y al Cabo de Buena-Esperanza. fJ ¡ Inútil moderación de S. M. I. y R.! Mr. Fox cayó enfermo, dexó de asistir al Consejo: prevaleció la parcialidad enemiga de la paz, y todo se mudó. Lord Lauderdale vino á París, al instante se complicó la negociación, retard</t>
  </si>
  <si>
    <t>eraba. Declaró esta Potencia la guerra. Lord Lauderdale pidió pasaportes , y partió para Londres. „ Mr. Fox quiso la paz. Miéntras dirigió ios negocios fuéron las negociaciones francas y sinceras; después de su muerte no se ha llevado otra idea que la de romperlas, eludiendo con toda su</t>
  </si>
  <si>
    <t>pués de haberla leído exclamo : „ Estos son los principios de honor y’ de virtud que caracterizan á Mr. Fox; añadiendo: Dadle las gracias en mi nombre, y decidle que ya la política de su Soberano nos mantenga largo tiempo enemigos, ya una guerra tan inútil á la humanidad tenga el fin ta</t>
  </si>
  <si>
    <t>Fox Secretario de Estado</t>
  </si>
  <si>
    <t>Grenville ha sido nombrado Canciller del Echiquier, primer Lord de la Tesorería y primer Ministro; Mr. Fox Secretario de Estado para Jos Negocios extrangeros, y Mr. Windham para el despacho de la Guerra. FRANCIA. Mont-de- Marsan 31 de Enero. Los repetidos huracanes que han reynado en este departamento han</t>
  </si>
  <si>
    <t>Fox, General</t>
  </si>
  <si>
    <t>General Fox</t>
  </si>
  <si>
    <t>muger por heredera universal y testamentaria: algunos- legados particulares á su sobrino, hijo del General Fox; y á sus amigos Lord Holland, el General Fox, el General Fitz-Patrik, Lord Roberto Spencer, Lord Fitz-William &amp;c. dexa parte de sus libros y quadros en testimonio de su carino. La</t>
  </si>
  <si>
    <t>Fqx</t>
  </si>
  <si>
    <t>limito por ahora á pedir que las copias de los tratados.ménci'onadós se depositen sobre ¿a tabla.” Mr. Fqx. „ Si das copias &lt;de: los tratados se han presentado de modo que pueda la Cámara ^formar un&lt; juicio sobré ellos ,? son justas las observaciones del noble Lord, y debemos someterno</t>
  </si>
  <si>
    <t>Fr, Arzobispo</t>
  </si>
  <si>
    <t>Arzobispo Fr</t>
  </si>
  <si>
    <t>yetano Urbína, como Protector de la Asociación, y asistió de medio pontifical el Excmo. é limo. Sr. Arzobispo Fr. D. Joaquín Company, con la música de la Catedral, habiendo hecho por sí mismo la exposición y reserva del Santísimo, entonando el Te Deum, y concedido por último 80 dias de indul</t>
  </si>
  <si>
    <t>Frade, Juan Antonio</t>
  </si>
  <si>
    <t>Juan Antonio Frade</t>
  </si>
  <si>
    <t>D. Tomas Rodrigo: á Tenientes de granaderos de los de Ciudad-Rodrigo y Santiago á los de fusileros D. Juan Antonio Frade y D. Jacobo Aguiar: á Tenientes de fusileros de los de Ciudad-Rodrigo, Toro, Burgos, Plasencia, Guadix y Granada á los Subtenientes D. Juan Obregon, D. Antonio Conde, D. Josef Herrera</t>
  </si>
  <si>
    <t>Fraenkeí</t>
  </si>
  <si>
    <t>n el Dr. Gall en vista de no haber podido juntar para el tercer curso mas que 50 subscriptores.-_El Doctor Fraenkeí había prometido dar al público un curso de lecciones antiGalileas* y con efecto ha dado;dos lecciones; pero haídesistido de su empresa por no¡ habersp presentado mas auditorio que</t>
  </si>
  <si>
    <t>Framjois</t>
  </si>
  <si>
    <t>palacio de Schoénbriinn á 27 de Diciembre de 1805. (Siguen las firmas.) El Senado, después de oir á Mr. Framjois (de Neufchateau), Presidente , y otros, acordó escribir una carta de gracias á S. M. el Emperador y Rey, y otra de enhorabuena á S. M. la Emperatriz y Reyna; é igualmente acordó q</t>
  </si>
  <si>
    <t>Fran</t>
  </si>
  <si>
    <t>el Senado y el pueblo Francés en la causa pública, que tan justamente defiende ahora con las armas. Mr. Fran^ois (de Neufchateau), después de hablar en nombre del Senado , leyó el decreto y discurso de este cuerpo al Emperador, que en substancia es como sigue: „Señor: El Senado no puede</t>
  </si>
  <si>
    <t>Francés</t>
  </si>
  <si>
    <t>o puede explanar la cortedad del estilo: tal es el plan que se ha propuesto su autor T. J. Béguyer, Presbítero Francés, Profesor de su lengua y de Matemáticas. Se hallará en }las dos librerías de Ramos, carrera de S. Gerónimo y calle de las Carretas. Colección de estampas de los nuevos uniformes d</t>
  </si>
  <si>
    <t>Francés Andreossi, General</t>
  </si>
  <si>
    <t>General Francés Andreossi</t>
  </si>
  <si>
    <t>de loa Rusos la plaza de Cáttaro, y entregarla á las tropas Francesas. Ha vúelto aquí de Munich el General Francés Andreossi. Creemos que su viage sea relativo á la entrega de la fortaleza de Braunau á las tropas Austríacas, que se verificará luego que los Rusos hayan efectuado la evacuación de Cáttaro.</t>
  </si>
  <si>
    <t>Francés Baráguay-d’Hilliers, General</t>
  </si>
  <si>
    <t>General Francés Baráguay-d’Hilliers</t>
  </si>
  <si>
    <t>a se ha puesto en camino la panadería de campaña que estaba en Hof. La colana Francesa que manda el General Francés Baráguay-d’Hilliers permanece apostada todavía en el PaHtinadp Superior por la parte de Straubing, y se extiende hasta las fronteras de la Bohemia. Ratisbona iG de Diciembre. La neutralidad de los Es</t>
  </si>
  <si>
    <t>Francés Collaua, General</t>
  </si>
  <si>
    <t>General Francés Collaua</t>
  </si>
  <si>
    <t>sperarse de unas tropas las mas endurecidas en los trabajos y en las fatigas. Haya 3 de Febrero• El General Francés Collaua, Comandante en gefe del exército del Norte, ha llegado aquí con el Comisario Ordenador Fournier, y se han alojado en el palacio del Mariscal de Turena. Se ha sabido hoy, por una o</t>
  </si>
  <si>
    <t>Francés del Cuerpo de Ingenieros, Coronel</t>
  </si>
  <si>
    <t>Coronel Francés del Cuerpo de Ingenieros</t>
  </si>
  <si>
    <t>nscriptos, y que mucha parte de ellos no están aún vestidos de soldados.,-*^Mr. Roussier, Teniente. Coronel Francés del Cuerpo de Ingenieros, que: principió hace 10 meses á fortificar suficientemente a Augsburgo para ponerla á cubierto de una sorpresa, permanece en . dicha ciudad, y ha hecho, un plan para hacer una nue</t>
  </si>
  <si>
    <t>Francés Duroc, General</t>
  </si>
  <si>
    <t>General Francés Duroc</t>
  </si>
  <si>
    <t>tratado secreto, cu-, yos efectos empiezan á percibirse, fué firmado por el Conde de Haugwitsí y el General Francés Duroc en 15 de Diciembre de 1805 , época que se había .fixado como el término en que la Prusia debía declararse contra la Francia, en el caso en que esta Potencia desechase las proposicio</t>
  </si>
  <si>
    <t>Francés Hedouville, General</t>
  </si>
  <si>
    <t>General Francés Hedouville</t>
  </si>
  <si>
    <t>Mr. ,de Albini á S. A. el Elector Archicanciller, que se halla en Worth, adonde ha idjp también el General Francés Hedouville. Ya se ha esparcido la voz de que el Archicanciller ha aprobado y firmado dicho plan. Hannóver 21 de Julio. S. M. el Rey de Prusiat, nuestro Soberano, ha dado órdenes para que se</t>
  </si>
  <si>
    <t>Francés Mr, General</t>
  </si>
  <si>
    <t>General Francés Mr</t>
  </si>
  <si>
    <t>edir la deserción; últimamente, varios cuerpos para ha* cer reclutas en Austria, en Alemania &amp;c. El General Francés Mr. Andreosi tiene freqüentes conferencias con los Ministros Austríacos, y de quando en qúando, hacé algunos viages á Hungría i con el objeto de que esten, bien provistas las tropas</t>
  </si>
  <si>
    <t>Francés Oudinot, General</t>
  </si>
  <si>
    <t>General Francés Oudinot</t>
  </si>
  <si>
    <t>aquel tráfico les era permitido por el Rey de Prusia, y que no estaba prohibido-en su país; que el General Francés Oudinot, tomando posesión ae Neufchatel en nombre de la Francia, no solo había seqüestrado las mercancías Inglesas, sino también las manufacturas Suizas, cuya introducción era permitida e</t>
  </si>
  <si>
    <t>Francés Rapp, General</t>
  </si>
  <si>
    <t>General Francés Rapp</t>
  </si>
  <si>
    <t>cerramiento del Sund de acuerdo con la Dinamarca; y sin duda con este objeto ha ido á Copenhague el General Francés Rapp. Francfort 2 de Abril. Corren voces de que las tropas Francesas ocuparán provisionalmente el</t>
  </si>
  <si>
    <t>Francés Willaumez, Almirante</t>
  </si>
  <si>
    <t>Almirante Francés Willaumez</t>
  </si>
  <si>
    <t>el Capitán White, quien le dixo que nuestro convoy destinado á la China había sido apresado por el Almirante Francés Willaumez.” Se han recibido noticias de la isla de Sta. Helena del 26 de Marzo: hallábanse entonces allí varios buques de la Compañía de la India de vuelta á Europa, y otros destinados á la</t>
  </si>
  <si>
    <t>Francés YVülaumez, Almirante</t>
  </si>
  <si>
    <t>Almirante Francés YVülaumez</t>
  </si>
  <si>
    <t>orrido rumores muy -desfavorables: unos decianque el Almirante Coehrane había sido derrotado por el Almirante Francés YVülaumez: otros que la esquadra Francesa</t>
  </si>
  <si>
    <t>Francés, Almirante</t>
  </si>
  <si>
    <t>Almirante Francés</t>
  </si>
  <si>
    <t>8i6 dras estaban Informadas de oficio de la vuelta probable del Almirante Francés; pero ha burlado todas las precauciones y esfuerzos de núes tros marinos : siendo su vuelta feliz un nuevo exemplo de la:.fortuna que siempre acompaña los pasos de su familia. • í</t>
  </si>
  <si>
    <t>Francés, Capitán</t>
  </si>
  <si>
    <t>Capitán Francés</t>
  </si>
  <si>
    <t>un parlamentario Francés procedente de Boloña. Un navio de guerra envió inmediatamente su lancha al Capitán Francés , para recibir sus pliegos y traerlos á las Dunas. Xas noticias ultimas recibidas de la India anuncian haberse interceptado una correspondencia entre el Rajah de Bhurthpore y el d</t>
  </si>
  <si>
    <t>Francés, General</t>
  </si>
  <si>
    <t>General Francés</t>
  </si>
  <si>
    <t>itan á los Rusos, y toman las parigüelas diciendo: Solo á .nosotros pertenece el honor de llevar tm General Francés herido» • &gt; ;r : • o-i. v HabiéndoIe Uevado un.muflo,una bala, al General Valhubert, se presentaron 4 soldados para levantarle ; pero el les dixo en altavoz : „Acordaos de la orde</t>
  </si>
  <si>
    <t>infantería y 500 de caballería, para que sirvan como tropas auxiliares permanentes mandadas por un General Francés. Escriben de Baviera que han sido guarnecidos de artillería todos los pasos que van al Tirol; de Munich ha sido transportado-un, tren considerable á Kutlstein. . .b; El 28 de Mayó</t>
  </si>
  <si>
    <t>gocijo luego que han sabido que su ciudad estaba fuera de peligro á efecto de las disposiciones del General Francés, quien, al mismo tiempo que ha manifestado su grande humanidad en evitar la efusión de sangre, ha dado una prueba sin réplica de su gran pericia en la táctica. GRAN BRETAÑA. Londr</t>
  </si>
  <si>
    <t>8 horas que habia visto pasar los restos de la Monarquía Prusiana, y que los tendría en su poder eí General Francés aquel mismo dia ó al siguiente. Es cierto que desde que el Emperador ha entrado en campaña no ha descansado un instante. Siempre haciendo marchas forzadas, y adivinando constantem</t>
  </si>
  <si>
    <t>Franceschi, General</t>
  </si>
  <si>
    <t>General Franceschi</t>
  </si>
  <si>
    <t>e van á prenderle. Las noticias que recibimos de Calabria son muy satisfactorias. El dia 4 entró el General Franceschi en Gasparina, donde habia 400 rebeldes atrincherados, de los quales quedaron muertos mas de 70, sin mas pérdida que la de un escopetero.__ El exemplo de Gasparina aterrró á los que</t>
  </si>
  <si>
    <t>Francesco Xavier Uriortua</t>
  </si>
  <si>
    <t>todo en observancia de Reai orden de S. M. de 30 de Junio de 1804. En virtud de providencia del Sr. D. Francesco Xavier Uriortua, del Consejo' de S. M. en la Real Junta general de Comercio y Moneda, Asésor .de la Intfendencía de Cádiz v su provincia marítima en todos los ramos de Consolidaeion'de Vá^ les Re</t>
  </si>
  <si>
    <t>Francesco Xavier Xaraquemada</t>
  </si>
  <si>
    <t>n de afección Diaconal* que se halla vacante en la Catedral de Ciudad-Rodrigo, por fallecimiento de D. Francesco Xavier Xaraquemada, á D. Francisco Llanos Granado^ Cura Párroco del lugar del Pino y sus anexos en la Diócesi de Coria: para él Beneficio simple q Préstamo de iá Parroquia de $. Ildefonso de la ciud</t>
  </si>
  <si>
    <t>Franceses</t>
  </si>
  <si>
    <t>que nóson Judíos? 6.a Los Judíos nacidos en Francia, y tratados por la ley como ciudadanos Franceses., ¿miran á la Francia como á su patria ? ¿Tienen obligación de defenderla? ¿Están obligados á obedecer las leyes, y á conformarse con las disposiciones de! cód</t>
  </si>
  <si>
    <t>Francis</t>
  </si>
  <si>
    <t>de esta corresp&lt; ndencia que solicitaba ocasionaría muchos gastos, y quizá graves •inconvenientes. Mr. Francis dixo que dependía de la Contraluría el suprimir Jas piezas que no pudiesen imprimirse sin riesgo. „ Siento infinito, como otros muchos vocales, añadid,que haya caído esta correspo</t>
  </si>
  <si>
    <t>r no haber presentado el año pasado el budjet de la Compañía. Resulta de las observaciones que hizo Mr. Francis, que la deuda actual de la Compañía pasa de 30 millones de libras esterlinas, lo que atribuyó al sktema de guerra y de innovación adoptado en este país. En 1783 la deuda no era ma</t>
  </si>
  <si>
    <t>266 el discurso de su amigo Mr. Francis; pero advirtió que opinaba en los asuntos de la India como en el de la Union; esto es, censuraba el sistema que habia adoptado la antigua administración , y sin embargo se veia en</t>
  </si>
  <si>
    <t>Francis Burdett</t>
  </si>
  <si>
    <t>nistro, cuya pérdida lamentable daba motivo á nueva elección ; y después de decir que Mr. Sheridan, Sir Francis Burdett, y Mr. Currau habían rehusado presentarse como candidatos, propuso á Lord Percy , como sugeto que reunía en sí las qualidades propias para determinar la elección presente. Fué muy</t>
  </si>
  <si>
    <t>Francis Burdett y Mr</t>
  </si>
  <si>
    <t>la taberna de la Corona y del Ancora: todos eran de los contrarios al nombramiento de Lord Percy; y Sir Francis Burdett y Mr. Curran fueron propuestos como candidatos en oposición al dicho Lord. Algunos anti-Grenvilistas quisieron que Mr. Grattam, miembro Irlandés del Parlamento, célebre por su conducta</t>
  </si>
  <si>
    <t>FrancisBurdett y Mr</t>
  </si>
  <si>
    <t>ueva orden. Se cree que estos transportes están destinados á conducir á Hannóver la legión Alemana. Sir FrancisBurdett y Mr.Curran, áquienes el partido de la Oposición</t>
  </si>
  <si>
    <t>Francisca Fernández Justiniano, María</t>
  </si>
  <si>
    <t>María Francisca Fernández Justiniano</t>
  </si>
  <si>
    <t>cia de Andalucía, se cita, llama y emplaza á todas las personas que sean acreedoras á los bienes de Doña María Francisca Fernandez Justiniano, ya difunta, viuda que fué del Sr. D Francisco de Llanos y S. Gines, Conde de Torre Alegre, y mtiger en segundas nupcias del Capitán retirado D. Manuel Josef Cano, para que en el</t>
  </si>
  <si>
    <t>Francisca Fluvia</t>
  </si>
  <si>
    <t>zo Guinovar: para otro en la Parroquia de Sta. Pau, Diócesi de Gerona, vacante por fallecimiento de D. Francisca Fluvia, á- D. Paladio Viílarrasa: para otro Beneficio patrimonial servidero de la Parroquia de la villa de 41agon, Diócesi de Zaragoza, á D. Ramón García: para otro Beneficio Diaeoniide</t>
  </si>
  <si>
    <t>Francisca Julián de Sierra y Abello</t>
  </si>
  <si>
    <t>io i.°, compuesto de estampas de los mejores profesores y estuche matemático en valor de 700 rs.* á D. Francisca Julián de Sierra y Abello. El premio 2.0, compuesto también de estampas y estuche matemático por valor de 5 oors. , á D. Ricardo Palacio y Mendoza. El premio 3 .0, de estampas y estuche matemático por valo</t>
  </si>
  <si>
    <t>Francisca, María</t>
  </si>
  <si>
    <t>María Francisca</t>
  </si>
  <si>
    <t>sus créditos, á deducir la acción que les asista ea los autos de concurso á los bienes de la citada Doña María Francisca, que están pendientes en el Tribunal Militar de aquella Provincia y Auditoría de Guerra de su cargo en la escribanía mavor de la misma; y que qualesquiera de dichos acreedores que</t>
  </si>
  <si>
    <t>Francisco Agustín</t>
  </si>
  <si>
    <t>derechos de peage según esta basa. FRANCIA. Embrnn 8 de Febrero. Hace pocos dias que ha venido aquí Mr. Francisco Agustín , Abad del Orden de Religiosos de la Trapa, para conferenciar con el Prefecto sobre los medios de executar el decreto Imperial que manda que el hospicio del Mont-Genevre sea servi</t>
  </si>
  <si>
    <t>Francisco Alonso</t>
  </si>
  <si>
    <t>a la Prestamera de la Parroquia de Bernuy y de Zapardiel, Obispado de Avila, vacante por muerte .de D. Francisco Alonso, á D. Policiano Sacristán, Clérigo de Prima tonsura. , , „ S. M. se ha servido nombrar para la Capiscolía mayor, tercera Dignidad de la Colegiata de S. Feiiu de Gerona, vacante po</t>
  </si>
  <si>
    <t>roquia de S. Nicolás de la villa de Madrigal, en el Obispado de Avila, vacante por fallecimiento de D. Francisco Alonso, á D. Teodoro Gómez, Pres-, bítero: para el Beneficio simple de S. Félix de Freygeyro, en el Arzobispado de Santiago ¿vacante por promoción de D. Cristóbal Bencomo á la Dignidad d</t>
  </si>
  <si>
    <t>Francisco Antonio</t>
  </si>
  <si>
    <t>y cedidorpor- e.ste al,referido D. pidel;. y, habiéndose extraviado, quien supiere de él avisará á D. Francisco Antonio ¡de Pando, ó á.D. J íckJL Fernandez Bretón. El Sr. Intendente de esta provincia, por su decreto dé ,20 del pasado, ha aprobado el remate celebrado el 2.3 de Diciembre del año prój</t>
  </si>
  <si>
    <t>Francisco Rafael</t>
  </si>
  <si>
    <t>Jaén ai Subteniente D. Juan Bronchal: Subtenencias de bandera en el de Zaragoza al Sargento primero D. Francisco Rafael: en el de Córdoba á D. Bartolomé Aguilera y Aguilera, Cadete del de Reales Guardias Españolas: en el de España al Sargento -primero Don Josef Salinas; y en el de Burgos al Cadete</t>
  </si>
  <si>
    <t>FranciscoQuesada</t>
  </si>
  <si>
    <t>ue de la Roca, acompañado del limo. Sr. Notario D. Sebastian de Piñuela, de los Capellanes de Honor D. FranciscoQuesada, Don Juan Guillen, D. Agustín Librero, D. Nicolás Esterripa, D. Manuel Gallardo, D. Vicente Navarro, D. Josef Duaso, y D. Blas de Toro, Maestro de Ceremonias de la Real Capilla, d</t>
  </si>
  <si>
    <t>Franciscp Xavier de Andrade</t>
  </si>
  <si>
    <t>,com-, pama á ios de bandera D. Francisco Zosaya, D. Joaquín Árt-acho,, p. Josef Alaría N oriega y D. Franciscp Xavier de Andrade, y a Subtenientes, dex bandera á D. Manuel Quirós, D. Joaquín Madrid y D.? Salvador Artacho.,. El Rey nuestro Señor, á consulta del Real y Supremo Consejo de Ca§&gt;, tilla, sé ha se</t>
  </si>
  <si>
    <t>Franco, Antonio</t>
  </si>
  <si>
    <t>Antonio Franco</t>
  </si>
  <si>
    <t>z Baamonde, á D. Josef Manuel de Losada: para una Ración de la Catedral de Barbastro, por muerte de D. Antonio Franco, á D. Isidro Gastan. A LOS AMANTES DB LAS NOBLES ARTES. La Real Calcografía, que considera como uno de los objetos principales de su instituto el fomento del grabado en España, y</t>
  </si>
  <si>
    <t>Frank</t>
  </si>
  <si>
    <t>l resultado de esta Junta se comunicará a la Diputación en París, para donde saldrá mañana el mismo Mr. Frank. í (: ^ t. . ::</t>
  </si>
  <si>
    <t>í veremos acabado en 1806 Un edificio cuyos cimientos se pusieron' en 1704. El Refrendario Imperial Mr. Frank y el Consejero eclesiástico Mr. Kolborn habían convenido ya entre sí sobre varios puntos en Viena; pero no hallándose el Nuncio de S. S. por entonces con las facultades é instruccione</t>
  </si>
  <si>
    <t>Frantis</t>
  </si>
  <si>
    <t>por tercera vez el impuesto sobre las propiedades , y se adoptó, no chitante las reclamaciones de Mr. Frantis, que quería ccmprehender en él á los extrangeros que tienen dinero impuesto en ios fondos públicos. Mantúvose esta excepción. Ayer hubo debates muy vivos en la misma Cámara, que d</t>
  </si>
  <si>
    <t>Fraoce, Almirante</t>
  </si>
  <si>
    <t>Almirante Fraoce</t>
  </si>
  <si>
    <t>bres,j la -echó sobre la costa. La acción duró 2 horas, y se dip á 3 millas y media de la posta. El Almirante Fraoce^rse^alyp np tieiyru con paróte de su tripulación, y Ja, otra 'parte con ,el,Capitán que&lt;h&gt; prisionera. Aquel día el Comandante Le Seigle había dispue&amp;toAarun almuerzo i bordo de s</t>
  </si>
  <si>
    <t>FrarK</t>
  </si>
  <si>
    <t>guel de S. Quirce, en el Arzobispado de Burgos^-vafeante por muerte de D. Julián Gómez Alvarez, .'á D. FrarK i se o Barrio jProt-Cura y Beneficiado del lugar de Cueva de Juañós : para íá Capellanía de -Reyes nuevos de Toledo, vacante por fallecimiento de D. Francisco Salvador Carmona, á</t>
  </si>
  <si>
    <t>Fray Cayetano Pallas</t>
  </si>
  <si>
    <t>En América. S. M. se ha servido nombrar para el Obispado de NuevaSegovia, en las Islas Filipinas, á D. Fray Cayetano Pallas, Prior que fue de Dominicos de México: para la Dignidad de Chantre de la Catedral de Durango, en las Provincias internas de Nueva-España, vacante por fallecimiento de D. Josef Flo</t>
  </si>
  <si>
    <t>Fray Manuel Abad de la Sierra</t>
  </si>
  <si>
    <t>a Canongía, vacante en la Catedral de Toledo por fallecimiento del limo. Sr. Arzobispo de Selimbria D. Fray Manuel Abad de la Sierra, á D. Francisco Xavier Salcedo, Cura Beneficiado de la villa de Pcrtugaletc, en el Obispado de Santander: para otra que resultará vacante en la Catedral de Calahorra por promoción</t>
  </si>
  <si>
    <t>Frayíc, Andrés</t>
  </si>
  <si>
    <t>Andrés Frayíc</t>
  </si>
  <si>
    <t>ndez de la Peña y S. Miguel. En Barcelona....... D. Ramón de Llordella é hijo. En Btirgos.......... D. Andrés Frayíc.</t>
  </si>
  <si>
    <t>Frayle, Andrés</t>
  </si>
  <si>
    <t>Andrés Frayle</t>
  </si>
  <si>
    <t>dez de lJ*Peña y S. Miguel. En Barcelona....... D. Ramón de Llordella é hijo. En Burgos............ D. Andrés Frayle. En Cádiz............... D. Benito de la Piedra. En Cartagena...... D. Bernardo Elizalde. En Ciudad-Real.. D. Ramón Antonio Pico. En Córdoba.......... Sres. Barcia padre é hijo. E</t>
  </si>
  <si>
    <t>Fraylfe, Andrés</t>
  </si>
  <si>
    <t>Andrés Fraylfe</t>
  </si>
  <si>
    <t>dez de la 'Peña y 5. Miguel. En Barcelona....... D. Ramón de Liordeíla é hijo. En Btírgos.......... D. Andrés Fraylfe. En Cádiz............... D. Benito dé la Piedra. En Cartagena*..... D. Bernardo Eiizaidé. En Ciudad-Real.. D. R^rnon Antonio Pico. En Córdoba........... Sres. Barcia padre é hijo.</t>
  </si>
  <si>
    <t>Frayre, Pedro</t>
  </si>
  <si>
    <t>Pedro Frayre</t>
  </si>
  <si>
    <t>: para una.Canongía de la Colegiata de Mora en¡ el Obispado de Teruel, vacante por fallecimiento de D. Pedro Frayre, á D. Joaquín Calvo Cervantes: para el Ofi ció de Limosnero del Monasterio de S. Juan de la Peña, vacante por promoción de D^ Fr. Andrés Casaus á la Abadía de Ca nproi &gt;11, ,1 Don</t>
  </si>
  <si>
    <t>Fresneda, Juan Francisco</t>
  </si>
  <si>
    <t>Juan Francisco Fresneda</t>
  </si>
  <si>
    <t>: disértáron los discípulos sobre las proposiciones que les fueron sorteadas, y son las siguientes: D. Juan Francisco Fresneda, de segundo año,; la industria de una nación y sus ganancias absolutas están en razón directa de la freqiiencia de los retornos de su capital circulante: D. Josef Capilla, de prim</t>
  </si>
  <si>
    <t>Fretes, Juan Pablo</t>
  </si>
  <si>
    <t>Juan Pablo Fretes</t>
  </si>
  <si>
    <t>de la Iglesia de Santiago de Chile, que vacó por fallecimiento de D. Andrés del Campo y Galicia, á D. Juan Pablo Fretes; y para la Ración que este dexa en ella á D. Pedro Mont de Prado, Cura de la villa de Logroño en aquella Diócesi ; y para la Penitenciaría de la Metropolitana de Santa Fe á D. Fer</t>
  </si>
  <si>
    <t>Friant</t>
  </si>
  <si>
    <t>religión para los filósofos. Este ramo de enseñanza se ha encargado al Vicario general de la Corte Mr. Friant, profesor público, que ha dado á luz ya dos partes de su sistema, y ha merecido la honra de que nuestro Monarca acepte la dedicación de la obra, expidiendo un decreto sumamente li</t>
  </si>
  <si>
    <t>Fririon</t>
  </si>
  <si>
    <t>amento cerca de Luisburgo___ El Conde de Thurheim, Comisario de S. M, Bávara, y el Delegado Francés Mr. Fririon, han llegado á Nuremberga el dia 12 para tomar posesión de aquella ciudad á nombre de S. M. Bávara, En las Gazetas de Franconia se habla mucho ahora de las providencias de precauc</t>
  </si>
  <si>
    <t>Froylan Mendez</t>
  </si>
  <si>
    <t>María de la villa de Moya, en la Diócesi de Cuenca, vacante por muerte de D. Martin López Huerta, á Don Froylan Mendez deVigo,con dimisión del Beneficio servidero de Sta. María de las Reliquias del Castillo de la villa de Alburquerque , en la Diócesi de Badajoz: para este Beneficio á D. Josef Bueno,</t>
  </si>
  <si>
    <t>Froylan Mendez de Vigor</t>
  </si>
  <si>
    <t>eficio simple de Autilla del Pino en la de Patencia, vacante por muerte de D. Feliciano Martínez, á D. Froylan Mendez de Vigor para una Canongía de la Catedral de Vique, vacante por fallecimiento de D. Benito Boada, á Don Bartolomé Seoane, Gapellan provisional de la Real Arraadaj y para el Beneficio resid</t>
  </si>
  <si>
    <t>Frutos Rodríguez de Noles</t>
  </si>
  <si>
    <t>dél Prado y escribanía dé Juan de Ribasic siguen los autos de testamenta ría de Frutos Rodríguez de Noles, vecino y det comercio que fue dé dicha villa; y hallándose en estado dé providenciar sobre ella, por auto de aquel juzgado se cita y emplaza á quiénes rengan derecho á ios bienes del cit</t>
  </si>
  <si>
    <t>Frutos, Agustín</t>
  </si>
  <si>
    <t>Agustín Frutos</t>
  </si>
  <si>
    <t>idencia, la han ve chicado D. Antonio Dámaso Torrecilla, Médico de número de ellos y Catedrático, y D. Agustín Frutos, Cirujano de los mismos hospitales, y Demostrador público, sobre la angeologia 6 tratado de vasos para los Practicantes mas antiguos, y de osteología ó tratado de huesos para los</t>
  </si>
  <si>
    <t>FTuiiiñ, General</t>
  </si>
  <si>
    <t>General FTuiiiñ</t>
  </si>
  <si>
    <t>an hall.; do 5^00 cañones, mu chais .miles- de quintales de polvera, y michos miles de fusile!;—-El General FTuiiiñ há sido1!nombrado Comandante de Berlín.__ El General Bertrand, Edécan del Emperador, ha pasac d &gt; á Spandan, cuya fortaleza se'defiende, v la ha rodeado con los dragones de la div</t>
  </si>
  <si>
    <t>Fuller</t>
  </si>
  <si>
    <t>reía muy importante saber las-opiniones de los Jueces; pero que por ahora no. podia explicarse mas. Mr. Fuller dixo se acordaba haber oido decir á un noble Lora, que si Lord Melville1 era absuelvo , se le debían reembolsar los gastos hechos durante su causa en la' sala de Westminster. Mr.</t>
  </si>
  <si>
    <t>Fusell, Joaquín</t>
  </si>
  <si>
    <t>Joaquín Fusell</t>
  </si>
  <si>
    <t>ta Ximeno á nombre de los niños premiados, y Doña Rafaela Peyroíon á nombre de las niñas. Pronunció D. Joaquín Fusell el elogio que se le había encargado formar á la buena memoria de D. Francisco Bahamonde y Sessé, Vice-Censor que fué de la Real Sociedad, y sugeto digno de colocarse entre los céleb</t>
  </si>
  <si>
    <t>Gagarin, Príncipe</t>
  </si>
  <si>
    <t>Príncipe Gagarin</t>
  </si>
  <si>
    <t>No se habla ya casi nada de los preparativas de la Rusia. Un Edecán del Emperador Alexandro, el Príncipe Gagarin, ha venido á inclinar y decidir al Rey de Suecia para la evacuación del Hannóver. Dicen que el Gabinete Ruso ha garantido la Pomerania Sueca; pero el Gobierno de Prusia no da mues</t>
  </si>
  <si>
    <t>Galabert, Pedro Vicente</t>
  </si>
  <si>
    <t>Pedro Vicente Galabert</t>
  </si>
  <si>
    <t>adp¿\ra el dia 9 de Diciembre de 180S. Economía mística. La Sociedad, instruida por su socio el Sr. D. Pedro Vicente Galabert, actual Director de la Real fábrica de sedas de Vinalesa, que el útilísimo método de hilarlas á la Vaucanson se ha abandonado enteramente fuera de dicha Real fábrica, que el Rey n</t>
  </si>
  <si>
    <t>Galeano, Manuel</t>
  </si>
  <si>
    <t>Manuel Galeano</t>
  </si>
  <si>
    <t>tados méritos y servicios, honores del supremo Consejo de Indias: los de Oidor de dicha Audiencia á D. Manuel Galeano, Asesor interino de aquella Presidencia ; y los de Alcalde del Crimen de la Audiencia de Lima á D. Josef Muñoz , Asesor del Virejrnato del Perú* La Sociedad económica de Sanlucar</t>
  </si>
  <si>
    <t>Galiano, Juan Manuel</t>
  </si>
  <si>
    <t>Juan Manuel Galiano</t>
  </si>
  <si>
    <t>. S. M. se ha servido nombrar para la Canongía vacante en la Catedral de León, por fallecimiento de D. Juan Manuel Galiano, á D. Juan Francisco Escandon y Noriega, Cura Párroco de Santa María de Mían, en el Obispado de Oviedo: para la Prestamera de Carboneras, en la Diócesi de Cuenca, vacante por renu</t>
  </si>
  <si>
    <t>Galicia, Francisco</t>
  </si>
  <si>
    <t>Francisco Galicia</t>
  </si>
  <si>
    <t>de las Parroquiales unidas de la ciudad de Fraga,- Diócesi de Lérida, vacante por fallecimiento de D. Francisco Galicia: á D. Fr. Francisco Xavier de Portella y Monteagudo para la Abadía Consistorial del Real Monasterio de S. Pedro de Camprodon, que resultará vacante por promoción de D. Fr. Andrés</t>
  </si>
  <si>
    <t>Gall</t>
  </si>
  <si>
    <t>a*duda. coa motivo' de las mudanzas concernientes al Hannóver. Hoy ha salido de aquí para Bremen el Dr. Gall en vista de no haber podido juntar para el tercer curso mas que 50 subscriptores.-_El Doctor Fraenkeí había prometido dar al público un curso de lecciones antiGalileas* y con efecto</t>
  </si>
  <si>
    <t>que compongan los dos cuerpos servirán 5 años en tiempo de paz. FRANCIA. Strasburgo 12 de Julio. El Dr. Gall ha venido aquí de Pforsheim y de Tieffenbach, adonde re</t>
  </si>
  <si>
    <t>Gall y de Wieland</t>
  </si>
  <si>
    <t>nes célebres del tiempo présente: se publicarán dos en cada entrega, y la primera contendrá los del Doctor Gall y de Wieland. Escriben de Munich que S. M. el Rey de Baviera lleva el pelo cortado, y que todos los empleados en la servidumbre de palacio y en los dernas ramos de la Corte han adoptado la mis</t>
  </si>
  <si>
    <t>Gallardo Fernández, Francisco</t>
  </si>
  <si>
    <t>Francisco Gallardo Fernández</t>
  </si>
  <si>
    <t>S. Sebastian. Origen, progresos y estado de las Rentas de España, su gobierno y administración, por D. Francisco Gallardo Fernandez, Oficial de la Secretaría de Estado y del Despacho universal de Hacienda de España, del Consejo de S. M., su Secretario con exercicio de Decretos: tomo 4,0, que comprehende parte</t>
  </si>
  <si>
    <t>Gallardo, Juan Manuel</t>
  </si>
  <si>
    <t>Juan Manuel Gallardo</t>
  </si>
  <si>
    <t>as disciplinadas de Olañcho, en el Reyno de Goatemala, á D. Francisco Julián Bernal; de fusileros á D. Juan Manuel Gallardo, D. Antonio Josef Laso de la Vega , D. Vicente Perez Idiaquez, D. Mateo de Soto, D. Sixto Carrera, D. Remigio.Diaz y D. Mauricio Zelaya; y de bandera á D. Pedro Luque y D. Juan Mi</t>
  </si>
  <si>
    <t>Gallardo, Manuel</t>
  </si>
  <si>
    <t>Manuel Gallardo</t>
  </si>
  <si>
    <t>apellanes de Honor D. FranciscoQuesada, Don Juan Guillen, D. Agustín Librero, D. Nicolás Esterripa, D. Manuel Gallardo, D. Vicente Navarro, D. Josef Duaso, y D. Blas de Toro, Maestro de Ceremonias de la Real Capilla, de los Gentileshombres de Boca y Casa D. Vicente Lanz, D. Manuel Salazar, D. Manu</t>
  </si>
  <si>
    <t>Gallegos, Domingo</t>
  </si>
  <si>
    <t>Domingo Gallegos</t>
  </si>
  <si>
    <t>bteniente de granaderos D. Joaquín de la Torre y Duarte; á esta resulta al Subteniente de fusileros D. Domingo Gallegos, á Subteniente de fusileros al de bandera D. Nicolás Canalejo, y á Subteniente de bandera al Sargento primero D. Manuel Alvarez. Se ha señalado el dia 31 del presente, ¿ las doce</t>
  </si>
  <si>
    <t>Galliot</t>
  </si>
  <si>
    <t>ridos, el uno mortalmente. La pelea fué en Spineta, en la casa de un tal Ferraris, cuñado de Mayno. Mr. Galliot, Gefe de esquadron de la Gendarmería Imperial, mandaba la expedición. No puede elogiarse bastante la conducta y el valor de aquel Gefe; él mismo arrancó al bandolero Mayno la cruz</t>
  </si>
  <si>
    <t>Gallo Alcáiitara, Francisco</t>
  </si>
  <si>
    <t>Francisco Gallo Alcáiitara</t>
  </si>
  <si>
    <t>ará en Madrid al R. P. Miro. Fr. luis Andrés de Represa, en el Monasterio de S. Martin; en Búrgos á D. Francisco Gallo Alcáiitara, dei comercio de dicha ciudad; y en el Monasterio de Oña al referido P. Fr. Fro) lan de Castro. El Sr. Intendente de esta Provincia, por su decreto de n del corriente, fea aprobad</t>
  </si>
  <si>
    <t>Gallo, Manuel</t>
  </si>
  <si>
    <t>Manuel Gallo</t>
  </si>
  <si>
    <t>Teniente de granaderos al de fusileros D. Alexo Estado , y á Subtenientes de bandera á los Cadetes D. Manuel Gallo y D. Antonio Buendia; y en el Regimiento de Milicias urbanas de dragones de Huambbs á Teniente Coronel* Comandante y Sargento mayor á D- Pedro Pablo Burga, D. Alexandro Aguinaga y D.</t>
  </si>
  <si>
    <t>Gallo, Ramón</t>
  </si>
  <si>
    <t>Ramón Gallo</t>
  </si>
  <si>
    <t>res, y en Leganes á D. Juan Martin Aguado, Escribano del número de dicha villa. Ramón Gallo, natural del lugar de Cobanera, Arzobispado de Búrgos, hace como 50 á 60 años sentó plaza en el Regimiento de Cantabria; y no dando razón en dicho Regimiento, quien sepa su paradero se ser</t>
  </si>
  <si>
    <t>Galt</t>
  </si>
  <si>
    <t>e cada tomo á 18 rs. en rústica en el despacho de la Imprenta Reai. 1 Exposición de la doctrina del Dr. Galt, ó nueva teoría del cerebro, considerado como residencia de las facultades intelectuales y morales del alma. Esta teoría ha hecho tanto ruido en Europa, y ha excitado de tal maner</t>
  </si>
  <si>
    <t>Gamiz, Antonio</t>
  </si>
  <si>
    <t>Antonio Gamiz</t>
  </si>
  <si>
    <t>es á los mas aprovechados, comisiono la Junta á sus Consiliarios los Sres. Marques de Bondad Real y D. Antonio Gamiz para presidir las oposiciones de los aspirantes, que han sido 28 , las qtiales ha presenciado un numeroso concurso, celebrando la constante aplicación y adelantamientos de aquello</t>
  </si>
  <si>
    <t>Gandía, Tomás</t>
  </si>
  <si>
    <t>Tomás Gandía</t>
  </si>
  <si>
    <t>o Velez; á Tenientes el agregado de esta clase D. Luis de Hiriojosa, los Subtenientes de granaderas Don Tomas Gandía, D. Francisco Martínez y D. Domingo Postigo , y los de fusileros D/ Rafael Ramírez, D. Manuel Otero y D. Joaquín Delgado ; á</t>
  </si>
  <si>
    <t>Ganganelli</t>
  </si>
  <si>
    <t>guas Españolas en lengua vascongada; noticias sobre una lámina curiosa de 1384; versos italianos de Mr. Ganganelli; descripción de dos piedras halladas en la plaza de México; anuncios de obras españolas y extrangeras; anécdota concerniente á un enano de Henrieta de Francia; noticias extrangera</t>
  </si>
  <si>
    <t>Ganning</t>
  </si>
  <si>
    <t>parte enría discusión , cosa muy singular en negocio de tanta importancia; y Mr. Windham ha dicho á Mr. Ganning,,que, no era su intención hacer mudanza alguna eti el nueyo plan íniütar antes de acabar?se la sesión actual; - ■. r i»,.- y Se ha ñxado en el café de Lloyd el aviso siguiente: „</t>
  </si>
  <si>
    <t>Garabito de León, Juan</t>
  </si>
  <si>
    <t>Juan Garabito de León</t>
  </si>
  <si>
    <t>se perdíéron dos vales Reales de 300 pesos, creación de Mayo, muns. lóó y 387, endosados á favor de D. Juan Garabito de León. Quien los hubiese encontrado ios entregará en el puesto de la Tifa del hospital General, calle de las Carretas. . . En virtud de decreto de ios Señores del Real Consejo de las Or</t>
  </si>
  <si>
    <t>Garcds, Juan</t>
  </si>
  <si>
    <t>Juan Garcds</t>
  </si>
  <si>
    <t>ymundo de Mixares, y para }a Chantría á Don Josef Xavier de Torres; para la Tesorería de La misma á D. Juan Garcds; para la Cancngía á D. Sebastian Rodríguez Xaramillo, y para la Ración a D. Josef Vergára: para igual Dignidad de Tesorero de la Metropolitana de Guatemala á D. Manuel Angel Toled</t>
  </si>
  <si>
    <t>Garcí, Miguel</t>
  </si>
  <si>
    <t>Miguel Garcí</t>
  </si>
  <si>
    <t>metálica , acuda ante el Sr. Alcalde de Corte D. Mariano Alonso, por la escribanía de provincia de D. Miguel Garcí^ de Ja Madrid. Por providencia del Sr. Alcalde de Corte I&gt;. Juan Antonip de Inguanzo se ha ■ mandado sacar á pública subasta, por término de* 3o dias contados desde el 21 de Febre</t>
  </si>
  <si>
    <t>Garci-Pérez de Vargas, Francisco</t>
  </si>
  <si>
    <t>Francisco Garci-Pérez de Vargas</t>
  </si>
  <si>
    <t>al Romano', en seguida á la misa mayor; á su conclusión dixo una oración alusiva al asunto el R. P. D. Francisco Garci-Perez de Vargas, del Orden de S. Basilio, con la mayor eloqüencia, publicando las indulgencias concedidas por el referido Excmo. Sr. Arzobispo en este dia y para lo sucesivo á instancia del Inten</t>
  </si>
  <si>
    <t>García Benito, Juan</t>
  </si>
  <si>
    <t>Juan García Benito</t>
  </si>
  <si>
    <t>avorable, y sí muchos daños para la Inglaterra. ESPAÑA. Bayona de Galicia 5 de Agosto. El limo. Sr. D. Juan García Benito, Obispo de Tuy, en la visita que ca el año de 1799 comenzó á hacer en su Obispado, advirtió el mal estado en que se hallaba el hospital de pobres de esta villa, tanto en lo materi</t>
  </si>
  <si>
    <t>García Cabero, Francisco</t>
  </si>
  <si>
    <t>Francisco García Cabero</t>
  </si>
  <si>
    <t>ados, en los que se explican las materias mas esenciales para sus profesores, dispuestas por el Br. D. Francisco García Cabero, Herrador y Albeytar de las Rea* les Caballerizas del Rey nuestro Señor D. Fernando vi, Alcalde Examinador mayor de dicha facultad en todos los Reynos y Señoríos de S. M., nuevame</t>
  </si>
  <si>
    <t>García de Aguirre, Luis</t>
  </si>
  <si>
    <t>Luis García de Aguirre</t>
  </si>
  <si>
    <t>fusileros D. Juan Bautista Mscali y D; Antonio Laveria; á Subteniente de granaderos al de fusileros D. Luis García de Aguirre ; y á Subtenientes de Compañía á lós de Bandera D. Juan Rodríguez, D. Miguel</t>
  </si>
  <si>
    <t>García de Diego, Ignacio</t>
  </si>
  <si>
    <t>Ignacio García de Diego</t>
  </si>
  <si>
    <t>Mendoza y D. Josef Navarro del Dosal: de los Monteros de Guarda y Cámara de S. M. Don Josef Solana, D. Ignacio García de Diego, D. César Madrazo, D. Félix Angulo, D. Angel Merino, D. Pedro Gómez, D. Manuel de la Maza y Don Agustín Manuel de Borricón : de ios^ Caballerizos de Campo D. Fernando María de la</t>
  </si>
  <si>
    <t>García de la Mad, Miguel</t>
  </si>
  <si>
    <t>Miguel García de la Mad</t>
  </si>
  <si>
    <t>7,462 rs., acuda ante el Sr. Alcalde de Corte D. Mariano Alonso., por la escribanía de provincia de D. Miguel García de la Mad rid* dentro del té¡rm i no; de 3p- di as .contados desde el. 2 o deli corrí ente. Deseando el Cpn$£jo mejorar quanto puedajy^perjBite :la justicia los. interesesdt quantos quieran</t>
  </si>
  <si>
    <t>García de la Madrid, Miguel</t>
  </si>
  <si>
    <t>Miguel García de la Madrid</t>
  </si>
  <si>
    <t>en 148,148 rs., acuda ante el Sr. Alcalde de Corte-Di'VMariano Alonso, y escribanía de provincia de D. Miguel García de la Madrid, dentro del término de 30 días contados desde el 2 del corriente. Guia de la Grandeza para el cumplimiento de los dias y años de los Excelentísimos Señores Grandes deEbpaña, así r</t>
  </si>
  <si>
    <t>struida en él, en 566,822 rs., el dia 18 del presente, á las doce de su mañana, en la escribanía de D. Miguel García de la Madrid. A voluntad de su dueño se venden tres casas, la una en la cálle del Caballero de Gracia, frente la fonda de Malta, sin número, entre el 33 y 34, manz. 292, con 8413^ pies, tasada</t>
  </si>
  <si>
    <t>56 Reales, acuda ante el Sr. Alcalde de Corte D. Mariano Alonso, y escribanía de Provincia de D. Miguel García de la Madrid. Discurso apologético por la nobilísima y antiquísima familia de los Velas, tronco y origen de la de Guevara, denigrada calumniosamente por algunos escritores. Interesan en este d</t>
  </si>
  <si>
    <t>tura en 430© en vales Reales, el dia 27 del corriente, á las doce de su mañana, en la escribanía de D. Miguel García de la Madrid. Por el juzgado de D. Josef Gabriel de los Ríos, Alcaide mayor de la ciudad de Búrgos, y escribanía del número de D. Antonio Celestino Alvarez, se han mandado subastar en el dia 3</t>
  </si>
  <si>
    <t>quisiere hacerla acuda ante ei Sr. Alcalde de Corte D. Mariano Alonso y escribanía de provincia de D. Miguel García de la Madrid. Quien quisiere hacer postura á 2 casas sitas en esta Corte, la una en la calle de la Vitoria", núm- 1 2 , manz. 207, que tiene de sitio 1796!- pies superficiales, valuados con la</t>
  </si>
  <si>
    <t>n vales Realas^, acuda ante el Sr. Alcalde de Corte D. Mariano Alonso, y escribanía de provincia de D. Miguel García de la Madrid. = Por el mismo Sr. Alcalde y citada escribanía se ha señalado el día 5 del corriente..,á las r 2 de su mañana,para el remate de 2 casas sitas en esta Corte, la una en la calle de</t>
  </si>
  <si>
    <t>e en 69,613 rs., acuda ante el Sr. Alcalde de Corte D. Mariano Alonso, y escribanía de provincia de D. Miguel García dé la Madrid, en el término de 30 dias contados desde el 28 de Enero último. Quien quisiere hacer postura _á una casa sita en esta Corte calle de la Luna, que vuelve á la de la Madera baxa, nú</t>
  </si>
  <si>
    <t>neral y. Pasión, acuda ante el Sr. Alcalde de Corte D. Mariano Alonso, y escribanía de provincia de D. Miguel García de la Madrid, en el término de 30 dias contados desde el i.° del corriente. Habiéndose hecho postura á la casa sita en la calle del Olmo, núm. 3 , manz. 26, tasada en 45,976 rs., por el todo d</t>
  </si>
  <si>
    <t>ere hacerla acuda ante el Sr. Alcalde de Corte D. Mariano Alonso, por la escribanía de provincia de D. Miguel García de la Madrid. . * Para hacer pago á los acreedores á los bienes del Sr. D. Pedro de Astrearena, *&gt;;Marques que füé*de Murillo, se han mandado sacar á pública subasta, por término , de 30 dias</t>
  </si>
  <si>
    <t>erla acuda ante el Sr. Alcalde de Casa y Corte D. Mariano Alonso, por la escribanía de provincia de D. Miguel García de la Madrid. El Sr. D. Torquato Antonio Collado, Teniente Corregidor, de esta villa, ha señalado para la celebración de remates de fincas los dias siguientes : el 6 del corriente para el de d</t>
  </si>
  <si>
    <t>as. Quien quisiere hacerla acuda ante el Sn Alcalde de Corte D. Mariano Alonsq^por la escribanía de D. Miguel García de la Madrid, dentro del citado término contado desde dicho dia 27 dé Febrero., ^ El Sr. Alcalde de Corte D. Tomas Moyano ha señalado el diá 12 del corriente para el rematé de una casa sita en</t>
  </si>
  <si>
    <t>223 en vales Reale?, acuda ante el Sr. Alcalde de Corte t&gt;? Mariano Alonso, por la escribanía de D. Miguel García de la Madrid, dentro del término de 30 dias contados desde el i.° del presente. Por providencia del Sr. D. Manuel Vicente de Torres, Teniente Corregidor de esta villa, y escribanía de D. Ramón</t>
  </si>
  <si>
    <t>ada en 49^,564 ifs. , actida arité el Si*; Alcalde dé Corte D. Mariano Alónsé, por la escriban íáde D. Miguel García de la Madrid, éh el térhiino de 30 días contados desde* ci 13 Hel corrientes : . Quien quísieré- hácer postura á. otras dos casas sitas, una en la calle de Santiago, núm¿'31, manz. 4§7&gt; tacada</t>
  </si>
  <si>
    <t>s. Quien quisiere hacerla acuda ante el Sr. Alcalde de Corte D. Mariano Alonso ppr la escribanía de Don Miguel García de la Madrid. En virtud de providencias del Sr. D. Torquato Antonio Collado .Teniente Corregidor de esta villa, se sacan á pública subasta por término de 30 dias contados desde 28 de Marzo las</t>
  </si>
  <si>
    <t>. Quien quisiere hacerla acuda ante el Sr. Alcalde de Corte D. Mariano Alonso, por la escribanía de D. Miguel García de la Madrid. En virtud de providencia dei Sr. Alcalde de Corte D. Luis Marcelino Pereyra *e ha señalado el dia 14 de este mes para el remate de una casa sita en la plazuela del Angel, núm. 25</t>
  </si>
  <si>
    <t>. Quien quisiere hacerla acuda ante el Sr. Alcalde de Corte D. Mariano Alonso, por la escribanía de D. Miguel García de la Madrid. Por decreto del Sr, Alcalde de Corte D. Mariano Alonso se ha señalado para el remate de las casas que se expresarán los días siguientes. El dia 16 una casa sita en la calle del C</t>
  </si>
  <si>
    <t>García de la Prada, Manuel</t>
  </si>
  <si>
    <t>Manuel García de la Prada</t>
  </si>
  <si>
    <t>árlos m, del Consejo de S. M., y su Ministro honorario de la Junta de Comercio, Moneda y Minas; Sr. D. Manuel García de la Prada, de la Real y distinguida Orcen de Cárlos m, Intendente honorario de Provincia. Sr. D. Diego Crespo de Tejada. Sr. D. Lorenzo Palacio y Gorbea. Sr. D. Josef Antonio de Uriarte, po</t>
  </si>
  <si>
    <t>García de Loygorri, Martín</t>
  </si>
  <si>
    <t>Martín García de Loygorri</t>
  </si>
  <si>
    <t>Gefe de Escuela al Coronel D. Luis de Villava; á Coronel al Teniente Coronel, graduado de Coronel, D. Martin García de Loygorri, y á Teniente Coronel al Gefe de Brigada, graduado de Teniente Coronel, D. Josef Portillo. Él Rey se ha servido nombrar Conductores de Artillería á los Sargentos primeros D. Josef</t>
  </si>
  <si>
    <t>García de Malabear, Francisco</t>
  </si>
  <si>
    <t>Francisco García de Malabear</t>
  </si>
  <si>
    <t>arzo próxi mo pasado dirigió por el correo D. Simón Sainz de Baranda, del comercio de esta Corte, á D. Francisco García de Malabear, de Santander, quatro vales Reales de 300 pesos, creación de Setiembre, núms. 19413, 27624, 31025 y 54988; v habiéndose extraviado, quien supiere su paradero se servirá avisarlo a</t>
  </si>
  <si>
    <t>García de Quintana, Manuel</t>
  </si>
  <si>
    <t>Manuel García de Quintana</t>
  </si>
  <si>
    <t>Cornel, á D. Jayme Pastoret y Búfala» Alcalde del Crimen mas antiguo de ella; y para esta resulta á D. Manuel García de Quintana, Abogado de los Reales Consejos. En oficio de 21 de este mes ha dado cuenta el Capitán General del Departamento de Cartagena D. Francisco de Borja al Excmo. Sr. Generalísimo Prínc</t>
  </si>
  <si>
    <t>García de Tejada, Juan Manuel</t>
  </si>
  <si>
    <t>Juan Manuel García de Tejada</t>
  </si>
  <si>
    <t>urie, en Murcia los Sres. Valence y Sobrino, en Cartagena D. Henrique Fawson y compañía, en Granada D. Juan Manuel García de Tejada y compañía, en Córdoba D. Ventura Aute, en Sevilla los Sres. D. Domingo y Justo Torrijos, y en Cádiz en la imprenta y librería de Pajares. Se halla vacante el partido de Médico de l</t>
  </si>
  <si>
    <t>rie, en Murcia los Sres. Valer.ce y Sobrino, en Cartagena D. Henrique Tawson y compañía, en Granada D. Juan Manuel García de Tejada y compañía, en Córdoba D. Ventura Aute, en Seviba los Señores D. Domingo y Justo Torrijos,-en Cádiz en la imprenta y librería de Pajares,, en Pamplona D. Vicente Urroz y Vera, Admin</t>
  </si>
  <si>
    <t>García del Barrio, Manuel</t>
  </si>
  <si>
    <t>Manuel García del Barrio</t>
  </si>
  <si>
    <t>, Cadete de la Compañía de caballería de la plaza de Ceuta. En consideración al mérito que contraxo D. Manuel García del Barrio, Teniente de Milicias Urbanas de la Nueva Barcelona, Provincia de Venezuela, en ei vigoroso combate que sostuvo con su corsario nombrado la Juana, alias la Vencedora, contra la fr</t>
  </si>
  <si>
    <t>García del Castillo, Ignacio</t>
  </si>
  <si>
    <t>Ignacio García del Castillo</t>
  </si>
  <si>
    <t>nombrar para la Canongía vacante en la Catedral de Segovia, por muerte de D. Ambrosio Momediano, á D. Ignacio García del Castillo, Cura de la Parroquia del Real Palacio: para la Ración vacante en la de Avila, por fallecimiento de D. Baltasar de Lazaeta y Zúñiga, á D. Gabriel Crespo González, Presbítero: para</t>
  </si>
  <si>
    <t>García Garci-Sánchez, Blas</t>
  </si>
  <si>
    <t>Blas García Garci-Sánchez</t>
  </si>
  <si>
    <t>servidero de la Parroquia de Sta. María de la referida villa de Moya, vacante por fallecimiento de D. Blas García Garci-Sánchez, á D. Martin. Andujar* con la obligación de servirle por sí. El Rey se ha servido conferir en los Regimientos de infantería de la Corona, América y Ultonia Compañías á los Ayudant</t>
  </si>
  <si>
    <t>García Malo, Ignacio</t>
  </si>
  <si>
    <t>Ignacio García Malo</t>
  </si>
  <si>
    <t>a á D. Cayetano de la Escalera. El Rey ha conferido empleo de Comisario de Guerra de sus:Exércitosá D. Ignacio García Malo, ¿ . S. M. ha nombrado para el Corregimiento de letras de la chidad de Albarracin á D. Manuel Clemente Ruiz; y para la Alcaldía mayor de Callosa de Segura á D. Benito Dieguez. Ult</t>
  </si>
  <si>
    <t>García Montea, Antonio</t>
  </si>
  <si>
    <t>Antonio García Montea</t>
  </si>
  <si>
    <t>Mariano Pala.io. Por el juzgado Id Alcalde mayor de la villa de Quesnda, y escribanía que exer-.cp. D. Antonio García Montea varo, ¡ se .está subastando un cortijo en el término que Laman de Infantes, de 216 fanegas, 3 celemines y:tin qaartilib.de tierra, con una cas i , tásaoo =.-n c 37,568 rs., y se h</t>
  </si>
  <si>
    <t>García Moreno, Manuel</t>
  </si>
  <si>
    <t>Manuel García Moreno</t>
  </si>
  <si>
    <t>Santiago? vacante por promoción de D. Pedro Mendez Acuña á una Canongía de aquella Metropolitana, á D. Manuel García Moreno, primer Teniente de Cura de la Iglesia de nuestra Señora de las Angustias del Real Sitio del BueqRetiro; y para el Medíp-ReneftcÍQ patrimonial de la Iglesia de Casabes, Diócesi de</t>
  </si>
  <si>
    <t>García Pertierra, Juan Antonio</t>
  </si>
  <si>
    <t>Juan Antonio García Pertierra</t>
  </si>
  <si>
    <t>a Ración vacante en la Catedral de Toledo por renuncia que ha hecho de ella D. Francisco Calleja, á D. Juan Antonio García Pertierra , Dignidad de Tesorero y Canónigo de la Colegiata de Arbas del Puerto en la Diócesis de Oviedo: para la Prestamera de los Molares, en el Arzobispado de Sevilla, vacante por muerte</t>
  </si>
  <si>
    <t>García Pinillós, Pedro</t>
  </si>
  <si>
    <t>Pedro García Pinillós</t>
  </si>
  <si>
    <t>ligentiori, y se termino con un diálogo acerca de la Mitnlógia é Historia Romana, cerrando el' acta D. Pedro García Pinillós cóñTúría catíción en honor de las bellas letras. Varios de ios mejores profesores de 1^ Corte, que exámmáron á los jóvenes, quedaron plenamente satisfechos de só aplicación y del</t>
  </si>
  <si>
    <t>García Plaza, Isidoro</t>
  </si>
  <si>
    <t>Isidoro García Plaza</t>
  </si>
  <si>
    <t>...... . Sres. viuda de Escolar, Noríega é hijo. En Granada... D. Francisco Unzaga. En Guadalaxara. D. Isidoro García Plaza. En Jaén................. D. Pedro y D. Juan Esponera. En León................. D. Pedro Gil de Tejada. En Málaga........... D. Juan Ximeno. En Mahon............. Doña Catalina Ge</t>
  </si>
  <si>
    <t>Sres. viuda de Escolar y Noriega é hijo. En Granada........ D. Francisco de Unzaga. En Guadalaxara. D. Isidoro García Plaza. En Jaén............... D. Pedro y D. Juan Esponera. En León................ D. Pedro Gil de Tejada. En Málaga.......... D. Juan Ximeno. En Maltón............ Doña Catalina Germán</t>
  </si>
  <si>
    <t>García Romero, Francisco</t>
  </si>
  <si>
    <t>Francisco García Romero</t>
  </si>
  <si>
    <t>encia de que en el acto se ha de dar la correspondiente fianza de quiebra en la forma acostumbrada. D. Francisco García Romero, Juez Comisionado Real para la secularización y venta de bienes eclesiásticos en la Diócesi de Burgos, y asimismo para la enagenacion de algunas fincas de obras pias, ha mandado s</t>
  </si>
  <si>
    <t>García Seijo, Vicente</t>
  </si>
  <si>
    <t>Vicente García Seijo</t>
  </si>
  <si>
    <t>granaderos al de fusileros Don Antonio Ignacio Navarro; á Tenientes de fusileros á los Subtenientes Don Vicente García Seijo, D. Josef María Herrera y D. Josef María del Castillo, el primero de granaderos y el tercero de bandera; á Subteniente de granaderos á D. Francisco Alonso Moran; de fusileros á D.</t>
  </si>
  <si>
    <t>García Suárez, Francisco Xavier</t>
  </si>
  <si>
    <t>Francisco Xavier García Suárez</t>
  </si>
  <si>
    <t>restazgo del mismo nombre en la Diócesi de Oviedo, vacante por muerte de D..Félix María Martínez, á D. Francisco Xavier García Suarez; y á D. Josef Oliva para un Beneficio residencial de la Metropolitana de Tarragona, vacante por promoción de D. Antonio Pastor á una Ración de la misma Iglesia. S. M. se ha servid</t>
  </si>
  <si>
    <t>García Suelto, Tomás</t>
  </si>
  <si>
    <t>Tomás García Suelto</t>
  </si>
  <si>
    <t>ida y la muerte, obra escrita en francés por Francisco Xavier Bichat, y traducida al castellano por D. Tomas García Suelto, Médico de extrangeros y de número de los Reales hospitales General y Pasióir1 de esta Corte: tomo i.°, que comprehende el tratado de la vida. Se hallaráén la librería de Castillo</t>
  </si>
  <si>
    <t>García Ximenez, Ramón</t>
  </si>
  <si>
    <t>Ramón García Ximenez</t>
  </si>
  <si>
    <t>r. D. Torquato Antonio Collado, Teniente Corregidor de¡ esta villa, por la escribanía del número de D. Ramón García Ximenez ,dentro 'del término de 30 días, que cumplirán en 20 de Febrero próximo'. , i , Quien quisiere hacer mejora á una casa sita en callé dfel Caballero déórácia/ entre el 33 y 34, man</t>
  </si>
  <si>
    <t>te ante el Sr. D. Torquato Antonio Collado, Teniente Corregidor de esta villa, por la escribanía de D. Ramón García Ximenez, á legitimar su persona y derecho á los expresados censos; pues pasado dicho término, y no executándolo, se dará la providencia que corresponda sobre la redención, mediante hallar</t>
  </si>
  <si>
    <t>a audiencia del Sr. D. Torquato Antonio Collado, Teniente Corregidor de esta villa, y escribanía de D. Ramón García Ximenez, se vende una tierra situada pasado el arroyo Brofiigal, lindando al camino de Yeseros y Vinateros., que va á la venta de Santa Catalina por la parte de poniente, su cabida fanega</t>
  </si>
  <si>
    <t>a audiencia del Sr. D. Torquato Antonio Collado, Teniente Corregido* de esta villa, y escribanía de D. Ramón García Ximenez, se venden las fincas siguientes, sitas en término de la villa de Morata: una tierra al sitio del Torno f do</t>
  </si>
  <si>
    <t>a audiencia del Sr. D. Torquato Antonio Collado, Teniente Corregidor de esta villa, y escribanía de D. Ramón García Ximenez,en las dos terceras partes de su tasa, baxadas cargas y roo rs. mas, á pagar en moneda metálica sonante. Quien quisiere hacer dicha mejora acuda ante dicho Sr. Juez y citada escri</t>
  </si>
  <si>
    <t>García Ximeríez, Ramón</t>
  </si>
  <si>
    <t>Ramón García Ximeríez</t>
  </si>
  <si>
    <t>Sr. D. Torquato Antonio Collado, Teniente Corregidor de esta villa, por la escribanía del nómero de D. Ramón García Ximeríez, dentro del término dé 30 días, qüe cumplirá erí 24 del presente. Para el rematé dé una casa sita eri la cálle de Calatrava, man. 21, manz. 109, comprehensiva dé 3450 pies de siti</t>
  </si>
  <si>
    <t>García y Quirós, Tomás</t>
  </si>
  <si>
    <t>Tomás García y Quirós</t>
  </si>
  <si>
    <t>producto, acudirá á la botica de lá calle de la Luna, frente, de Portaceli, y en el mismo pueblo á D. Tomas García y Quirós. Se halla vacante la escuela^dé Primeras Letras de la villa de Aranda de Duero, la qual está dotada en 300 ducados, pagados en metálico de los fondos de Propios mensualmente, casa</t>
  </si>
  <si>
    <t>García, Agustín</t>
  </si>
  <si>
    <t>Agustín García</t>
  </si>
  <si>
    <t>a mensual moderada 'iuota. Los pretendientes ocurrirán á la Justicia de dicho pueblo, ó en Madrid á D. Agustín García, Agente de Negocios. Se halla vacante la plaza de Médico titular de la villa de Valdemoro, á 4 leguas de Madrid, en la carrera de Aran juez, cuya dotación es de 89 rs. anuales de</t>
  </si>
  <si>
    <t>García, Antonio</t>
  </si>
  <si>
    <t>Antonio García</t>
  </si>
  <si>
    <t>para la Media-Ración de la Catedral de Sigiienza, vacante por muerte de D. Patricio López Blanco, á D. Antonio García, Cura de Garvajosa y su anexo Aguliar en la misma Diócesi: para la Canongía, vacante en la Catedral de Plasencia por fallecimiento de D. Joaquín Ramos y Monroy, á D. Francisco de</t>
  </si>
  <si>
    <t>osef Mendez. Para el Arcedianato de la de Goatemala á D. Antonio Carbonell: para la Maestrescolía á D. Antonio García: para la Tesorería á D. Blas Josef Clá; y para la Canongía que este dexa á D. Bernardo Martínez, Cura .mas antiguo de la misma Catedral. Para Canónigo de la de la Paz á D. Mariano</t>
  </si>
  <si>
    <t>Page de S. M- D- Joaquín de la Cueva; y Tenencia en el de Ultonia al Subteniente del propio Cuerpo D. Antonio García. Igualmente ha conferido S. M. en el primer batallón do Voluntarios de Cataluñá el empleo de Capitán primero al primer Ayudante D. Francisco Vila; esta resulta al Capitán segundo</t>
  </si>
  <si>
    <t>García, Felipe</t>
  </si>
  <si>
    <t>Felipe García</t>
  </si>
  <si>
    <t>el Gonzalo, se cita, llama y emplaza á todos los que se consideren herederos de Felipe García, natural del lugar de S. Martin de Bercelos, Obispado de Lugo, que muiió eñ el hospital General de esta Corte el dia 15 de Marzo último, para que en el término de 30 dias contados desde el</t>
  </si>
  <si>
    <t>García, Francisco</t>
  </si>
  <si>
    <t>Francisco García</t>
  </si>
  <si>
    <t>Cura Párroco de Villarubia de Ocaña: para una Ración de la Primada de Toledo, vacante por muerte de D. Francisco García, á D. Francisco Calleja, Cura de la Parroquial de ia villa del Casar de Talamanca: para el Arciprestazgo de Santa María, Dignidad de la Metropolitana de Zaragoza, vacante por fall</t>
  </si>
  <si>
    <t>García, Gregorio</t>
  </si>
  <si>
    <t>Gregorio García</t>
  </si>
  <si>
    <t>de la escuela del Dr. D. Juan Torrejon; á Pascual Pesudo y Manuel Iserte, ambos de 9 años, de la de D. Gregorio García; á María Rosa Aucher y Vicenta Cerizuelu (las dos de 10 años), de las costuras, de Josefa Aucher y Bienvenida Fuster, y las restantes condecoraciones á 10 niños mas de cada una de</t>
  </si>
  <si>
    <t>García, Jorge</t>
  </si>
  <si>
    <t>Jorge García</t>
  </si>
  <si>
    <t>a y Asturias se ha servido S. M. conceder Subtenencias de bandera á los Cadetes D.AntonioJunguito y D. Jorge García. i</t>
  </si>
  <si>
    <t>García, Manuel</t>
  </si>
  <si>
    <t>Manuel García</t>
  </si>
  <si>
    <t>tius. S. M. se na servido conceder Tenencia en el Regimiento de infantería de Málaga al Subteniente D. Manuel García; y Subtenencias de bandera en los de Zamora y Voluntarios'de Castilla á los Cadetes D.Pedro Gómez y D. Josef García* de da Chicad S. M. se ha servido conferir el Gobierno militar</t>
  </si>
  <si>
    <t>García, Mateo</t>
  </si>
  <si>
    <t>Mateo García</t>
  </si>
  <si>
    <t>idad de su Párroco el Dr. D. Tomas Rodríguez y Zarco, de cuyos estímulos, y del zelo y actividad de D. Mateo García, Maestro de primeras letras en esta villa, se esperan grandes adelantamientos en los discípulos. Madrid 4 de Julio. El Rey se ha servido nombrar para la Penitenciaría de la Real I</t>
  </si>
  <si>
    <t>García, Miguel</t>
  </si>
  <si>
    <t>Miguel García</t>
  </si>
  <si>
    <t>. Silvestre Ramírez y D. Josef López; y ¿ Subtenientes de bandera al Sargento primero de granaderos D. Miguel García, y á los Cadetes D. Juan Nuñez, D. Carlos Nuñez y D. Francisco Josef Miura : á Teniente en el batallón Veterano de la Concepción de Chile al Subteniente D. Juan Calderón, y á Subt</t>
  </si>
  <si>
    <t>García, Ramón</t>
  </si>
  <si>
    <t>Ramón García</t>
  </si>
  <si>
    <t>otro Beneficio patrimonial servidero de la Parroquia de la villa de 41agon, Diócesi de Zaragoza, á D. Ramón García: para otro Beneficio Diaeoniide la Catedral de Tortosa á D. Lorenzo Ruiz; y para el Ofició regular de Limosnero cfel Real Monasterio de S. Pedro de Galiigans á D. Fr. Salvador de</t>
  </si>
  <si>
    <t>García, Vicente</t>
  </si>
  <si>
    <t>Vicente García</t>
  </si>
  <si>
    <t>de Valparaíso á Don Gregorio de Andía y Vareia, Capitán de las mismas; á Capitanes á los Tenientes D. Vicente García y D. Bernabé Valdivieso: á Tenientes á los Sub- tenientes D. Manuel de Ahdíá y Vareia, p. Domingo Vaidés y D. Pedro -Agustín Galea; á Subtenientes á los soldados distinguidos B. Juan</t>
  </si>
  <si>
    <t>GarcíaGarei-Sanchez, Blas</t>
  </si>
  <si>
    <t>Blas GarcíaGarei-Sanchez</t>
  </si>
  <si>
    <t>arroquia de Santa María de la propia ciudad de Villena, igualmente servidero, vacante por muerte de D. Blas GarcíaGarei-Sanchez , á D'. Gabriel Ruiz González, Presbítero; y para el Beneficio simple de Ontoria de Valdearados, en la Diócesi de Osma, Prestamera de Ribatejada en la de Cuenca, y Préstamo de S.</t>
  </si>
  <si>
    <t>Gardner, Lord</t>
  </si>
  <si>
    <t>Lord Gardner</t>
  </si>
  <si>
    <t>Continente.— pícese que Lord Cornwallis va á dexar el mando de la esquadra del Canal) y le sucederá Lord Gardner. Xiene este mando de 25 á 30O libras esterlinas de dotación. Han perecido en la última tempestad, ademas de la tropa, mas de 500 caballos de la segunda expedición. Avisan de Surin</t>
  </si>
  <si>
    <t>Garíeno, Pedro</t>
  </si>
  <si>
    <t>Pedro Garíeno</t>
  </si>
  <si>
    <t>7*4 La Religión meditada i 3 tomos en 8.® por el Dr, D. Pedro Garíeno, Presbítero. Los dos primeros contienen meditaciones sobre los evangelios de las Dominicas para todos los dias del año. Van precedidas de un discurso preliminar sobre la importanc</t>
  </si>
  <si>
    <t>Gárlos Cotton</t>
  </si>
  <si>
    <t>tes del 14 de Mayo. : Lord San Vicente ha llegado á Portsmbúth en él navio Hibernia de 110 cañones. Sir Gárlos Cotton manda la esquadra del Canal durante su ausencia. También ha llegado á Plymouth el Contra-Almirante Thornbot viene enfermo de mucho cuidado. HOLANDA. Haya 24 de Junto. *• Ayer hici</t>
  </si>
  <si>
    <t>Garnerin</t>
  </si>
  <si>
    <t>ha llegado á VeltrL á dos leguas de Génova. El Conde de Haugwitz fue el miércoles ultimo á casa de Mr. Garnerin, y parece que quedó muy satisfecho de la hermosura de su gabinete de física, que el Rey de Prusia ha permitido lo transporte á Berlín. En virtud de una representación del Ministro</t>
  </si>
  <si>
    <t>Garrcw</t>
  </si>
  <si>
    <t>usaba semejante atrocidad, y se interrumpió el discurso del orador)......” „Veo , Señores, continuó Mr. Garrcw, en el horror que os inspira esta pintura, que os 2niman la misma indignación y justo resentimiento que los habitantes de la Trinidad maniréstáron contra el hombre odioso que esta</t>
  </si>
  <si>
    <t>Garrido, Juan</t>
  </si>
  <si>
    <t>Juan Garrido</t>
  </si>
  <si>
    <t>S. M., su Alcalde de Casa y Corte, á quien está cometida dicha Real facultad, por la escribanía de D. Juan Garrido, que se admitirán las que se Jiicigsen no; siendo friónos muertas, ni bax:ando del precio dé su tasación. D. Agustín Lozano, Abogado de los Reales Consejos, Comisionado Regio para</t>
  </si>
  <si>
    <t>de el 31 de Mayo próximo pasado ante el referido Sr. Alcalde D. Alfonso Duran, por la escribanía de D. Juan Garrido. En virtud de providencia delSr.D. Joaquín María Sotelo, del Consejo de S. M., su Oidor en la Real Audiencia de Sevilla, Juez de lo Civil en la plaza de Cádiz, y Auditor interino</t>
  </si>
  <si>
    <t>e 30, dias ante el referido- Sr. Alcalde D. Antonio Cano Manuel, por la escribanía? de provincia de D. Juan Garrido. Por decreto del Real Consejo de las Ordenes, de 9 de Mayo último, se halla aprobado el segundo y último remate de los frutos, y rentas de la Encomienda de Portezuelo* Orden de Al</t>
  </si>
  <si>
    <t>rs. la fanega. Quien quisiere hacer postura acuda ante el citado Sr. Alcalde, por la escribanía de D. Juan Garrido; y está señalado el dia 7 de Julio próximo para sú remate. Se halla vacante el partido de Cirujano titular de la villa'de Tor rejón del Rey, situada en lá campiña de Alcalá, á 3 l</t>
  </si>
  <si>
    <t>y escribanía de D. Juan Garrido; con apercibimiento que de lo contrario les parará el perjuicio que haya lugar. Por el juzgado del Sr. D. Diego Gil Fernandez, del Consejo de S. M., Alcalde en su Real Casa y Cort</t>
  </si>
  <si>
    <t>l Sr. D. Alfonso Duran, del Consejo de S. M., Alcalde de su Real Casa y Corte, por la escribanía de Don Juan Garrido, en el término de 30 dias contados desde el 7 del presente. En virtud de providencia del Sr. D. Torquato Antonio Collado, Teniente Corregidor de esta villa, y escribanía de D. Jac</t>
  </si>
  <si>
    <t>na, acuda ante el Sr. Alcalde de la Real Casa y Corte D. Antonio Cano Manuel , por la escribanía de D. Juan Garrido, que se admitirán las que se hiciesen no siendo manos muertas, ni baxando del precio de su tasación. Se venden dos tierras en término de Coslada, uña al sitio de Valdevivar-, dé c</t>
  </si>
  <si>
    <t>nte el Sr. D» Alfonso Duran, del Consejo de S. M., Alcalde de su Real Casa y Corte, y escribanía de D. Juan Garrido, se siguen los autos de testamentaría de D. Antonio Romualdo Marín, en la que la Comunidad de PP. Clérigos Menores del Espíritu Santo de esta Corte, como representante de D. Juliá</t>
  </si>
  <si>
    <t>ionado al efecto. Quien quisiere mejorar dicha postura acuda ante dicho Señor, por la escribanía de D. Juan Garrido , no siendo? manos muertas. - .3 Se halla vacante la plaza de Comadre de la ciudad de Segovia, dotada con 200 ducados de los Propios en cada un año. Las pretendierítas-aprobadas p</t>
  </si>
  <si>
    <t>arla acuda ante el Sr. Alcalde de la Real Casa y Corte D. Antonio Cano Manuel, por la escribanía de D. Juan Garrido, no siendo manos muertas. Sermones quadragesimales del P. Fr. Andrés de Valldigna, Capuchino de la Provincia de Valencia, varón doctísimo, plenamente instruido en la sublime cienc</t>
  </si>
  <si>
    <t>dichas fincas, juntas ó separadas, acuda ante dicho Sr. Comisionado al efecto, por la escribanía de D. Juan Garrido, que se admitirán las que se hicieren, con tal que no sean manos muertas, ni en ménos cantidad que en la que están tasadas. A voluntad de su poseedor, y en virtud de Real facultad</t>
  </si>
  <si>
    <t>una* acuda ante el Sn. Alcalde de la Real Casa y Corte D. Antonio Cano Manuel, por la escribanía de D. Juan Garrido, que se admitirán las que sevbficiércnTió siendo manos muertas, ni baxando dei precio de su tasación; previniéndose- se ha señaltdo para su remate el dia 4 del corriente, á las do</t>
  </si>
  <si>
    <t>Garrofa, Antonio</t>
  </si>
  <si>
    <t>Antonio Garrofa</t>
  </si>
  <si>
    <t>vacantes por promoción de D. Josef Ferrer á Canongía de la Colegiata de S. Feliu, y por ascenso de D. Antonio Garrofa, á D. Josef Ros y Pía y á D. Simón Azols: para otro Beneficio, vacante en la Parroquia de País, Diócesi de Gerona, por muerte de D. Pedro Dalmau, á D. Josef Fr i gol a: para una R</t>
  </si>
  <si>
    <t>Garrow</t>
  </si>
  <si>
    <t>s á esta causa singular. Fue inmenso el concurso que asistió á ella, y duró la vista un día enteró. Mr. Garrow habló en vez de Mr. Erskine, é hizo el discurso siguiente, en que expuso los hechos. „Con grande sentimiento mió veo, Señores, que la ausencia de una persona importante, destinada</t>
  </si>
  <si>
    <t>e la punta de la estaca, que penetraba en el pie despedazándole. „Mientras Luisa Calderón, continuó Mr. Garrow, padecía este tormento terrible, un Magistrado, ó por mejor decir un verdugo que presen</t>
  </si>
  <si>
    <t>Gaseó, Pedro</t>
  </si>
  <si>
    <t>Pedro Gaseó</t>
  </si>
  <si>
    <t>z de Noriega. Retrato de Enrique Péstalozzi, dibuxado en Suiza por M Diogg, y grabado en Madrid por D. Pedro Gaseó. Se hallará en las librerías de Orea, frente í San Luis, y de Ranz, calleóla Cjruz,á 4 rs. Memorial literari6ynútf«.'31 Mé.éste año. Contiene,extractó de Iá exclamación poética de</t>
  </si>
  <si>
    <t>Gauloisy Comandante, General</t>
  </si>
  <si>
    <t>General Gauloisy Comandante</t>
  </si>
  <si>
    <t>a. Los Oficiales solo conservaban sus sables. El General Menou, Comandante General , acompañado del General Gauloisy Comandante del departamento, se puso al frente del batallón , hizo salir á un Sargento y á un soldado, y los mandó meter en un calabozo. El batallón se alojó después en la ciudad.4 Se ha renovado e</t>
  </si>
  <si>
    <t>Gault</t>
  </si>
  <si>
    <t>eyrand, Príncipe Duque de Benevento, se han suprimido los 19 conventos que habia en aquella ciudad. Mr. Gault, Ayudante del Mariscal Bernadotte, tomó posesión el 7 del corriente del Ducado de Ponte-Corvo. La ceremonia se hizo con mucha solemnidad, y fue acompañada de todas las demostracio</t>
  </si>
  <si>
    <t>Gavina Martínez</t>
  </si>
  <si>
    <t>Tomas Butier y D. Josef Coste* en el de las Ordenes Militares Tenencia al Subteniente de granaderos Don Gavina Martínez: en el de Hibernia Subtenencia de bandera ai Cadete D. Pedro Pantaleon Zuloaga; y en eí Batallón de Voluntarios de Navarra á Subteniente de bandera al Cadete D. Joaquín de Urrestí</t>
  </si>
  <si>
    <t>Gcllowkin, Conde</t>
  </si>
  <si>
    <t>Conde Gcllowkin</t>
  </si>
  <si>
    <t>n, Comandantes de las fronteras, hicieron , contra la costumbre, algunas proposiciones al Embaxador Conde Gcllowkin, que no pueden concillarse con el éxercicid de su empleo, y á las quales no quiso acceder. Este incidente.ha causado gran sorpresa, porque los Chinos liabian manifestado unas disp</t>
  </si>
  <si>
    <t>Genaro Nasarre</t>
  </si>
  <si>
    <t>ción del Catedrático D. Mariano Añdreu sobre: los asuntos que les había cabido por suerte, á saber: D. Genaro Nasarre, i del calórico: D. Tomas Mártinez, de la formación de los fluidos elásticos aériformes: D. Juan Antonio Pradas,5 de las afinidades: D. Mariano Calvete, de la electricidad: D. Vic</t>
  </si>
  <si>
    <t>General de Extremadura, Capitán</t>
  </si>
  <si>
    <t>Capitán General de Extremadura</t>
  </si>
  <si>
    <t>etiéndose que si Miranda repite los desembarcos , llevará el premio que merece tan atroz maldad. El Capitán General de Extremadura ha dado cuenta al Rey nuestro Señor, por medio del Señor Generalísimo Príncipe de la Paz, de que el Reverendo Obispo de Plasencia ha h¿cho en favor del Real erario el donarivo gra</t>
  </si>
  <si>
    <t>General de Galicia, Capitán</t>
  </si>
  <si>
    <t>Capitán General de Galicia</t>
  </si>
  <si>
    <t>mente en el bloqueo de Gibraltar, sitio y toma de Mahon; y últimamente de Gobernado^ de Alicante, y Capitán General de Galicia. El acierto con que desempeñó la comisión de quintas en el Reyno de Valencia, y otras varias del Real servicio, las pruebas tan auténticas que ha dexado de su justificación, recti</t>
  </si>
  <si>
    <t>General de la Real Armada, Capitán</t>
  </si>
  <si>
    <t>Capitán General de la Real Armada</t>
  </si>
  <si>
    <t>Calzada, á 10 rs. en pasta y 8 en pergamino. Elogio, en prosa, del Excmo. Sr. D. Federico Gravina, Capitán General de la Real Armada, por D. Josef Mor de Fuentes. En este escrito se da noticia individual de las campañas de aquel General infatigable; se describen los sitios principales de sus acciones, y se hace</t>
  </si>
  <si>
    <t>General de Marina, Capitán</t>
  </si>
  <si>
    <t>Capitán General de Marina</t>
  </si>
  <si>
    <t>e de Cámara de S. M. con exercicio, Comendador de las Casas de Talavera en la Orden de Calatrava, y Capitán General de Marina. Empezó á servir á S. M. en este Cuerpo en i.° de Mayo de 1750, y habiendo hecho con extraordinario aprovechamiento todos los estudios elementales en la Academia de Guardias Marin</t>
  </si>
  <si>
    <t>y Álgarrga en la de Calatrava, Capitán General de Marina, y Comandante General de la esquadra del Océano____.Sus distinguidos servicios son tan notorios, sobre todo los que ha hecho en ia presente guerra hasta finalizar con todo el espl</t>
  </si>
  <si>
    <t>Gran Cruz de la Real Orden Española de Gárlos 111, Gentilhombre de Cámara de S. M. cón exércicio, y Capitán General de Marina. Empezó su carrera de Guardia Marina en; el año de 1742, y hechos «üs estudios, -páíó en * el navio el León al Mediterráneo á incorporarse con la esquadra del mando del Marqués de</t>
  </si>
  <si>
    <t>e del Espejo: pue-* de ir en carta. Retrato en forma de medalla del Excmo. Sr. D. Federico'Gravina, Capitán General de Marina, y Comandante General de la esquadra del Océano, y puede servir en caxa, dibüxado en Paris por Tournier, y grabado por J. B. Se hallará en la librería de Escribano, calle de las C</t>
  </si>
  <si>
    <t>n la d¿ Gómez Fúentenebro, calle de las Carretas. Oda en elogio del Excmo. Sr. D. Federico Gravina, Capitán General dé Marina &amp;c., dedicada á D. Francisco Sánchez, entre los Arcades Floralbo Corintio, por D. M. B. G. S. Acompaña á esta oda el retrato, y una viñeta que representa el combate sobre el Cabo</t>
  </si>
  <si>
    <t>General de Provincia, Capitán</t>
  </si>
  <si>
    <t>Capitán General de Provincia</t>
  </si>
  <si>
    <t>3T7 de la Orden de S. Juan de Jerusalen, Teniente General de los Reales Exércitos y Capitán General de Provincia: sirvió á S. M. desde el año de 1749» que empezó de Cadete del Regimiento de infantería de Lisboa: se halló en la expedición de la Luisiana y en la de Argel, donde habiendo sido h</t>
  </si>
  <si>
    <t>General de Venezuela, Capitán</t>
  </si>
  <si>
    <t>Capitán General de Venezuela</t>
  </si>
  <si>
    <t>a pérdida que ha tenido en esta tentativa en 120 hombres, inclusos los prisioneros y ahogados.__ El Capitán General de Venezuela, que dudaba los recursos y, auxilios de los invasores, tomó las mas activas providencias, y marchó á Valencia al frente de una porción de tropas, previniendo á los Jueces comarcan</t>
  </si>
  <si>
    <t>Generale Austríacos</t>
  </si>
  <si>
    <t>nsejo de Guerra extraordinario que ha de examinar y juzgar la ' conducta de los Generales Austríacos, acusados de no haber cumplido con su obligación en la última guerra, está ya formado definitivamente, y se juntará en la fortaleza de Koenigsgratz, en Bohemia</t>
  </si>
  <si>
    <t>eranzas, que él mismo no tenia: bien claro se vio esto en la conferencia de los Generales Rusos y Austríacos, en la quai se acordó que el 2.° y 3.0 exércitosRusos quedarían observando U Prusia, y obrarían contra ella si sus disposiciones, respecto de la Francia, fuese</t>
  </si>
  <si>
    <t>s Generales Prusianos, que en el delirio de su vanidad se habian burlado de los Generales Austríacos, han renovado 4 veces la catástrofe de Ulma: la 1.a en la capitulación de Erfurt: la 2.a en la del Príncipe de H henlohe : la 3.* en la rendición de Stettin; y</t>
  </si>
  <si>
    <t>Generale Beaumont</t>
  </si>
  <si>
    <t>a de caballería ligera del General Lasalie; y las divisiones de dragones de los Generales Beaumont y Grouchy marchaban hacia el misino punto.</t>
  </si>
  <si>
    <t>ióbrás inútiles, mandó el Gran Duque al General I.asallej, qüe sostenido de los Generales Grouchy y Beaumont invadiese lqparrabales: tres" Regimientos de dragones pasaron al mismo tiempo en Golmitz el rio que baña las murallas de Prentzlow, y acometiéron al enemigo po</t>
  </si>
  <si>
    <t>rte dé la caballería de reserva, compuesta de las divisiones de dragones de los Generales Beaumont,. Klein y Becker, de la división de coraceros del General Nansouty, y de la caballería ligera del General MilhaudX__«El Príncipe Gerónimo sitia á Gros-Glogau c</t>
  </si>
  <si>
    <t>Generale Bellegarde</t>
  </si>
  <si>
    <t>n, podrán comprarse para el Reyno de Italia* conforme al precio que señalen los Generales Bellegarde y Lauriston. vi* En coñseqüencia de las disposiciones referidas, desde mañana 4 de Enero de 1806.inclusive cesará toda evacuación de artillería y de inaniciones Austríacas</t>
  </si>
  <si>
    <t>Generale Bluchér</t>
  </si>
  <si>
    <t>Á. el Elector de Hesse se hallan en Cassel, adonde no Iban ilegado todavía los Generales Bluchér y Lédow. Uná partida de Hes</t>
  </si>
  <si>
    <t>Generale Blucher</t>
  </si>
  <si>
    <t>to Prusiano está distribuido en tres cuerpos; el de la derecha, mandado por los Generales Ruchel y Blucher, ocupa los Obispados de Osnabruck, de Munster y de Paderborn, y se extiende hasta las fronteras de Hesse; el centro, mandado en gefe por el Duque de Brunswick,</t>
  </si>
  <si>
    <t>Generale CáulinCótírt</t>
  </si>
  <si>
    <t>en nuestras inmediaciones, por nuestro Príncipe Real¿ el Príncipe Mutat, y los Generales Dufóc y CáulinCótírt. S. M. la Eihperatriz va muy á menudo al teatro de la ópera. Hantbitrgóio' de Eheto. Lás noticias de Hameln y de Hannó^eil ,' insertadas hoy éfi todas Muestras</t>
  </si>
  <si>
    <t>Generale Ciozel</t>
  </si>
  <si>
    <t>acompañado de su Estado mayor, y de un numeroso destacamento de caballería. Los Generales Ciozel, Rousseau y otros muchos Oficiales superiores del exército Francés que se halla en este país vinieron el mismo dia, y se esperan otros muchos, y al Comisario O</t>
  </si>
  <si>
    <t>Generale Clarke</t>
  </si>
  <si>
    <t>arelli y Walter han sido condecorados con la banda de la Legión de Honor; y los Generales Sábary y Clarke han obtenido el nombramiento de Grandes Oficiales de la misma. Legión. Escriben de Génova el 31 de Enero que S. A. S. el Príncipe ArchiTeserero estaba disponié</t>
  </si>
  <si>
    <t>Generale Conde</t>
  </si>
  <si>
    <t>iones respectivas los Regimientos que componían los cuerpos de exército de los Generales Conde de’Kalkreuth y de Schmettau. Ya se dixo en otra Gazeta que nuestro Soberano había resuelto formar una milicia nacional; ahora se ha publicado ya la composición de</t>
  </si>
  <si>
    <t>Generale de</t>
  </si>
  <si>
    <t>as costas de Francia desde S. Malo hasta Ostende. Lord Moyra, acompañado de los Generales Moss y Twís y de sus Edecanes, ha examinado con mucha prolixidad las nuevas fortificaciones establecidas en las alturas de Dover, y los reductos del castillo. Después ha pasado</t>
  </si>
  <si>
    <t>Generale Deroi</t>
  </si>
  <si>
    <t>ie que las demas tropas Bávaras._-En Munich tienen freqiientes conferencias los Generales Deroi, Wrede, Triya y otros, para formar up plan relativo al aumento del ^xército Bávároí i1 , Los Estados del Reyno dé Baviera se han de distribuir en departamen;to</t>
  </si>
  <si>
    <t>Generale Deroy</t>
  </si>
  <si>
    <t>da pensionada de la Legión de Honor, y otros 20 sin pensión. Es regular que los Generales Wrede y Deroy reciban también considerables pensiones de la Francia, Anspach 24 de Febrero* En la Gazeta de Bareuth se lee que ha entrado el Mariscal Bernadotte con 40® homb</t>
  </si>
  <si>
    <t>Generale Dufóc</t>
  </si>
  <si>
    <t>Generale Dundas</t>
  </si>
  <si>
    <t>visto forzados por los vientos contrarios á volver á entrar en las Dunas___ Los Generales Dundas, Mackenzie y Frazer son los Comandantes nombrados para la expedición. Antes de partir visitaron al Duque de Yorck, quien luego después conferenció largamente c</t>
  </si>
  <si>
    <t>Generale Dupas</t>
  </si>
  <si>
    <t>26 con las 2 divisiones del octavo cuerpo.del exército grande, mandadas por los Generales Lagrange y Dupas. El Rey de Holanda ha encontrado en Munster, en el Condado de la Mark, yen otros Estados Prusianos, almacenes y'artillería. Se han quitado en Fulda y en- Bruns</t>
  </si>
  <si>
    <t>Generale Dupont</t>
  </si>
  <si>
    <t>ado con satisfacción, al.lpasar revista, el buen porte de las divisiones de los Generales Dupont y Gazan. S. M. ha manifestado al Estado mayor jgeneral de artillería sumo-descontento por no haber visto completa la artillería de la división Gazan. El General Songis</t>
  </si>
  <si>
    <t>generale Eranceses</t>
  </si>
  <si>
    <t>cho varias conjeturas sobre haberse reunido en esta residencia muchos Oficiales generales Eranceses y los Cónsules de la misma nación que se hallan en Amsterdam y en Roterdam. El hecho es cierto; pero el motivo de su venida ha sido á divertirse, por ser tiempo en que se celebra l</t>
  </si>
  <si>
    <t>Generale Fox</t>
  </si>
  <si>
    <t>1038 la gendarmería y los cadalsos hacen justicia. Los Generales Stuart y Fox, y todos ios Oficiales de tierra se indignan de ver el nombre Ingles asociado ai de ios rebeldes. El valeroso General Stuart se ha quejado públicamente de sus</t>
  </si>
  <si>
    <t>Generale Franceses</t>
  </si>
  <si>
    <t>Italia.— El General Lauristpn dió cop este moti-vo un banquete brillante á los Generales Franceses é Italianos. Hoy debe haber llegado á Verona S. A. I. muestro Virey conJa Princesa su esposa. Esta noticia ha sido anunciada de oficio por el Ministro de lo In</t>
  </si>
  <si>
    <t>a Marina y Comisario Real, el General en gefe Michaud, y otros muchos Oficiales Generales Franceses y Holandeses, fué muy brillante. Hoy han asistido los mismos personages á la parada. Los preparativos para recibir al Rey, así como el establecimiento de la nueva forma de</t>
  </si>
  <si>
    <t>■■-iningún objeto hostil, y que la falta de víveres la ha hecho necesaria. Los Generales Franceses han asegurado positivamente que pagarán á dinero contante quanto compren. El Obispo de Montenegro ha recibido sumas considerables de la Gran Bretaña para mante</t>
  </si>
  <si>
    <t>almente al Emperador de los Franceses un solo hecho ignorado ni obscuro. Muchos Generales Franceses habían tenido Ja halagüeña esperanza de batir y vencer en Austerlirz un exército Prusiano. El vencimiento que sufriéron dos Emperadores, fvé una muestra de lo</t>
  </si>
  <si>
    <t>uebas mayores de aprecio, y á todos nos han tratado con generosidad*. Todos los Generales Franceses lian admirado la bizarría con que hemos peleado. Toda la división ha quedado, prisionera de guerra; los Oficialas .conservan sus equipages, y los soldados su.r</t>
  </si>
  <si>
    <t>e habian destacado antes, ó habian muerto, ó quedado prisioneras en Lubeck. Los Generales Franceses habrán visto al recibir las tropas comprehendidas en la capitulación que no pasaba su número del que yo calculaba. „ La constancia, fidelidad y valor que mis t</t>
  </si>
  <si>
    <t>uarnición en esta ciudad: lo mismo ha sucedido en otros pueblos. Informadas los Generales Franceses de esta novedad, han enviado destacamentos á esta provincia de la Polonia Baxa para favorecer á los habitantes. ALEMANIA. Berlín 24 de Noviembre. Aseguran que los R</t>
  </si>
  <si>
    <t>Generale Gardanne</t>
  </si>
  <si>
    <t>n se forma con suma actividad* Maguncia 4 de Octubre. El Mariscal Mortier y los Generales Gardanne y Ordenner se hallan todavía aquí. Se asegura que se formará en estas inmediaciones el octavo cuerpo de exército, que lo mandará el Mariscal Mortier. ' La guardia de caba</t>
  </si>
  <si>
    <t>Generale Gazan</t>
  </si>
  <si>
    <t>Generale Groucbyy Sahuc</t>
  </si>
  <si>
    <t>gue": la dividon decorace*? ros del General d’Hantpoult, las de dragones de los Generales Groucbyy Sahuc, y la caballería ligera del General Lasalle, que formaban parte de la caballería de reserva que el Gran Duque de Berg tenia en Lubeck, liegaq á Berlín. JLa van</t>
  </si>
  <si>
    <t>Generale Grouchy</t>
  </si>
  <si>
    <t>Generale Gudin</t>
  </si>
  <si>
    <t>o y firmeza de carácter, principal qualidad de un guerrero. Fué ayudado por los Generales Gudin, Friant, Morand y Daultanne, Gefe del Estado mayor, y por la rara intrepidez de su valeroso cuerpo de exército. Los resultados de la batalla son de 30 á 40© pr</t>
  </si>
  <si>
    <t>Generale Hautpoult</t>
  </si>
  <si>
    <t>honores, así civiles como militares, que los Grandes Oficiales del Imperio. Los Generales Hautpoult, Suchet, CafFarelli y Walter han sido condecorados con la banda de la Legión de Honor; y los Generales Sábary y Clarke han obtenido el nombramiento de Grandes</t>
  </si>
  <si>
    <t>Generale Holandeses</t>
  </si>
  <si>
    <t>Generale Jellachich</t>
  </si>
  <si>
    <t>nubio: 6.a la muerte del General Austríaco Schmidt: 7.a la desobediencia de los Generales Jellachich y Príncipe de Rohan á las órdenes del Archiduque Juan." Es de.extrañar que el compositor de este periódico, ya que ha subido á buscar en su origen las causas de los desgraciados a</t>
  </si>
  <si>
    <t>Generale Kalkreut</t>
  </si>
  <si>
    <t>un cuerpo de 60© hombres, donde se hallaba ef Rey de Prusia en persona, con los Generales Moellendorf y Kalkreut. Las divisiones de los Mariscales Lannes, Ney, Soult y Augereau han quedado también cubiertas de gloria. Las divisiones de dragones y coraceros, mandadas por e</t>
  </si>
  <si>
    <t>Generale Klein</t>
  </si>
  <si>
    <t>Zach Comandante de Trieste , y eí General1 Marguet Comandante de Carlstadt. Los Generales Klein, Prohaska y Koibel han sido nombrados iti</t>
  </si>
  <si>
    <t>Generale Lagrange</t>
  </si>
  <si>
    <t>Generale Lauriston</t>
  </si>
  <si>
    <t>Generale Lauríston</t>
  </si>
  <si>
    <t>ro ha sido tomada por asalto por un cuerpo de exército Francés .mandado por los Generales Lauríston y Molitor. Casi no se habla de otra cosa en todas las concurrencias de esta ciudad sino de la nueva Constitución Germánica, cuyo plan llegó á Berlín el &lt;23, y i Ratisbon</t>
  </si>
  <si>
    <t>Generale Lédow</t>
  </si>
  <si>
    <t>generale los Cónsules</t>
  </si>
  <si>
    <t>Generale Mack</t>
  </si>
  <si>
    <t>arreado. Dentro de poco se examinará con la mas severa justicia la causa de los Generales Mack , Wernek, Aufenberg ,.Aue$berg y otros. Ahora se dice que el Conde de Bellegarde irá de Embaxador Austríaco ¿París. ' ' •/ • ■ . * ‘ 1 1 Francfort iF de Enero,</t>
  </si>
  <si>
    <t>Generale Maisons</t>
  </si>
  <si>
    <t>al enemigo en esta acción varias veces con mucha oportunidad, sostenido por los Generales Pactod y Maisons con el Regimiento núm. 27 de infantería ligera y con el 8.* de línea. Es cosa de notar, entre los varios sucesos del combate, que una com-r pañía de descubrido</t>
  </si>
  <si>
    <t>Generale Mayores</t>
  </si>
  <si>
    <t>ales de la misma graduación se retiran con la pensión de 3© florines: entre los Generales Mayores hay 29 con 1500 florines de retiro cada uno, y dos de ellos, que son Mrs. Heien y Spangen, quedan reformados por sentencia y sin redro. En las cartas recibidas</t>
  </si>
  <si>
    <t>Generale Moellendorf</t>
  </si>
  <si>
    <t>Generale Molitor</t>
  </si>
  <si>
    <t>Generale Mollendorf</t>
  </si>
  <si>
    <t>s ios Oficiales generales Prusianos, y entre ellos el Duque de Brunswick, y los Generales Ruchel y Mollendorf, han salido gravemente heridos. Del estado en que se halló el exército después de la batalla se puede colegir qual haya sido su derrota; pues consistía entonce</t>
  </si>
  <si>
    <t>Generale Moss</t>
  </si>
  <si>
    <t>Generale Nansouty</t>
  </si>
  <si>
    <t>revista antes de ayer lunes á Jas divisiones de carabineros y coraceros- de los Generales Nansouty y d’Hautpoul. , ■ / „ Concluida que fué, tuvo S. M. una verdadera satisfacción al ver en tan buen pie estos valientes Regimientos de coraceros, que tan reiteradas p</t>
  </si>
  <si>
    <t>Generale Ordenner</t>
  </si>
  <si>
    <t>Generale Pactod</t>
  </si>
  <si>
    <t>Generale Príncipe de Galitzin</t>
  </si>
  <si>
    <t>s 3 colunas Rusas que se aguardan en territorio Prusiano están mandadas por los Generales Príncipe de Galitzin, Conde de Tolstoy y Semborasky. La tercera división del exército grande, al mando del Mariscal Davoust, se ha puesto en marcha el 16 de Posen y de sus contorno</t>
  </si>
  <si>
    <t>Generale Príncipe de Rohan</t>
  </si>
  <si>
    <t>Generale Pru</t>
  </si>
  <si>
    <t>plaza; alrdia siguiente- tuvo una conferencia con. el General Lecoq y los demas Generales Pru:ianos que se hallaban en la fortaleza, y los hizo firmar'la capitulación que sigue á este diario. Había en Hameln 9$ hombres, entre ellos 6 Generales, que han</t>
  </si>
  <si>
    <t>Generale Prusianos</t>
  </si>
  <si>
    <t>so al Embaxador Británico las disposiciones que convenia tomar en común con los Generales Prusianos para elegir las posiciones de los exércitos aliados en la Saxonia Baxa; y en conseqíiencia despachó al Teniente Coronel Barón de Krusemark con una carta para e</t>
  </si>
  <si>
    <t>rmonía; y prueba de¡ ello es iá cordialidad con que los principales Ministros y Generales Prusianos han celebrado en Berlín la fiesta de S. Napoleón.” y Las tropas Prusianas han evacuado la parte septentrional del Electotado de Hannóver y el puerto de Cuxhave</t>
  </si>
  <si>
    <t>generale Prusianos</t>
  </si>
  <si>
    <t>sangrienta que habrá sido la pelea, bastará decir que casi todos ios Oficiales generales Prusianos, y entre ellos el Duque de Brunswick, y los Generales Ruchel y Mollendorf, han salido gravemente heridos. Del estado en que se halló el exército después de la</t>
  </si>
  <si>
    <t>despachó un correo á Gotta, en donde se cree que está S. M. Prusiana. Todos los Generales Prusianos son de sentir que debe abandonarse la Oest-Frisia,y acercarse quanto sea posible á la Turingia, para no alejarse mucho del exército del Rey á la primera ventaj</t>
  </si>
  <si>
    <t>'975 afirman fós'mismos Generales Prusianos’ que* pasan por aquí ? ya es impo-p sible reparar; tan mmefi$a&gt; pérdida; Quando se&lt; les pregunta ¿rque se hicieron sus compañéroS ? ddiide -pudiéron refugiarse</t>
  </si>
  <si>
    <t>has banderas y 16® prisioneros, entre losquales hay 4® de caballería. Así estos Generales Prusianos, que en el delirio de su vanidad se habian burlado de los Generales Austríacos, han renovado 4 veces la catástrofe de Ulma: la 1.a en la capitulación de Erfurt</t>
  </si>
  <si>
    <t>Generale Przebyschewsky</t>
  </si>
  <si>
    <t>os dos Muller, estos tres últimos quedáron prisioneros, y también los Tenientes Generales Przebyschewsky y Wimpfen, con los Mayores-Generales Selechow, Strick y Scheakow. Este último no se halló en la batalla por estar enfermo, y lo hicieron prisionero en su coche quando vo</t>
  </si>
  <si>
    <t>Generale Ruchel</t>
  </si>
  <si>
    <t>os Príncipes sus hermanos, el Duque de Brunswick, el Mariscal Moéliendorff, los Generales Ruchel, Kalkreuth, Bluchel, Kleist y otros varios. Escriben de Leipsick que aunque ha salido de Berlín el Ministro Laforest, permanecerán allí por algún tiempo Mrs. C</t>
  </si>
  <si>
    <t>a en estado de vencer á los Franceses, y que se debía declarar la guerra.___Los Generales Ruchel { muerto ) y Blucher (que se ha escapado usando de subterfugio, y abusando de la lealtad Francesa) firntáron este escrito, dispuesto en forma de memorial: el P</t>
  </si>
  <si>
    <t>Generale Rusos</t>
  </si>
  <si>
    <t>Regimientos 5.0 y io.° de coraceros, y un gran tren de artillería. / Alg ístíos Generales Rusos, prisioneros en la batalla de Austerlitz, no se</t>
  </si>
  <si>
    <t>as semillas de rivalidad y desunión que luego á luego se manifestaron entre los Generales Rusos y 1®S Au.SttiaCOS. • • :i i.,; ■ b . v Dicen que S. M. el E;mperaj3or;r4e ' Rusjía; $e pondrá en* camino para Xithuanía y- aun. hay quien jarrina, qutj áfttef;^</t>
  </si>
  <si>
    <t>osible. ' BAVIERA ' . .."V ’ # Munich jo de Junio. • El 27 pasaron por aquí dos Generales Rusos que van á París. El día anterior salió con el mismo destino Mr. de Oubril. Dícese que el Emperador Ñapóle .-i quiere hacer la merced á nuestro Rey de un Ducado</t>
  </si>
  <si>
    <t>Generale Sábary</t>
  </si>
  <si>
    <t>Generale Sacken</t>
  </si>
  <si>
    <t>Teniente General Essen, que luego murió de resultas de las heridas; los Mayores-Generales Sacken,Depreradowich, Gishizky, Repnin, Berg y los dos Muller, estos tres últimos quedáron prisioneros, y también los Tenientes Generales Przebyschewsky y Wimpfen, co</t>
  </si>
  <si>
    <t>Generale Selechow</t>
  </si>
  <si>
    <t>os, y también los Tenientes Generales Przebyschewsky y Wimpfen, con los Mayores-Generales Selechow, Strick y Scheakow. Este último no se halló en la batalla por estar enfermo, y lo hicieron prisionero en su coche quando volvía de Wischaw.__ Tal es el informe</t>
  </si>
  <si>
    <t>Generale Sir Arturo Wellesley</t>
  </si>
  <si>
    <t>modo. Dicen que saldrá pronto una expedición para las Indias occidentales. Los Generales Sir Arturo Wellesley y Sir Jorge Prevost mandarán, según se cree,dos expediciones separadas. Ha llegado esta mañana á Faimouth una mala de las islas de Sotavento, en el paquebot Princesa Amalia, que h</t>
  </si>
  <si>
    <t>Generale Sir Jorge Prevost</t>
  </si>
  <si>
    <t>Generale Stuart</t>
  </si>
  <si>
    <t>Generale Twís</t>
  </si>
  <si>
    <t>Generale Wimpfen</t>
  </si>
  <si>
    <t>Generale Wrede</t>
  </si>
  <si>
    <t>Genhard</t>
  </si>
  <si>
    <t>e á 600 cabezas. Mr. Zay, de Arth, regula la pérdida total á 1400 personas. El Consejero de Lucerna Mr. Genhard parte mañana para Schwitz. ITALIA. * : Ñapóles 25 de Agosto. . Considerando el Gobierno el mucho número de Comunidades Religiosas que existen en el Reyno, ha mandado suprimir algu</t>
  </si>
  <si>
    <t>Gentz</t>
  </si>
  <si>
    <t>tribuyó la tardanza de los Rusos á la inquietud que había en orden á las intenciones de la Prusia. „Mr. Gentz afirma en un escrito que por aquel tiempo se concluyó un tratado entre la Prusia y la Rusia; pero si hay semejante tratado, ¿cómo es que no se ha puesto sobre la mesa del Parlamen</t>
  </si>
  <si>
    <t>Gerard, Coronel</t>
  </si>
  <si>
    <t>Coronel Gerard</t>
  </si>
  <si>
    <t>0 cañones; un millón de libras de pólvora, é innumerables materiales para artillería y pontones. El Coronel Gerard y el Ayudante Ricard presentaron esta mañana al Emperador, en nombre del i.° y 4.0 cuerpos, 60 banderas y estandartes tomados en Lubeck á las tropas del General Prusiano Blucher: los</t>
  </si>
  <si>
    <t>Gerónima Muñoz</t>
  </si>
  <si>
    <t>r á todas las personas que pretendan tener acción á los bienes que han quedado por fallecimiento de Doña Gerónima Muñoz, viuda que fué de D. Manuel de la Mata, natural de la villa de Daimiel, hija, legítima de Matías Muñoz y de Antonia Morales Lozano, difuntos, para que en el preciso y perentorio t</t>
  </si>
  <si>
    <t>Gerónimo, Príncipe</t>
  </si>
  <si>
    <t>Príncipe Gerónimo</t>
  </si>
  <si>
    <t>viado por S. M. el Emperador fué de dar parte al Senado del matrimonio contratado entre S. A. I. el Príncipe Gerónimo y una Princesa Real de Wúrtemberg: se añade que después del mensage *e le) éron las dos cartas siguientes: una para el Príncipe Primado de la Confederación del Rhin, y otra para el</t>
  </si>
  <si>
    <t>riosos.__ El Gran Duque de Berg se hallaba aquí hace días. Se anuncia también ia próxima venida del Príncipe Gerónimo. Esta noche deben llegar el Príncipe de Benevento y el Secretario de Estado. Aquisgran 26 de Setiembre. Antes de ayer á las 2 de la tarde se puso en camino la Reyna de Holanda par</t>
  </si>
  <si>
    <t>n principiado las hostilidades. Por decreto de 19 de Setiembre ha sido nombrado Contra-Almirante el Príncipe Gerónimo. Escriben del Haya que allí todas las noticias son de guerra. Las Guardias del Rey habían marchado al campamento. El Rey de Prusia habia salido á campaña, y el Embaxador de Franci</t>
  </si>
  <si>
    <t>is jo de Octubre. El Emperador llegó á Aschaffenburgo el dia 2 á las 7 de ía mañana, acompañado del Príncipe Gerónimo. La tropa estaba formada en la carrera, y luego que se dexáron ver los batidores hizo salva ía artillería, y las campanas se echaron á vuelo. El Príncipe Primado de la Confederaci</t>
  </si>
  <si>
    <t>ariscal Davoust en Naumburgo: el del Mariscal Latines en Jena: el del Mariscal Augereau en Kala. El Príncipe Gerónimo, á quien SvM. ha conferido el mando de los aliados y de un cuerpo de tropas Bávaras, ha llegado á Schleitz, habiendo de paso hecho bloquear con un. Regimiento? la fortaleza de Cu-</t>
  </si>
  <si>
    <t>burgo; y durante su estancia en aquella ciudad ha conferido la banda de la Orden Real á S. A. I. el Príncipe Gerónimo. Manheim 12 de Octubre. No hemos recibido periódicos de Prusia, de Saxonia, ni en general del norte de Alemania. Son tan vagas e inciertas las noticias esparcidas, que no debe cau</t>
  </si>
  <si>
    <t>a heredera de Badén. Se dice que vendrá asimismo la Princesa de Wurtemberg, que hade casarse con el Príncipe Gerónimo. París 2$ de Octubre. Después de la victoria de Jena ha perseguido el exército grande las reliquias del de los Prusianos, y ha hecho un número considerable de prisioneros. Las car</t>
  </si>
  <si>
    <t>cal Davoust ha pasado el Oder en Francfort: los aliados Bávajos y Wirtembergeses, á las órdenes del Príncipe Gerónimo, marchan de Dresde á Francfort. El Rey de Prusia ha abandonado el Oder, pasado el Vístula, y retirá, 4qse á Graudentz : las plazas de Silesia están desguarnecidas y desprovista y</t>
  </si>
  <si>
    <t>se descubren nueva artillería y nuevos almacenes. Nuestros batidores han entrado ya en Polonia: el Príncipe Gerónimo marcha á Silesia al frente de la división de Bávaros y de Wirtemburgueses. El Emperador ha nombrado al General Clarke Gobernador general de Berlín y de Prusia , y ha acordado ya l</t>
  </si>
  <si>
    <t>a Wurtémburguesa ei dia 3. Todas estas colunas marchan al Oder, y forman el cuerpo del exército del Príncipe Gerónimo. El General Durosnel marchó á Odesberg con una partida de caballería luego que entramos en Berlín, para interceptar quanto pasase por el canal al Oder. Ha tomado mas de rio barcos</t>
  </si>
  <si>
    <t>102.5: Ef Mariscal Lannés está’en Stettin ; él Mariscal Davóasf en Francfort, y el Príncipe Gerónimo en Silesia. El Emperador ha pasado hoy revista á la división de dragones del Ger' neral Beaúmont ett lá plaza dél palacio de Berlw, y ha hechb várias p^o-j mociones. Los soldados de</t>
  </si>
  <si>
    <t>ción al fin.) Habia en ella 16® hombres, cerca de 800 cañones, y almacenes muy bien provistos___ El Príncipe Gerónimo ha mandado bloquear la plaza de Glogau, capital de la Silesia Alta, y lo ha executado el General de brigada Lefebvre al frente de 2® caballos Bávaros: 8 obuses servidos por la art</t>
  </si>
  <si>
    <t>tá prisionero. El Mariscal Latines está en Stettin, el Mariscal Datoust en Francfort del Oder, y el Príncipe Gerónimo en Silesia.</t>
  </si>
  <si>
    <t>la división de coraceros del General Nansouty, y de la caballería ligera del General MilhaudX__«El Príncipe Gerónimo sitia á Gros-Glogau con la división de los aliadosel. tren dé sitio se ha fcrmadp en Custrin ; una. de. sus divisiones cerca á Breslauy él'toma posesión de la Silesia^ Nuestras tr</t>
  </si>
  <si>
    <t>eutralidad á este pais, llegaron á aquella capital el Géneraí Hedowille , Gefe del Estado mayor del Príncipe Gerónimo , y Mr. Thiard ¿ Gentilhombre-del Emperador, nombrado Comandante de la ciudad, quienes se concillaron prontamente con su conducta el aprecio y reconocimiento de los habitantes. El</t>
  </si>
  <si>
    <t>gardt. Francfort /p de Noviembre. Escriben de Crossen del Oder el 6 de Noviembre lo que sigue: „ El Príncipe Gerónimo ha pasado hoy por esta ciudad con una numerosa caballería y un tren de artillería, encaminándose á Silesia y á Polonia.” 1</t>
  </si>
  <si>
    <t>xército del Mariscal Lannes hácia Thorn. Dresde 1$ de Noviembre* El 15 del corriente ha «entrado el Príncipe Gerónimo en Breslau: las avanzadas habian llegado el dia anterior. Por otro lado, según escriben del exército, el ala izquierda, parte de la qual se había puesto en marcha para Dantzick, se</t>
  </si>
  <si>
    <t>pero viendo que los Franceses se dirigían á ella con ánimo de pelear, la evacuó inmediatamente. El Príncipe Gerónimo se halla en Kalitsch con las tropas Bávaras; lo restante del exército ha llegado ó está para llegar á Posen, adonde viené por varios lados. El Mariscal Mortier marcha sobre Anklam</t>
  </si>
  <si>
    <t>GerÓninip Riglos</t>
  </si>
  <si>
    <t>traudi, Sargento mayor de! de España: ¡en el de Farnesio Compañía al Ayudante, graduado de Capitán, D. GerÓninip Riglos; y en el de Santiago empleo de Portaestandarte al Cadete Di Feliciano Genover. N ■ ... El Rey se ha sérvido conferir el Gobierno Militar y Político de la plaza de Peñíscola al Bri</t>
  </si>
  <si>
    <t>Gervasio Fernández Izquierdo</t>
  </si>
  <si>
    <t>a audiencia del Sr. D. Torquato Antonio Collado, Teniente Corregidor de esta villa, y escribanía de D. Gervasio Fernandez Izquierdo, se ha mandado sacar á pública subasta, por término de 30 dias contados desde el 23 de Diciembre pró^ xlmo pasado, una casa sita en la callé de S.’Miguel, núm. 10 , manz. 296, que</t>
  </si>
  <si>
    <t>Gessner</t>
  </si>
  <si>
    <t>tillo, frente á las gradas de S. Felipe. La muerte de Abel, poema en prosa en cinco actos: su autor Mr. Gessner, traducido al castellano y aumentado con notas: un tomo en 8.° Véndese en la librería de Montero, calle de la Gorguera, en la de Zaragoza, calle de laPiz, en la de Minutria, calle</t>
  </si>
  <si>
    <t>Gevallos, Pedro</t>
  </si>
  <si>
    <t>Pedro Gevallos</t>
  </si>
  <si>
    <t>n de la enseñanza y del exemplo, se ha dignado expedir una Real orden, comunicada por el Excmo. Sr. D. Pedro Gevallos, primer Secretario de Estado y del Despacho, á D. Francisco Antonio Zea , Gefe y primer Profesor deí Real J2r~ din Botánico de Madrid, la que entre otras disposiciones importantes</t>
  </si>
  <si>
    <t>GHIet</t>
  </si>
  <si>
    <t>nidos de América y la isla de Sto. Domingo. Un incendio ha consumido los almacenes y las prensas de Mr. GHIet, impresor de Londres, y algunas otras casas de la plaza de Salisbury. Se re</t>
  </si>
  <si>
    <t>Gil Cano Moya</t>
  </si>
  <si>
    <t>el Cuerpo' Legistatívó. É&gt;e España, ranas ftrdénes Reales &amp;c.;; la conclusión de la contestación de D, Gil Cano Moya á D. Pablo Pedro de Astarloa; noticia de los honores'fán.ebres hechos al Almirante Nelson, de sus disposiciones testamentarias &amp;c. . .. ■— - -■ ■ ——— í------- ---■■ ---' ■' rr.-:-</t>
  </si>
  <si>
    <t>Gil de Tabeada y Lemos, Felipe</t>
  </si>
  <si>
    <t>Felipe Gil de Tabeada y Lemos</t>
  </si>
  <si>
    <t>a á qualquiera de ellas acuda á la escribanía d¿ D. Ramón de Milla Cuellar. Por previdencia del Sr. D. Felipe Gil de Tabeada y Lemos, del Consejo de S. M., su Alcalde de Casa y Corte, y escribanía de D. Mauricio Justo del Rincón , se ha señalado el miércoles 13 del corriente mes, á las once en punto de su mañan</t>
  </si>
  <si>
    <t>Gil de Taboada y Lemos, Felipe</t>
  </si>
  <si>
    <t>Felipe Gil de Taboada y Lemos</t>
  </si>
  <si>
    <t>e el 29 de Marzo para la puja del quarto. Quien quisiere hacerla acuda ante el Sr. Alcalde de Corte D. Felipe Gil de Taboada y Lemos, por la escribanía de D. Mauricio Justo del Rincón. El Sr. Intendente de esta provincia ha señalado el 23 del corriente para la puja del quarto de los remates aprobados de las cas</t>
  </si>
  <si>
    <t>el 29 de Marzo para la mejora del quarto. Quien quisiere hacerla acuda ante el Sr. Alcalde de Corte D. Felipe Gil de Taboada y Lemos, por la escribanía de D. Mauricio Justo del Rincón. En virtud de Real facultad se vende un molino harinero, llamado de Moyarniz, situado en término y jurisdicción de la villa de C</t>
  </si>
  <si>
    <t>e D. Juan de Répide, dentro de 30 dias contados desde el 19 del. corriente. Por providencia del Sr. D. Felipe Gil de Taboada y Lemos, del Consejo de S. M., su Alcalde de Casa y Corte, y escribanía de D. Mauricio Justo del Rincón, se ha mandado sacar á pública subasta, por término de 15 dias, que principian á co</t>
  </si>
  <si>
    <t>Gil de Tejada, Pedro</t>
  </si>
  <si>
    <t>Pedro Gil de Tejada</t>
  </si>
  <si>
    <t>sidoro García Plaza. En Jaén................. D. Pedro y D. Juan Esponera. En León................. D. Pedro Gil de Tejada. En Málaga........... D. Juan Ximeno. En Mahon............. Doña Catalina Germán y Hugalde. En Murcia............ Sres. Moreda y Ladalid. En Oviedo.............. D. Manuel Rubiano</t>
  </si>
  <si>
    <t>. Isidoro García Plaza. En Jaén............... D. Pedro y D. Juan Esponera. En León................ D. Pedro Gil de Tejada. En Málaga.......... D. Juan Ximeno. En Maltón............ Doña Catalina Germán y. Hugalde. En Murcia........... Sres. Moreda y Ladalid. En Oviedo............ D. Manuel Rumano. En</t>
  </si>
  <si>
    <t>Gil Fernández, Diego</t>
  </si>
  <si>
    <t>Diego Gil Fernández</t>
  </si>
  <si>
    <t>r postura acuda ante dicho Señor por la citada escribanía. Por providencia del Sr. Alcalde de Corte D. Diego Gil Fernandez, de 22 dé Febrero próximo pasado, se ha mandado sacar á pública subasta, por término de 30 dias, una casa sita en el lugar de Getafe en la calle del Barco, tasada en 6790 rs. Quie</t>
  </si>
  <si>
    <t>sco Ximenez, dentro de 30 dias contados desde el 25 de Abril próximo pasado. Por el juzgado del Sr. D. Diego Gil Fernandez, del Consejo de S. M., Alcalde en su Real Casa y Corte, se ha mandado sacar á pública subasta, por término de 30 dias contados desde el 21 del pasado, una casa sita en la calle de</t>
  </si>
  <si>
    <t>arto de S. A.: el Sr. Marques de Sotomayor, su primer Caballerizo; y el Sr. Alcalde de Casa y Corte D. Diego Gil Fernandez, y el mismo Excmo. Sr. Duque de la Roca, acompañado del limo. Sr. Notario D. Sebastian de Piñuela, de los Capellanes de Honor D. FranciscoQuesada, Don Juan Guillen, D. Agustín Lib</t>
  </si>
  <si>
    <t>509,548 rs. El Sr. Intendente de esta Provincia Ha aprobado los dos remates celebrados ante el Sr. D. Diego Gil Fernandez, del Consejo de S. M., Alcalde en su Real Casa y Corte, de dos casas sitas en esta Corte en ía calle del Lobo , núms. 10 y n, manz. 224, tasada la primera en 44,309 rs., rematada</t>
  </si>
  <si>
    <t>n apercibimiento que de lo contrario les parará el perjuicio que haya lugar. Por el juzgado del Sr. D. Diego Gil Fernandez, del Consejo de S. M., Alcalde en su Real Casa y Corte, y escribanía de D. Juan Antonio Díaz Noriega, se cita, llama y emplaza á todos los acreedores de D. Juan Acoz, vecino y del</t>
  </si>
  <si>
    <t>. Luis de Mata y Araujo. en su casa, calle de los Jardines, n. 52. Presidió estos exercicios el Sr. D. Diego Gil Fernandez, del Consejo, de S. M, Alcalde de su Re^l Casa y pórte. Hizo la apertura,el dia i.° ©. Manuel JEntrambasaguas con un discurso sobre el estudio que debemos hacer como, buenos patri</t>
  </si>
  <si>
    <t>ente D. Torquato Antonio Collado., por.ante el Escribano del número D. Julián González Saez. El Sr. D. Diego Gil Fernandez, del Qonsejo de S. M., Alcalde en su Real Casa y Corte, ha mandado continuar la subasta, por 9 dias mas, para pago de un áprepdor., de ,un^ casa,.,mesón;sita en la plaza del lugar</t>
  </si>
  <si>
    <t>ada escribanía, en el. término de 30 dias contados desde el 3 del corriente. Por el jurgido del Sr. D. Diego Gil Fernandez, del Consejo de S¿ M., Alcalde en su Real Casa y Corte,, está mandado sacar á pública subasta, por término de 30 dias tentados desde ef 26 de Agosto último, una casa sita en esta</t>
  </si>
  <si>
    <t>ve en está Corte en la casa de S. E., calle de las Infantas. . r;. , ^ . ., Por providencia del Sr. D. Diego Gil Fernandez, Alcalde de Casa y Corte, se han mandado sacar á pública subasta,:por término de 3,0 dias contados desde 3 del corriente, dos casas sitas en esta Corte: una en la calle de Silva,</t>
  </si>
  <si>
    <t>. Quien quisiere hacer postura acuda á la citada escribanía de la comisión. Por providencia del Sr. D. Diego Gil Fernandez, Alcalde de Casa y Corte , se ha mandado publicar por 15 dias mas una casa sita en la calle del Rubio, núm. manz. 471 , tasada en 25,028 rs., rematada en la misma cantidad á pagar</t>
  </si>
  <si>
    <t>Gil Josef Pacot</t>
  </si>
  <si>
    <t>rrery Don Rafael Granda. En el Regimiento de infantería de Cuba á Capitán al Teniente de granaderos D. Gil Josef Pacot; á Teniente de granaderos al de fusileros D. Josef Eligió; á Teniente de fusileros al Subteniente de granaderos D. Joaquín de la Torre y Duarte; á esta resulta al Subteniente de f</t>
  </si>
  <si>
    <t>Gil Santibañes, Manuel</t>
  </si>
  <si>
    <t>Manuel Gil Santibañes</t>
  </si>
  <si>
    <t>onferida Compañía en . el Regimiento de dragones de Sagunto á D. Josef Muñoz, léase 2&gt;. Juan Muñoz. D. Manuel Gil Santibañes, del comercio de esta Corte, remitió j&gt;or el correo de 15 de Enero próximo pasado á D. Diego Nuñez de Murcia, de Vtgo, seis vales Reales dé á 150 pesos, creación íde 1.° de Enero,</t>
  </si>
  <si>
    <t>7281; y habiéndose extraviado, quien supiere de su paradero sp servirá avisar en esta Corte á dicho D. Manuel Gil Santibañes, ó en Vigo á D. Diego Nuñez dp Mlircia» Por providencia de D. Francisco Antonio Santos, Comisionado Regio para la enajenación de bienes secularizados en la Diócesi deB.arbastro, s</t>
  </si>
  <si>
    <t>Gil Sugadi, Francisco</t>
  </si>
  <si>
    <t>Francisco Gil Sugadi</t>
  </si>
  <si>
    <t>ia de la villa de Binuesa, en el Obispado de Osma, vacante por fallecimiento de D. Calixto Ramos, á D. Francisco Gil Sugadi, Cura de la Parroquia de Fresno en la misma Diócesis: para el Beneficio simple servidero de la Parroquia de la Santísima Trinidad de la villa de Moya, Diócesis de Cuenca, á D. Jos</t>
  </si>
  <si>
    <t>Gil y Lara, Juan de Dios</t>
  </si>
  <si>
    <t>Juan de Dios Gil y Lara</t>
  </si>
  <si>
    <t>mañana, y dos por la noche en cada uno de estos 5 dias. Comenzó el acto el Profesor de Matemáticas D. Juan de Dios Gil y Lara con un discurso, en que manifestó las ventajas del Método en orden á las costumbres de los niños, y lo mucho que los habilita para dedicarse luego con .fruto á las ciencias y á la</t>
  </si>
  <si>
    <t>Gil, Francisco</t>
  </si>
  <si>
    <t>Francisco Gil</t>
  </si>
  <si>
    <t>á mi Real Persona, que ha acreditado constantemente el Capitán General de mi Real Armada Baylío Fr. D. Francisco Gil, he venido en nombrarle mi Secretario de Estado y del Despacho de Marina.” Tendreislo entendido, y lo comunicareis á quien corresponda. El dia 30 del presente á las 4&gt;y media de l</t>
  </si>
  <si>
    <t>os, primer Secretarla fdél Despacho de Estado; D. Miguel Cayetano Soler, del de Háciéndk; el Baylío D. Francisco Gil, del de Marina; el Sr. D. Bernardo Riega, del Consejo Reai y iSupremo; y Asesor dedá Real Casa; y el Bséribáab déf la misma D^Juan fVíiUaíy Olier; y después dé eñ«r;egaddH p'0i?d$</t>
  </si>
  <si>
    <t>Gil, Manuel</t>
  </si>
  <si>
    <t>Manuel Gil</t>
  </si>
  <si>
    <t>e AndiHon., debe decir Antilhn. mi- i imi pjipj Por el correo de 15 de Enero próximo pasado remitió D. Manuel Gil bantihañes 6 vales Reales de 150 pesos, creación de i.° de Enero, endosados con su firma i D. Diego Nuñez de Murcia , vecino de Vigo, cuyos números son los siguientes: 2313Ó7, 231</t>
  </si>
  <si>
    <t>Gira, Juan</t>
  </si>
  <si>
    <t>Juan Gira</t>
  </si>
  <si>
    <t>ue; yá D. Pablo Larraz para otro Penitenciario de la Catedral de Jaca, vacante por fallecimiento de D. Juan Gira!. En el Regimiento de Infantería de la Reyna se ha servido el Rey conceder Subtenencia de bandera al Sargento primero de granaderos D. Josef Burel!. ' El Rey ha promovido á Capitá</t>
  </si>
  <si>
    <t>Gispert, Manuel</t>
  </si>
  <si>
    <t>Manuel Gispert</t>
  </si>
  <si>
    <t>ara el Beneficio servidero de la ciudad de Chinchilla, en la de Cartagena, vacante per promoción de D. Manuel Gispert á Canongía de aquella Catedral, á D. Vicente de Torres y Escalante , Beneficiado de Santa María de la ciudad de Guadalaxara en el Arzobispado de Toledo; y para el Préstamo de PÍoz</t>
  </si>
  <si>
    <t>Giulay, General</t>
  </si>
  <si>
    <t>General Giulay</t>
  </si>
  <si>
    <t>ciaciones. Los Plenipotenciarios del Emperador de Austria son el Príncipe Juan de Lichtenstein y el General Giulay. El'Príncipe Carlos ha pedido hablar con el Emperador. S. M. recibirá mañana á este Príncipe en la casa de campo de Stamersdorf, á 3 leguas de Viena. El Emperador pasa hoy revista</t>
  </si>
  <si>
    <t>Alvincy han ido á Croacia para ocupar las ciudades de Warasdin y de Agram. En esta plaza esperan al General Giulay, Comandante en gefe de la: Croacia. ALEMANIA. Hamburgo 24 de Junio. Los Suecos siguen haciendo los preparativos de defensa en la Pomera-nia; y losiPrusianos se disponen á un ataqu</t>
  </si>
  <si>
    <t>Glarup</t>
  </si>
  <si>
    <t>ualmente su casa y- 5oG) escudos para formar un ipstituto de huérfanos y niños,abandonados; en; fin Mr. Glarup, de esta capital, otorgó su testamento, y fué confirmado por S, M. en el año próximo pasado, y dexa&gt; también otro legado, en favor de los pobres, y para mantener los inaestros.de</t>
  </si>
  <si>
    <t>Gller, Francisco</t>
  </si>
  <si>
    <t>Francisco Gller</t>
  </si>
  <si>
    <t>del vecindario de Estertieh de la villa de Torruella de Montgri, Obispado de Gerona, por muerte de D. Francisco Gller: á D. Carlos Figuewla para una Canongía de la Colegial de Ager, nullius Diócesis, en Cataluña, vacante por promoción de D. Antonio Ros al Arciprestazgo de la misma Iglesia. En Amé</t>
  </si>
  <si>
    <t>Gobernador de los Cinco Puertos, Lord</t>
  </si>
  <si>
    <t>Lord Gobernador de los Cinco Puertos</t>
  </si>
  <si>
    <t>vacantes por su muerte los empleos de primer Lord de la Tesorería , de Canciller del Echiquier, de Lord Gobernador de los Cinco Puertos &amp;c. &amp;c. La muerte de Mr. Pitt nos deXa sin Ministro y sin Ministerio. Con este motivo es natural que se extiendan varias voces sobre el nuevo gobierno que debe sucederle. Se habla</t>
  </si>
  <si>
    <t>Gobernador Español</t>
  </si>
  <si>
    <t>le mató mucha gente, y le obligó á que se rindiese. La presa entró en Altea: él Gobernador Español manifestó al Capitán Dódero toda su satisfacción. Los dos corsarios-Ingleses infestaban hacia * mué hó tiempo aquellos mares, causando graves daños á la navega</t>
  </si>
  <si>
    <t>Gobernador Francés Bisson</t>
  </si>
  <si>
    <t>dará de Ottenseit á esta ciudad, y se depositará en la bóveda de su familia. El Gobernador Francés Bisson ha mandado que la guarnición acompañe el cuerpo, y se cierre el teatro Francés: habrá luto por 4 semanas. Viena 24 de Noviembre. Han corrido voces estos dias,</t>
  </si>
  <si>
    <t>Gobernador Francés Mr</t>
  </si>
  <si>
    <t>Directores dé lá Universidad de esta capital han hecho saber al público que el Gobernador Francés Mr. el General Clarke y los demas tribunales superiores Fraricésés, tanto civiles cómo militares, han declarado tomar baxo su próteccióh especial dicha Universida</t>
  </si>
  <si>
    <t>Gobernador General</t>
  </si>
  <si>
    <t>o llevan* ___Mr. Panll pidió se presentase la correspondencia que hubo entre el Gobernador General, el Consejo de la India y el Comandante en gefe relativa al principio de la guerra con el Rajah de Bhurtpoore. Lord Temple justificó al Marques de Wellesley. M</t>
  </si>
  <si>
    <t>Gobernador Ingles</t>
  </si>
  <si>
    <t>a desde tiempos muy antiguos, y era absolutamente desconocido en ella quando el Gobernador Ingles lo introduxo. El Tribunal confirmó unánimemente el punto de hecho, y declaró reo al General Picton.</t>
  </si>
  <si>
    <t>Gobernador Ingles Picton</t>
  </si>
  <si>
    <t>conforme al tenor de las leyes, el derecho de continuar este negocio, acudió al Gobernador Ingles Picton, quien firmó la orden, que conservo escrita de su puño propio, de dar tormento á Luisa Calderón. „ Inmediatamente se procedió á executar esta orden fatal. Para</t>
  </si>
  <si>
    <t>Gobernador Militar</t>
  </si>
  <si>
    <t>publicagipn, y.se dan nuevas, seguridades, qué baxo la inmediata inspección del Gobernador Militar y. Político- de dicha plaza el Eriga? dierrD. jayxnu Morejno^y la Co|te;, confotine:á lo mandado ¡ppr S. M., se executara dicharifaal momento que se halle enagea</t>
  </si>
  <si>
    <t>Gobernador Militar y Político</t>
  </si>
  <si>
    <t>esca, en Aragón, j6 de Febrero. El Ayuntamiento de esta ciudad, presidido de su Gobernador Militar y Político el Coronel E&gt;. Antonio de Clavería, teniendo presente las sabias disposiciones del Supremo Consejo, dirigidas á fomentar la aplicación de la juventud en las escu</t>
  </si>
  <si>
    <t>Gobernador Militar y Político del Puerto de Santa María</t>
  </si>
  <si>
    <t>En atención á lo que han representado los Mariscales de Campo Don Juan Bútler, Gobernador Militar y Político del Puerto de Santa María, y IX Francisco de Vargas, que lo es igualmente de; la plaza de Cartagena, ha condescendido el Rey en la permuta de sus respectivos empleos, que han solicitado</t>
  </si>
  <si>
    <t>Gobernador Picton</t>
  </si>
  <si>
    <t>u cesión por los Españoles, y de* consiguiente habían sido obligatorias para el Gobernador Picton, como ahora lo eran para el actual Mr. Heslop : que consultados por el Consejo los Jueces, Alcaldes y Ministros inferiores de Justicia, habían declarado unánim</t>
  </si>
  <si>
    <t>Gobernador Pie</t>
  </si>
  <si>
    <t>ado la qiiestion por1 sospechas de haber asesinado á su amo___ E11 la.causa del Gobernador Pie-. ton no se trataba mas que de saber si la,pena,del tormento estaba p no au-r tprizada por las leyes en la Trinidad. El Tribunal del Banco del Rey lia; admitido</t>
  </si>
  <si>
    <t>Gobernador Político y Mili-tar</t>
  </si>
  <si>
    <t>taguión al Cadete D. Henrique Martínez. El Gefe de Esquadra de la Real Armada , Gobernador Político y Mili-tar de la plaza del Ferrol y villa de la Grana , D. Diego Martínez de Cor-* doba y Contador, observó el abuso de enterrar los cadáveres en las,Iglesias, y en especial la</t>
  </si>
  <si>
    <t>Gobernador Político y Milirar</t>
  </si>
  <si>
    <t>o, y en la noche hubo función de pólvora y fcayle general. El Marques de Zayas, Gobernador Político y Milirar de esta ciudad, dió al tercer dia siguiente otro bayle muy concurrido y lucido. Los bustos de SS. MM. y la medalla en baxo relieve del Sr. Generalísimo Príncipe de</t>
  </si>
  <si>
    <t>Gobernador Político y Militar</t>
  </si>
  <si>
    <t>o de esta ciudad, propuso al Excmo. Sr. D. Francisco de Borja, Capitán General, Gobernador Político y Militar dé está- plaza, tener un certamen, que presidió S. E. en los dias 29 y .30 de Mayo en la Iglesia de S. Isidoro del Convento de Sto. Domingo; á cuyo acto concurrió e</t>
  </si>
  <si>
    <t>Gobernador Solimán-Baxá</t>
  </si>
  <si>
    <t>tantes víveres. Kuzanzi-Ali continúa guardando la conducta mas arbitraria, y el Gobernador Solimán-Baxá vive tan sujeto á él, que no se atreve á hacer nada sin su aprobación. Dícese que este caudillo de los Kersales se ausentará de Belgrado, y que le sucederá Rec</t>
  </si>
  <si>
    <t>Godoy y Castro, Antonio</t>
  </si>
  <si>
    <t>Antonio Godoy y Castro</t>
  </si>
  <si>
    <t>Vacaro, Don '"Josef Pilón y Tobalina, D. Mariano García de Cáceres, D. Justo Pasalagua y Martínez, D. Antonio Godoy y Castro, D. Pedro López de Carrizosa , D. Antonio Ribera y Vázquez , D. Josef Paez y Mesa, D. Carlos Soubiran y Mantelan, D. Miguel Quesada y Tarriba, D. Toribio Pasalagua y Martinez, D.</t>
  </si>
  <si>
    <t>Goetze, Teniente General</t>
  </si>
  <si>
    <t>Teniente General Goetze</t>
  </si>
  <si>
    <t>. ; : . h S. M. ha nombrado para la Comandancia de esta residencia , vacante ’por fallecimiento del Teniente General Goetze, al Comendador de Lutzow., Coronel del Regimiento de infantería de Mollendarf, con retención de este empleo.__ El martes 1$ del corriente tuvo, su primera audiencia el Señor Pardo</t>
  </si>
  <si>
    <t>Gogel, Luis</t>
  </si>
  <si>
    <t>Luis Gogel</t>
  </si>
  <si>
    <t>n; Subtenencia de fusileros ál Cadete D. Bo^niíacio Reding, y grado de Teniente Coronel al Ayudante D. Luis Gogel»</t>
  </si>
  <si>
    <t>Goílowkin, Conde</t>
  </si>
  <si>
    <t>Conde Goílowkin</t>
  </si>
  <si>
    <t>abian manifestado unas disposiciones muy amistosas para recibir nuestra Embaxada. Es regular que el Conde Goílowkin se vuelva de Urga á esta ciudad, si tarda mucho tiempo la contestación de la Corte de Pekín , ó si no es muy satisfactoria.” Nuestra Corte ha tenido mucho desagrado con la ocupaci</t>
  </si>
  <si>
    <t>Goipez, Francisco</t>
  </si>
  <si>
    <t>Francisco Goipez</t>
  </si>
  <si>
    <t>o de caballería ¿el Rey -sé.fia servido -,S.. ¿5^ ctjjpí^der empleo de . Alférez al Portaestandarte D. Francisco Goipez : e'pi Jos,Hela Reyna y Príncipe empleos de Portaestandarte á los Sargentos primeros Doik Pascual Ariza y D. Josef Guarrero: en el de Alga‘be emplgo de, Alférez áí Portaestandarte</t>
  </si>
  <si>
    <t>Golfín y Casas, María</t>
  </si>
  <si>
    <t>María Golfín y Casas</t>
  </si>
  <si>
    <t>pañolas en lengua vascongada; oda al Señor D. Diego Colon y Sierra, en su feii-z enlace con la Sra. Doña María Golfín y Casas, por D. Agustín Bayle Obregonv; perfecciones de Dorila,anacreóntica; distribución de premios en la ciudad .de Tarod dia 31 de Agosto;, noticia de un célebre comiJon Romano, llamad</t>
  </si>
  <si>
    <t>Gollowkin, Conde</t>
  </si>
  <si>
    <t>Conde Gollowkin</t>
  </si>
  <si>
    <t>China, enviado expresamente desde Pekín por este Monarca para asistir en quanto se le ofreciere al Conde Gollowkin, porque S.M. tenia noticias de que S. E. había padecido alguna indisposición ea el camino. DINAMARCA. Copenhague 2 de Marzo. La esquadra Dinamarquesa consta hoy dia de los buques</t>
  </si>
  <si>
    <t>pital. Una* carta de Kjaechta, publicada en la Gazeta de Ja Corte, anuncia.que nuestro Embaxador el Conde Gollowkin entró el 2 de Enero en territorio de la China, y há sido recibido pox dos Príncipes Mongoles: con. saivas de axrti Hería*</t>
  </si>
  <si>
    <t>Gómez</t>
  </si>
  <si>
    <t>ón, se están subastando los siguientes, propios de los hospitales unidos de S. Antonio, S. Lázaro y D. Gómez, sitos en aquella ciudad: un prado en el arrabal de S. Lorenzo, tasado en 18,300 rs.: otro en el mismo sitio, en 30,500: otro en término de S. Miguel de Ja Corredera, que llaman e</t>
  </si>
  <si>
    <t>Gómez Álvarez, Julián</t>
  </si>
  <si>
    <t>Julián Gómez Álvarez</t>
  </si>
  <si>
    <t>go Moreno: para otra de S. Miguel de S. Quirce, en el Arzobispado de Burgos^-vafeante por muerte de D. Julián Gómez Alvarez, .'á D. FrarK i se o Barrio jProt-Cura y Beneficiado del lugar de Cueva de Juañós : para íá Capellanía de -Reyes nuevos de Toledo, vacante por fallecimiento de D. Francisco Salvad</t>
  </si>
  <si>
    <t>Gómez Bueno, Pedro</t>
  </si>
  <si>
    <t>Pedro Gómez Bueno</t>
  </si>
  <si>
    <t>s 4 la expresada Bula, y una noticia del origen del Manual Toledano, inserto al Ritual Rojmano, por D. Pedro Gómez Bueno, Cura mas antiguo del Sagrario de la Catedral de Cádiz. Se hallará en la librería de la viuda de Barco López, calle de la Cruz; y en Cádiz en la de la viuda de Savid. Instrucción</t>
  </si>
  <si>
    <t>Gómez de Cárdenas, Luis</t>
  </si>
  <si>
    <t>Luis Gómez de Cárdenas</t>
  </si>
  <si>
    <t>añeros á la aplicación, y dando gracias á la Sociedad; y con la gratulatoria que pronuncio el socio D. Luis Gómez de Cárdenas, Contador de Exército de Castilla la Vieja, se concluyó la junta, que fué solemnizada por un concurso numeroso y lucido. La Sociedad, deseosa de dar al público un testimonio de su</t>
  </si>
  <si>
    <t>Gómez de Liñana, Gerónimo</t>
  </si>
  <si>
    <t>Gerónimo Gómez de Liñana</t>
  </si>
  <si>
    <t>tonio Navarro Martin de Villodres: para el de Cartagena de Indias, vacante igualmente por muerte de D. Gerónimo Gómez de Liñana, á Fr. Custodio Díaz, del Orden de Santo Domingo: para la Canongía Magistral de la Catedral de Mérida de Maracaybo á D. Juan Josef Hurtado de Mendoza: para una Ración de la Metrop</t>
  </si>
  <si>
    <t>Gómez de Mercado, Vicente</t>
  </si>
  <si>
    <t>Vicente Gómez de Mercado</t>
  </si>
  <si>
    <t>bandera de los de Avila, Guadix, Lugo, Ciudad-Real y Murcia á D. Francisco Xavier Alaría de Alexo, D. Vicente Gómez de Mercado , D. Ramón María Pardo Montenegro, D. Félix Pérez de Guzman, y al Subteniente agregado D. Francisco Cabero. Teniendo presente el Rey que todos los provistos &lt;en empleos de Real Ha</t>
  </si>
  <si>
    <t>Gómez de Tortósa, Felipe</t>
  </si>
  <si>
    <t>Felipe Gómez de Tortósa</t>
  </si>
  <si>
    <t>ra á dichas fincas acuda á la escribanía de la comisión que está á cargo de D. Mariano de Zayas. .. Don Felipe Gómez de Tortósa, Comisionado Real para la venta de bienes eclesiásticos de la ciudad de Almería,ha señalado el dia 28 del corriente para el remate délas 6 fincas siguientes , propias actualmente</t>
  </si>
  <si>
    <t>Gómez Flores, Marcos</t>
  </si>
  <si>
    <t>Marcos Gómez Flores</t>
  </si>
  <si>
    <t>infantería de la Com roña , Ordenes Militares y Voluntarios de Estado Tenencias á los Subtenientes D. Marcos Gómez Flores,- D. Josef Olano y D. Josef Elizaíde; y Subtenencias de bandera en el de Asturias al Cadete D. Vicente Camaño: en el de la Princesa al Sargento primero D. Jayme Pes : en el de Mur</t>
  </si>
  <si>
    <t>Gómez Humaran, Felipe</t>
  </si>
  <si>
    <t>Felipe Gómez Humaran</t>
  </si>
  <si>
    <t>o de Capitán, D„Josef Ochoa: el de Teniente en el batallón de Voluntarios de Navarra al Subteniente D. Felipe Gómez Humaran: el de Subteniente de bandera del primero de Barcelona al Sargento primero D. Bartolomé Guillen ; y en el de infantería de Aragón el de Subtenientes de bandera á Don Juan Antonio;</t>
  </si>
  <si>
    <t>Gómez Ibar Navarro, Pedro</t>
  </si>
  <si>
    <t>Pedro Gómez Ibar Navarro</t>
  </si>
  <si>
    <t>an. En 16 de Diciembre próximo.pasado falleció en esta Corte,á los60años y 10 meses de edad, el Sr. D. Pedro Gómez Ibar Navarro, del Consejo Supremo dé Castilla : filé Colegial mgypr en el de Santa Crüz de Valladc-lid* Mmistro ¿el. Crimen y de' lo Civil en la Audiencia de Barcelona, Regente én la misma;con</t>
  </si>
  <si>
    <t>Gómez Lozano, Francisco</t>
  </si>
  <si>
    <t>Francisco Gómez Lozano</t>
  </si>
  <si>
    <t>io simple servidero de la Parroquia'de la villa de Oropesa, Diócesi de Avila, vacante por muerte de D. Francisco Gómez Lozano, á Don Josef Pascasió de Figueroa: para el Beneficio servidero de la Parroquial de S. Pedro de ía ciudad de Cuenca, vacante por fallecimiento de D. Manuel Duque Xinienez, á D. Jua</t>
  </si>
  <si>
    <t>Gómez Mayoral, Juan Ramón</t>
  </si>
  <si>
    <t>Juan Ramón Gómez Mayoral</t>
  </si>
  <si>
    <t>la Dignidad de Prior de la Colegiata de S. Hipólito de la ciudad de Córdoba, vacante por muerte de D. Juan Ramón Gómez Mayoral, á D. Fernando Ximenez y Vallejo, Canónigo de la Metropolitana de Tarragona: para la Canongíade la Catedral de Sigiienza, vacante por fallecimiento de D. Manuel Arcos, á D. Antoni</t>
  </si>
  <si>
    <t>Gómez Moya, Manuel</t>
  </si>
  <si>
    <t>Manuel Gómez Moya</t>
  </si>
  <si>
    <t>escas: para la Raciotí vacante en la Catedral de Almería, por fallecimiento de D. Miguel Serranó, á D. Manuel Gómez Moya: para otra Ración en la Catedral de Canarias, vacante por promoción de D. Vicente Ramírez á Canongía de la misma, á D. Josef Romero Franchis, Capellán Real de la propia Iglesia :</t>
  </si>
  <si>
    <t>Gómez Salazar, Ignacio</t>
  </si>
  <si>
    <t>Ignacio Gómez Salazar</t>
  </si>
  <si>
    <t>tima ta magia ; noticia de varios hombres pélebres que han tenido el nombre, d$, Apolonio; carta de D. Ignacio Gómez Salazar á los editores acerca de las poesías de D. VicenteRodriguez de Arellano; traducción literal en prosa de la Silva al combate na^n del 11 de Octubre, por D. Josef Mor dé Fuentes; ex</t>
  </si>
  <si>
    <t>Gómez y Galvez, Gaspar</t>
  </si>
  <si>
    <t>Gaspar Gómez y Galvez</t>
  </si>
  <si>
    <t>do S. M. el empleo de Coronel del de Segovia al Marques de Quintanar; el de Ayudante del de Ecija á D. Gaspar Gómez y Galvez, Teniente del de infantería de Sevilla : el de Capitán de granaderos de los de Soria y Alcázar de S, Juan á los Capitanes de fusileros D, Joaquín Gómez, y D. Lúeas de Mena, este g</t>
  </si>
  <si>
    <t>Gómez y Negro, Lucas</t>
  </si>
  <si>
    <t>Lucas Gómez y Negro</t>
  </si>
  <si>
    <t>ra du Fantas, Presbítero de la extinguida Compañía de Jesús, y traducidos en castellano por el Lie. D. Lucas Gómez y Negro, Abogado del ilustre Colegio de la Real Chancillería de Valladolid: 4 tomos en 4.0, con 10 láminas finas, que demuestran la* operaciones de Física, á 80 rs, en rústica. == Espírit</t>
  </si>
  <si>
    <t>Gómez, Agustín</t>
  </si>
  <si>
    <t>Agustín Gómez</t>
  </si>
  <si>
    <t>ia conseguida con el auxilio divino. ESPAÑA. Cuenca 1.° de Diciembre. El Dr. D. Agustín Gómez, Médico titular de esta ciudad y Real casa de Misericordia de ella, habiendo hecho presente al Sr.D. Antonio de Roxas, Dignidad y Canónigo de esta Santa Iglesia Catedral, y Director de la</t>
  </si>
  <si>
    <t>Gómez, Antonio</t>
  </si>
  <si>
    <t>Antonio Gómez</t>
  </si>
  <si>
    <t>ndo Ayudante D. Nemesio Iberri, y á segundo Ayudante, con grado de Subteniente, ai Sargento primero D. Antonio Gómez. El Rey se ha dignado conceder Ayudantía Veterana en el Regimiento de Milicias disciplinadas de caballería de Puerto-Rico á D. Josef Duran, Alférez del de caballería del'Príncipe.</t>
  </si>
  <si>
    <t>Gómez, Francisco</t>
  </si>
  <si>
    <t>Francisco Gómez</t>
  </si>
  <si>
    <t>ado Arciprestazgo de la Parroquial de Villasandino, Diócesi de Burgos, vacante por fallecimiento de D. Francisco Gómez, á D. Saturnino Rodríguez: para el Beneficio sérvidero de la Parroquia de Santiago de la ciudad de Villena, en la Diócesi de Cartagena, vaií cante por muerte de D. Juan-Antonio Ar</t>
  </si>
  <si>
    <t>Gómez, Gabriel</t>
  </si>
  <si>
    <t>Gabriel Gómez</t>
  </si>
  <si>
    <t>para el Beneficio del lugar de Villar del Maestre , en la Diócesi de Cuenca, vacante por muerte de D. Gabriel Gómez, á D. Angel Toca*, Capellán provisional de la Real Armada en el Departa^ mentó ^del Ferrol,, con la carga de residencia personal y de administrar el pasto espiritual á los vecinos</t>
  </si>
  <si>
    <t>Gómez, Joaquín</t>
  </si>
  <si>
    <t>Joaquín Gómez</t>
  </si>
  <si>
    <t>lla : el de Capitán de granaderos de los de Soria y Alcázar de S, Juan á los Capitanes de fusileros D, Joaquín Gómez, y D. Lúeas de Mena, este graduado de Teniente Coronel ; el deCapitan de fusileros de los de CiudadRodrigo, Santiago y Lugo á los Tenientes D. Juan de Palacio y Villa, D. Felipe N</t>
  </si>
  <si>
    <t>al Portaestandarte D. Josef Ximenez; y en el de cazadores de Olivencia empleo de Alférez al Cadete D. Joaquín Gómez. El Real cuerpo de Capellanes de Honor de S. M., para dar un testimonio de amor y de gratitud á la buena memoria de su difunto Prelado el Emo. Sr. Cardenal Patriarca de las Indias</t>
  </si>
  <si>
    <t>Gómez, Juan</t>
  </si>
  <si>
    <t>Juan Gómez</t>
  </si>
  <si>
    <t>er D. Josef Quiñones; á Subrigadier al Cadete D. Carlos Sexti; á Cadete de número al supernumerario D. Juan Gómez, y á supernumerario al Guardia D. Manuel Navas. En la Brigada de Carabineros Reales ha promovido el Rey á Alférez de los esquadrones ligeros ai de la propia clase del Regimiento d</t>
  </si>
  <si>
    <t>Gómez, Juan Antonio</t>
  </si>
  <si>
    <t>Juan Antonio Gómez</t>
  </si>
  <si>
    <t>en la misma Diócesi; y para otra Media-Ración de la Iglesia de Buenos-Ayres, vacante por muerte de D. Juan Antonio Gómez, á D. Manuel Antonio Castro, Cura de la Parroquia de nuestra Señora de la Piedad de' aquella capital. * S. M. se ha dignado conceder Tenencia veterana en el batallón de Milicias d</t>
  </si>
  <si>
    <t>Gómez, Pedro</t>
  </si>
  <si>
    <t>Pedro Gómez</t>
  </si>
  <si>
    <t>. Don Josef Solana, D. Ignacio García de Diego, D. César Madrazo, D. Félix Angulo, D. Angel Merino, D. Pedro Gómez, D. Manuel de la Maza y Don Agustín Manuel de Borricón : de ios^ Caballerizos de Campo D. Fernando María de la Cueva, D. Josef de la Alcázar, D. Joaquin Bermejo y D. Rafael Mateo;</t>
  </si>
  <si>
    <t>Gómez, Salvador</t>
  </si>
  <si>
    <t>Salvador Gómez</t>
  </si>
  <si>
    <t>s formados con motilo de la ocurrencia d# acreedores á los bienes que'quedaron por fallecimiento de D. Salvador Gómez, del comercio que fué en esta Corte; en cuyos autos, £ instancia de algunos de dichos acreedores, ha mandado el Consejo se forme una junta de los mismos, citándolos y emplazándolo</t>
  </si>
  <si>
    <t>Gómez, Santiago</t>
  </si>
  <si>
    <t>Santiago Gómez</t>
  </si>
  <si>
    <t>én de Castro en el mismo Reyno á Comandante al Capitán D. Narciso García, á Teniente al Subteniente D. Santiago Gómez, y á Subteniente al Cadete D. Justo Vargas: la Compañía suelta de disciplinadas de infantería de Chacao á D. Francisco Xavier Velazquez, Teniente de ias de S. Carlos; la Tenencia</t>
  </si>
  <si>
    <t>Gon, Carlos</t>
  </si>
  <si>
    <t>Carlos Gon</t>
  </si>
  <si>
    <t>volver á citar y emplaza/ á Jas personas que se contemplen con derecho á suceder en la herencia de D. Cárlos Gon</t>
  </si>
  <si>
    <t>Gónde Gustavo Moernér, Coronel</t>
  </si>
  <si>
    <t>Coronel Gónde Gustavo Moernér</t>
  </si>
  <si>
    <t>Gobernador. Barón de Toll ha ido á recibir á la Princesa én nombre del Rey. ' El Gefe de brigada ^ Coronel Gónde Gustavo Moernér ha dado cuenta ai Rey de haber los Franceses hecho prisionero casi fbdtf el Regimiento de granaderos de Corps, qué no pudiéfón por los vientos contrarios arribar á Travemunde. Lo</t>
  </si>
  <si>
    <t>González Aran, Pedro</t>
  </si>
  <si>
    <t>Pedro González Aran</t>
  </si>
  <si>
    <t>de la Metropolitana de México, que vaco por ascenso de D. Josef María Alcalá á Magistral de ella, á D. Pedro González Aran jo, Cura en la misma Diócesi; y para otra Media-Ración de la Iglesia de Buenos-Ayres, vacante por muerte de D. Juan Antonio Gómez, á D. Manuel Antonio Castro, Cura de la Parroquia</t>
  </si>
  <si>
    <t>González Azaola, Gregorio</t>
  </si>
  <si>
    <t>Gregorio González Azaola</t>
  </si>
  <si>
    <t>portería de S. Felipe el Real. Cartilla para los .labradores qüe quieran hacer azúcar de uva., por D. Gregorio González Azaola. En esta instrucción ó cartilla, mandada publicar de orden del Gobierno, están resumidas las ocho operaciones necesarias para sacar y .refinar dicho azúcar, las quales se han proc</t>
  </si>
  <si>
    <t>González Cárdenas, Miguel</t>
  </si>
  <si>
    <t>Miguel González Cárdenas</t>
  </si>
  <si>
    <t>de Acosta presentaron los jóvenes mas adelantados de ellas, que fuéron D. Juan Sánchez Satostegui, D. Miguel González Cárdenas, D. Juan Ignacio Arespacochaga, D. Manuel Rodríguez Sotelo, D. Josef Gutiérrez, D. Juan María Maestre y Maestre, y el Dr. D. Manuel Céspedes. Los tres primeros fuéron examinados d</t>
  </si>
  <si>
    <t>González Carrillo, Juan Antonio</t>
  </si>
  <si>
    <t>Juan Antonio González Carrillo</t>
  </si>
  <si>
    <t>e Ordenes en la de Carlos 111, á D. Vicente Duque de Estrada, Regente de la Audiencia de Sevilla, á D. Juan Antonio González Carrillo, Regente de la Chancillería de Valladolid, y á los Alcaldes de mi Casa y Corte D. Tomas Moyano y D. Juan Antonio Inguanzo: para la plaza del referido Consejo de las Ordenes, que r</t>
  </si>
  <si>
    <t>González Casaprin, Matías</t>
  </si>
  <si>
    <t>Matías González Casaprin</t>
  </si>
  <si>
    <t>nados de acuerdo con los Jueces Censores propusieron á la Junta que podría extenderse á consignar á D. Matías González Casaprin otro premio, mediante á que se había hecho acreedor á tal gracia en los expresados exámenes, se le adjudicó también en libros hasta el valor de 150 rs. vn. • * * ■■ ' Continuación</t>
  </si>
  <si>
    <t>González de Bernedo, Ramón</t>
  </si>
  <si>
    <t>Ramón González de Bernedo</t>
  </si>
  <si>
    <t>oamo en la misma Diócesi. El Rey r&gt;e ha dignado conceder la Sargentía mayor de la plaza de Panamá á D. Ramón González de Bernedo, Capitán del Regimiento de infantería de Zaragoza.</t>
  </si>
  <si>
    <t>González de Castro, Joaquín</t>
  </si>
  <si>
    <t>Joaquín González de Castro</t>
  </si>
  <si>
    <t>providencia del Sr. D. Torquato Antonio Collado, Teniente Corregidor de esta villa, y escribanía de D. Joaquín González de Castro, se ha mandado publicar nuevamente, por término de 6 dias contados desde el a del corriente, una casa sita en la calle de Santa María, níim. 8, manz. 242, tasada en 181,261 rs.rzs</t>
  </si>
  <si>
    <t>el quarto acuda ante el Sr. Tenien*? te Corregidor D.Torquato Antonio Collado, por la escribanía de D. Joaquín González de Castro, en el término de 30 días contados desde él 3 del presente. Por providencia de D. Antonio Basilio de Acosta, Comisionado Regio para la venta de bienes eclesiásticos en el Obispado</t>
  </si>
  <si>
    <t>a, núm. 8, manz. 242 , valuada en 212,420 rs. Quien quisiere hacer postura acuda á la escribanía de D. Joaquín González de Castro. Por providencia dei Sr. D.Torquato Antonio Collado, Teniente Corregidor de esta villa, y escribanía de D. Miguel Gonzalo, se ha señalado el dia ro del corriente para el remate de</t>
  </si>
  <si>
    <t>re hacer postura á ella acuda, dentro de dicho término, ante el referido Señor, por la escribaníade;D. Joaquín González de Castro. Diccionario de Medicina y Cirugía, ó Biblioteca manual Médico-Quirúrgica, por D. A. B. Obra en la qual se recopilan todos los principales conocimientos antiguos y modernos del ar</t>
  </si>
  <si>
    <t>providencia del Sr. D. Torquato Antonio Collado, Teniente Corregidor de esta villa, y escribanía de D. Joaquín González de Castro, se ha mandado publicar nuevamente por 15 dias una casa sita en esta Corte en la calle alta de Leganitos, que hace á la del Duque de Osuna y callejuela sin salida de S. Buenaventu</t>
  </si>
  <si>
    <t>ado. Quien quisiere hacer dicha mejora acuda al juzgado del Sr. D. León de Sagasta, y escribanía de D. Joaquin González de Castro. Se halla vacante la plaza de Médico de la Anteiglesia de Mundaca, compuesta de 300 vecinos, en el Señorío de Vizcaya, á distancia de un quarto de legua de la villa de Bermeo: tie</t>
  </si>
  <si>
    <t>González de Castroj, Joaquín</t>
  </si>
  <si>
    <t>Joaquín González de Castroj</t>
  </si>
  <si>
    <t>presenten los documentos que acrediten su derecho, por maqo de su Secretario y Escribano del número D. Joaquín González de Castroj cop la circunstancia.d.e^uc pasado sin haberlo verificado les parará el perjuicio que haya lugar,, y procederán á nombrar las que lp hubiesen verificado. Se. vende; úna-casa, sita</t>
  </si>
  <si>
    <t>González de los Codos, Juan Antonio</t>
  </si>
  <si>
    <t>Juan Antonio González de los Codos</t>
  </si>
  <si>
    <t>que executó con la destreza y pericia que tiene bien acreditada, y extraxo una nina, que la bautizó Don Juan Antonio González de los Codos, Cura de la Parroquia de Santiago, la que vivió 5 minutos. Este exemplar, tan digno de imitarse, se manifiesta al publicó para qué los facultativos depongan todo temor, y executen</t>
  </si>
  <si>
    <t>González de Navas, Juan Ángel</t>
  </si>
  <si>
    <t>Juan Ángel González de Navas</t>
  </si>
  <si>
    <t>30 días; con apercibimiento de que pasados sin hacerio les parará el perjuicio que haya lugar. Por D. Juan Angel González de Navas se han mandado subastar las fincas pertenecientes á la cofradía de S. Juan (vulgarmente de los Doce), fundada en la Parroquia de la villa de Ontangas, cuyo remate ha de celebrarse</t>
  </si>
  <si>
    <t>González de Quixano, Francisco</t>
  </si>
  <si>
    <t>Francisco González de Quixano</t>
  </si>
  <si>
    <t>los de primeras letras según los preceptos de la Real Academia, y repartida en cinco lecciones, por D. Francisco González de Quixano. Se hallará en la librería de Castillo, frente á las gradas de S. Felipe. La muerte de Abel, poema en prosa en cinco actos: su autor Mr. Gessner, traducido al castellano y aumenta</t>
  </si>
  <si>
    <t>González del Castillo, Juan</t>
  </si>
  <si>
    <t>Juan González del Castillo</t>
  </si>
  <si>
    <t>bien nombrar al Subteniente del Regimiento de Milicias Provinciales de Abona en la isla de Tenerife D. Juan González del Castillo, por Subteniente de las Compañías fixas de Artilleros veteranos del departamento, de Canarias. El curso de cirugía se abre en los Reales colegios de esta faculta*}' de Madrid, Bar</t>
  </si>
  <si>
    <t>González Mero, Manuel</t>
  </si>
  <si>
    <t>Manuel González Mero</t>
  </si>
  <si>
    <t>venta, y 7900 en renta. Quien quisiere hacer postura acuda á la escribanía de comisión dei cargo de D. Manuel González Mero. Se han mandado subastar losbienes correspondientes á la Real casa de Misericordia de la ciudad de Tudela, y son los siguientes: una casa, con su molino de aceyte, tasada en renta</t>
  </si>
  <si>
    <t>González Moro, Manuel</t>
  </si>
  <si>
    <t>Manuel González Moro</t>
  </si>
  <si>
    <t>ta, y 3300 en renta. Quien quisiere hacer postura, acuda á la escribanía de, comisioíi del cargo de D. Manuel González Moro. En la Subdelegacion general de bienes mostrencos se ha denunciado en concep-^ to de bacante una tierra dé pan llevar sita en término de la villa de Aravaca, de cabida 2$ fanegas,</t>
  </si>
  <si>
    <t>ra de Candelaria de esta ciudad. Quien* quisiere hacer postura acuda á la escribanía de comisión de D. Manuel González Moro, El Sr. Marques de Casa García, del Consejo de S. M. en el Supremo de Castilla, y Juez en virtud de Real orden de ios autos de la ocurrencia de acreedores a los bienes del Sr. D.</t>
  </si>
  <si>
    <t>04 rs. en venta, y 120 en renta. Quien quisiere Hacer postu-' ra acuda á ía escribanía del cargo de D. Manuel González Moro. ' Por providencia de D. Juan Ximenó, Comisionado Regió para la venta de ble-' tres eclesiásticos en el Obispado de Málaga, se están subastando las siguientes fincas correspondien</t>
  </si>
  <si>
    <t>quisiere hacer postura 4 qualquiera de dichas fincas acuda 4 la escribanía de comisión del cargo de D. Manuel González Moro, pues al tercer día siguiente á los 30 señalados se asignara el de remate habiendo proposiciones admitidas. En el lugar de las Rozas y su término se renden las fincas siguientes:</t>
  </si>
  <si>
    <t>venta, y 600 en renta. Quien quisiere hacer postura acuda a la .escribanía de comisión del cargo de D. Manuel González Moro, pues al tercero día siguiente a los 50 señalados se asignarán los de remate de las fincas que tuvieren postura. Él Sr. D. Torquato Antonio Collado , Teniente Corregidor de.esta v</t>
  </si>
  <si>
    <t>González Sáez, Julián</t>
  </si>
  <si>
    <t>Julián González Sáez</t>
  </si>
  <si>
    <t>illa, ha señalado el dia 24 del corriente, dé docé á una de su mañana, ante el Escribano del numero D. Julián González Sáez¿ para el remate de quatro casas: una en la calle del: Portillo, que hace esquina y vuelve á la de S. Benito, núm. 10 y 11, manzana 540, tasada en 117,114 rs.: otra en la ¿alié de</t>
  </si>
  <si>
    <t>González Saez, Julián</t>
  </si>
  <si>
    <t>Julián González Saez</t>
  </si>
  <si>
    <t>ere hacerla acuda ante el Sr. Teniente D. Torquaio Antonio Collado, por la escribanía del número de D. Julián González Saez. Se ha mandado sacar á pública subasta unncasa propia del hospital de Caridad de la ciudad de Cartagena, la qual se halla tasada en 178,089 rs. 17 mrs., y en renta anual en 8100 r</t>
  </si>
  <si>
    <t>da ante el Sr. D. Torquato Antonio Collado, Teniente Corregidor de esta villa, por la escribanía de D. Julián González Saez. En la villa de Castil'blanco, partido de Truxillo, se ha creado una plaza de Médico y otra de Cirujano, la primera con dotación anual de 400 ducados y 50 fanegas de trigo: la seg</t>
  </si>
  <si>
    <t>nte en la audiencia del Sr. Teniente D. Torquato Antonio Collado., por.ante el Escribano del número D. Julián González Saez. El Sr. D. Diego Gil Fernandez, del Qonsejo de S. M., Alcalde en su Real Casa y Corte, ha mandado continuar la subasta, por 9 dias mas, para pago de un áprepdor., de ,un^ casa,.,m</t>
  </si>
  <si>
    <t>i.8oo® rs. Quien quisiere hacer postura acuda ante el citado Sr. Comisionado , por la escribanía de D. Julián González Saez. Por providencia del Sr. D. Torquato Antonio Collado,Teniente Corregidor de esta villa, y escribanía de D. Jacobo Manuel Manrique, se han mandado sacar á pública subasta á volunta</t>
  </si>
  <si>
    <t>rriente en lá audiencia de '«írcho Señót. Quién quisiere hacer pos* tura acuda por ía escribanía de D. Julián González Saez. Por providencia de D. Antonio Basilio de Acosta, Comisionado Real' para la enagenacíon de bienes eclesiásticos, se están subastando y9 inedias y 4 celemines</t>
  </si>
  <si>
    <t>González, Agustín</t>
  </si>
  <si>
    <t>Agustín González</t>
  </si>
  <si>
    <t>ara el Beneficio servidero de la villa de Lebrija en la Diócesi de Sevilla, vacante por dimisión de D. Agustín González, se ha servido S. M. nombrar á D. Bartolomé Rodríguez Berenguer, Presbítero de la misma: í D. Fr. Andrés Casaus, Abad del Real Monasterio de Camprodon, para la del de Su. María de</t>
  </si>
  <si>
    <t>González, Diego</t>
  </si>
  <si>
    <t>Diego González</t>
  </si>
  <si>
    <t>xillo ha promovido el R.ey á Teniente y Subteniente de granaderos á los de igual cíase de fusileros D. Diego González y D. Gonzalo Carvajal; y ha nombrado Subteniente de bandera del de Alcázar de S. Juan á D. Manuel Fernandez Reyna. Ei Rey se ha dignado nombrar para la plaza de Alcalde de su Real Cas</t>
  </si>
  <si>
    <t>González, Diego Benigno</t>
  </si>
  <si>
    <t>Diego Benigno González</t>
  </si>
  <si>
    <t>Consejo de S.M- en el Real y Supremo de Castilla, Juez de comisión, por la escribanía numeraria de D. Diego Benigno González. Por providencia del Sr. D, Manuel Vicente de Torres,Teniente Corregidor de esta villa, y escribanía.del número de D. Ramón de Milla Cuellar, se han mandar do sacar á pública suba</t>
  </si>
  <si>
    <t>en 43,195 rs. Quien quisiere hacer postura acuda dentro de 30 dias por la,escribanía del número de D. Diego Benigno González. “Por providencia del mismo Sr. Teniente y escribanía del número de Don Cristóbal de Vicuña se subasta otra casa en Ja calle y plazuela de S- Jacinto , número 8 , manz. 364, que t</t>
  </si>
  <si>
    <t>, manza* na 272 , tasada en 249,284 ». Quien quisiere comprarla acuda á la escribanía del número de D. Diego Benigno González , dentro de 30 dias. En el Real Tribunal del Consulado de la ciudad de Cádiz, y por su escribanía á cargo de D. Melchor Nicolás Truxilio , se formáron autos en 17 de Junio del ano</t>
  </si>
  <si>
    <t>o Collado, Teniente Corregidor de esta villa. Quien quisiere hacer postura acuda á la escribanía de D. Diego Benigno González. Se halla vacante el partido de Médico del lugar de Villaverde de Madrid, que dista una legua de esta Corte; su dotación es de 500 ducados. Se admiten memoriales , dirigiéndolos á</t>
  </si>
  <si>
    <t>nso, núm 10, manz. 450, tasada en 202,785 rs. Quien quisiere hacer postura acuda á la escribanía de D. Diego Benigno González, dentro de 30 dias contados desde el 2 2 de Abril próximo pasado» Por el mismo Sr. Teniente y escribanía de D. Juan de Répide se vende una casa sita en la calle de Panaderos, inme</t>
  </si>
  <si>
    <t>al mezclada hecho para Ja nueva construcción. Quien quisiere hacer postura acuda á la escribanía de Don Diego Benigno González. Por providencias de D. Felipe de Sierra y Pambley, Comisionado Regio para la venta de bienes eclesiásticos y de obras pías en los Obispados de León y Astorga, se están subastando</t>
  </si>
  <si>
    <t>um. 10, manz. ,45o , tasada en 202,785 rs. Quien quisiere hacer postura, acuda po£ la escribanía de D. Diego Benigno González. 7 Historia general de la Iglesia cristiana desde su nacimiento hasta el último estado de triunfante en el cielo, sacada principalmente del Apocalipsi de S. Juan,; escrita en ingl</t>
  </si>
  <si>
    <t>tura acuda antevé! Sr. D. León de Sagas ta, Teniente Corregidor de esta villa, por la escribanía de D. Diego Benigno González. Por la audiencia del Sr. D. Torquato Antonio Collado, Teniente Corregidor de esta villa, y escribanía de D. Ramón García Ximenez, se vende una tierra situada pasado el arroyo Bro</t>
  </si>
  <si>
    <t>l presente, ante el Sr. D. León de Sagasta, Teniente Corregidor de esta villa, por la escribanía de D. Diego Benigno González, en la que se informará del por menor de dicha venta. Quien quisiere comprar una cabaña de ganado lanar fino trashumante, que se compone de 8700 cabezas, con sus pastos de inviern</t>
  </si>
  <si>
    <t>González, Francisco</t>
  </si>
  <si>
    <t>Francisco González</t>
  </si>
  <si>
    <t>de Ja misma villa el día i .° de Mayo próximo, se presentarán.ó dirigirán sus memoria Ies . aí Líc. D. Francisco González ,VilchesAlcalde mayor .de. ella. En la Iglesia Parroquial de Santo Tomas de la villa de Haro, Obispado de Calahorra, se halla vacante'la plaza derOrganista,.dotada,en 9rs. diarios</t>
  </si>
  <si>
    <t>endición se verificó el primer enterramiento. Madrid 8 de Agosto. A eónseqüencía de haber explicado D. Francisco González, Cirujano de número de los Reales Hospitales de esta villa,y primer Maestro de enseñanza teórico-práctica de su facultad establecida en ellos, el curso de Fisiología, comisionó la</t>
  </si>
  <si>
    <t>a, á D. Pedro Roxo: para una Capellanía de numero de la Catedral de Patencia, vacante por muerte de D. Francisco González, á D. Vicente Hernández Parra: para la Préstamera de la villa de ViÜalba,'vacante en el Arzobispado de Sevillaipor promoción de*D. Bartolomé Rodríguez Bereriguer al Beneficio de L</t>
  </si>
  <si>
    <t>de infantería de Nueva-España se ha servido S. M. promover á Teniente de granaderos al de fusileros D. Francisco González; á Teniente al Subteniente de granaderos D. Josef Galindo; a Subteniente de granaderos, al de fusileros D. Tadeo Martí, y á Subtenientes de bandera aí Cadete D. Francisco Canseco,</t>
  </si>
  <si>
    <t>González, Francisco Xavier</t>
  </si>
  <si>
    <t>Francisco Xavier González</t>
  </si>
  <si>
    <t>María Rodríguez de San Juan al de la villa de la Motilla del Palancar, en el Obispado de Cuenca, á D. Francisco Xavier González; y para el Beneficio simple, titulado Media-Ración, del lugar de Arcediano, en la Diócesi de Salamanca, vacante por muerte de D. Juan Gaspar de Arredondo, á D. Dámaso Carbajo y Bu</t>
  </si>
  <si>
    <t>González, Joaquín</t>
  </si>
  <si>
    <t>Joaquín González</t>
  </si>
  <si>
    <t>cuda al juzgado del Sr. D. León de Sagasta, Teniente Corregidor de esta villa, por la escribanía de D. Joaquín González de. Castro. El remate de la casa sita en la calle de Toledo, núm. 8, con accesorias á la de Cuchilleros, señalada por esta con el 21 de la manzana 167, tasada en 501,564 rs., se ha v</t>
  </si>
  <si>
    <t>González, Pedro Antonio</t>
  </si>
  <si>
    <t>Pedro Antonio González</t>
  </si>
  <si>
    <t>rense al de fusileros D. Alonso Tejada; y á Subtenientes de bandera de los de Avila, Toro y Soria á D. Pedro Antonio González, Don Antonio de Castro y D. Domingo Sagaseta.</t>
  </si>
  <si>
    <t>González, Ramón</t>
  </si>
  <si>
    <t>Ramón González</t>
  </si>
  <si>
    <t>ses y D. Francisca Martin: el de Teniente de fusileros del de Santiago al Subteniente de granaderos D. Ramón González: el de Subteniente dé granaderos de los de Sigiienza y Ecija á los de fusileros D. Alfonso Gallego y Perez y D. Francisco Fernandez Valdivia; y el de Subteniente'de bandera del de</t>
  </si>
  <si>
    <t>Gorvea, Sebastián</t>
  </si>
  <si>
    <t>Sebastián Gorvea</t>
  </si>
  <si>
    <t>eminarista mayor D. Francisco Barraycta: los gefes ae sala D. Alonso Alvarado, D. Manuel Fernandez, D. Sebastian Gorvea y D. Ramón de Zuloaga: los gefes de trozo D. Pedro Tavira, D. Manuel Ferrando, D. Josef de Castro, Cadete de Reales Guardias Walonas, Don Josef Fernandez, D. Josef Martínez , D. Manue</t>
  </si>
  <si>
    <t>o Barrayena, Cadete . del Regimiento de infantería de Toledo: los Gefes de sala D. Alonso Alvarado, D. Sebastian Gorvea, D. Ramón de Zuloaga, D. Ramón Carrillo y D. Manuel Fernandez: los Gefes de trozo D. Pedro Tavira, D. Manuel Ferrando, D. Josef de Castro, Cadete de Reales Guardias Walonas, Don J</t>
  </si>
  <si>
    <t>Gotze</t>
  </si>
  <si>
    <t>842 SAXONIA. _ ; . \ Drejde 4 de.Setiembre* ' Ya ha salido de esta capital, y muy descontento,Mr. Gotze.Nuestro Elector ha declarado qiie está en ánimo de conservar sus delaciones actuales con la Prusia; pero que antes de contraer otros nuevos empeños quiere saber muy á las claras á</t>
  </si>
  <si>
    <t>Gouin</t>
  </si>
  <si>
    <t>n muerto; pero su muerte costó la vida de uno de los mas valerosos servidores de S. M., como lo era Mr. Gouin, Teniente de la Gendarmería Imperial. Tres Gendarmas fuéron también heridos, el uno mortalmente. La pelea fué en Spineta, en la casa de un tal Ferraris, cuñado de Mayno. Mr. Galli</t>
  </si>
  <si>
    <t>Gower, Lord</t>
  </si>
  <si>
    <t>Lord Gower</t>
  </si>
  <si>
    <t>de 4 meses , contados desde la firma del mencionado artículo. ^ ; 1 Declaración del Conde Stadion d Lord Gower, fecha en S. Petersburgód S&gt; de Agosto de 180$. ’ - - v En esta declaración el Emperador de Alemania pedia 3 millones de liaras esterlinas de subsidios para el año de 1805, y 4 pa</t>
  </si>
  <si>
    <t>i Ndm. jj. *37 GAZETA DE MADRID DEL VIERNES n DE MARZO DE 1806. RUSIA. Petersburgo 2 de Febrero. £1 Lord Gower, Embaxador de S. M. Británica , ha regresado í esta capital» Esperamos muy en breve al Gran Duque Constantino. — Para el Duque de Brunswick, que viene de Berlin, están preparándos</t>
  </si>
  <si>
    <t>aquí de vuelta de su viage al rededor del globo el Capitán Krusenstern.__ Hoy sale para Londres el Lord Gower, Embaxador de Inglaterra. No sabemos quien será su sucesor. PRUSIA. Berlín jo de Julio. En los estados de población de la provincia de Silesia del año de i8of vemos que se han cel</t>
  </si>
  <si>
    <t>ver en la Corte de Petersburgo, ha llegado con pliegos de Mr. S.tuart¿ Secretario de la Legación de Lord Gower cerca de aquel Gobierno : contienen estos plief gos, según dicen, cosas importantes que se han comunicado al Rey. No se había juzgado prudente extraer de una vez sola el agua que</t>
  </si>
  <si>
    <t>Graham</t>
  </si>
  <si>
    <t>o de los Estados-Unidos Americanos, lia salido el jueves pasado para su destino. El mismo dia salió Mr. Graham con una comisión para la Corte de Lisboa. HOLANDA, ' : •?&gt; - : Haya de Agosto* / -...'i "v Escriben de Embden, que las tropas Prusianas que había allí de guarnición han evacuado l</t>
  </si>
  <si>
    <t>Gran Duque de Berg, Príncipe</t>
  </si>
  <si>
    <t>Príncipe Gran Duque de Berg</t>
  </si>
  <si>
    <t>el menor movimiento, se conservarán los caballos de bagages de los Oficiales Prusianos hasta que el Príncipe Gran Duque de Berg haya resuelto acerca del favor concedido á los Oficiales Prusianos de poder conservar sus caballos. ! j v De orden 'del Gran Duque } los Oficiales éonservardn iodos sus caballos.</t>
  </si>
  <si>
    <t>Gran Elector, Príncipe</t>
  </si>
  <si>
    <t>Príncipe Gran Elector</t>
  </si>
  <si>
    <t>e del Tribunado, hizo una arenga al tiempo de presentar las banderas, á la que respondió S. A I. el Príncipe Gran Elector en estos términos. ,,E1 Senado- ve con emoción esos trofeos del valor Francés, testimonios de la honrosa benevolencia del Emperador. Al confiarlos $. M. á los Magistrados, que son e</t>
  </si>
  <si>
    <t>Gran Juez</t>
  </si>
  <si>
    <t>n nombre de S. M. I. y R., con la Gran Cruz de la Corona de hierro á Mr. Luosi, Gran Juez, Ministro de la Justicia, y á los Consejeros de Estado Consultores Paradisi, Containi y Moscati, nombrados por decreto de S. M. en 16 .de Abril dignidades de la misma Orden. Luis Sementini,</t>
  </si>
  <si>
    <t>e dichas ■fiestas. Mr. Regnier, Auditor del Consejo de Estado, hijo de S. E. el Gran Juez, Ministro de la Justicia, ha sido nombrado Secretario de Embaxada en España. Se citaba hace algunos años en París un hombre de talento, que había calculado que de 10 noticias que se esparcí</t>
  </si>
  <si>
    <t>Gran Prior de Alemania, Príncipe</t>
  </si>
  <si>
    <t>Príncipe Gran Prior de Alemania</t>
  </si>
  <si>
    <t>rados por parte de S. M. el Barón de Montgelas, su Ministro de Negocios extrangeros; y de parte del Príncipe Gran Prior de Alemania el Barón de Pfurdt., Baylio de Brandemburgo, y el Barón de Fhchslanden, Baylío de Aquila y Neuburgo, quienes con los plenos poderes necesarios han convenido en general y en particul</t>
  </si>
  <si>
    <t>Gran Prior, Príncipe</t>
  </si>
  <si>
    <t>Príncipe Gran Prior</t>
  </si>
  <si>
    <t>274 3*° „ El Príncipe Gran Prior gozará de todos los privilegios, prerogativas, honores y emolumentos anexos á su dignidad, en conformidad de las constituciones de la Orden, y ademas con la reserva de que ha de s</t>
  </si>
  <si>
    <t>Gran-Elector, Príncipe</t>
  </si>
  <si>
    <t>Príncipe Gran-Elector</t>
  </si>
  <si>
    <t>fué S. A. recibido con las formalidades acostumbradas. Habiendo tomado asiento dixo: Señores: Si el Príncipe Gran-Elector estuviese todavía entre nosotros, hubiéraís recibido por su mano la comunicación que S.M. el Emperador y Rey mé manda que os haga. La carta que dirige S. M. ai Senado, y yo le trayg</t>
  </si>
  <si>
    <t>Granados y Francisco Zapata, Francisco</t>
  </si>
  <si>
    <t>Francisco Granados y Francisco Zapata</t>
  </si>
  <si>
    <t>servido S. M. conceder Tenencias en los Regimientos de dragones de la Reyna y Pavía á los Alféreces D. Francisco Granados y Don Francisco Zapata: en el de Almansa empleo de Portaguión al Sargento primero D. Domingo Pascual; y en el de Húsares Españoles empleo de Alférez al Cadete D. Manuel Bahamonde. En América. S. M. se h</t>
  </si>
  <si>
    <t>Granados, Miguel</t>
  </si>
  <si>
    <t>Miguel Granados</t>
  </si>
  <si>
    <t>e 180&amp;. S. M. se ha servido nombrar para la Canongía vacante en la Catedral de Guadix por muerte de D. Miguel Granados á IX Antonio Araoz y Arredondo; para la Ración vacante en la Colegial de Taíavera, Diócesi de Toledo, por fallecimiento de D. Vicente Parra, á D. Josef Hermenegildo Hernández de U</t>
  </si>
  <si>
    <t>Grangier, Félix</t>
  </si>
  <si>
    <t>Félix Grangier</t>
  </si>
  <si>
    <t>h, y áTeniente supernumerario á D. Xavier Traxler; y ettel de Wimpffen á Subtenientes á los Cadetes D. Félix Grangier, D. Josef Wirtz y D. Juan Víctor Glntz. - - ' , S. M. se ha servido nombrar Capitán delReal Cuerpo de Artillería á D. Josef Miranda. En la Gazeta del martes 5 del corriente, capít</t>
  </si>
  <si>
    <t>Grant</t>
  </si>
  <si>
    <t>ue hizo á la patria* y dél zelo de qué dió pruebas muy grandes en los Ultimos momentos* dé su vida» Mr. Grant apoyó la propuesta. :</t>
  </si>
  <si>
    <t>banco los caudales públicos sino para emplearlos inmediatamente en el servicio de la marina. El 15 Mr. Grant hizo en la misma Cámara un largo discurso acerca del estado de los negocios de la Compañía de la India, en que pretendió probar se hallaban en un estado próspero, y estaba la bala</t>
  </si>
  <si>
    <t>Grases, Ramón</t>
  </si>
  <si>
    <t>Ramón Grases</t>
  </si>
  <si>
    <t>dete del Inmemorial del Rey D. Francisco Vergara, y en el de la Princesa al Cadete del mismo cuerpo D. Ramón Grases. En el Regimiento de infantería de Zamora se ha servido S. M. conceder Tenencia al Subteniente D. Josef del Trell, y Subtenencia de bandera al Sargento primero D. Pedro Bonilla. E</t>
  </si>
  <si>
    <t>Grattam</t>
  </si>
  <si>
    <t>eron propuestos como candidatos en oposición al dicho Lord. Algunos anti-Grenvilistas quisieron que Mr. Grattam, miembro Irlandés del Parlamento, célebre por su conducta en su patria ántes de la reunión de ambos Reynos, se presentase como candidato; pero no es probable que consienta en ello</t>
  </si>
  <si>
    <t>Grattan</t>
  </si>
  <si>
    <t>fe con un Consejo: Mr. Sheri» dan , Tesorero de la Marina : el Duque de Bedford, Vi rey de Irlanda: Mr. Grattan, Canciller del Echiquier en Irlanda &amp;c. §cc. &amp;c. Hoy habrá Consejo privado en que jurarán los nuevos MinistrosLord Harrowby y Mr. Hammond ban llegado de Berlín. SUIZA. Mastica 22</t>
  </si>
  <si>
    <t>Gravina, General</t>
  </si>
  <si>
    <t>General Gravina</t>
  </si>
  <si>
    <t>cuya acción,-á juicio de los aliados, y aun al de los enemigos, fueron las acertadas maniobras del General Gravina, que mandaba la vanguardia de la esquadra combinada^ las que decidieron en su favor el suceso. Incorporadas después las fuerzas que teníamos en Ferrol, pasó con ellas en unión de</t>
  </si>
  <si>
    <t>e la Nunciatura de estos Reynos. Este papel, en 4® de marquilla, lleva un buen retrato del referido General Gravina, y notas al fin, en que se da puntual razón de sus principales hechos, que en la Oración no se pudiéron tocar sino de paso, justificados con testimonios auténticos. Véndese en la</t>
  </si>
  <si>
    <t>Gregg</t>
  </si>
  <si>
    <t>eclutas. Las Gazetas de Nueva-Yorck que hemos recibido llegan hasta el 7 de Febrero. El 29 de Enero Mr. Gregg hizo en la Cámara de los Representantes una propuesta, que se pasó á una junta, dirigida á prohibir en los Estados-Unidos la importación de qualesquiera géneros procedentes de la</t>
  </si>
  <si>
    <t>Grenviile, Lord</t>
  </si>
  <si>
    <t>Lord Grenviile</t>
  </si>
  <si>
    <t>capricho de un poderoso, pues son por sí solos bastante fuertes para no necesitar de protector..... Lord Grenviile es feí sol en su oriente que ahora adoran los Redactores del Correo y otros idólatras, políticos. Aunque Lord Grenviile sea en especial responsable de las disposiciones tomadas por</t>
  </si>
  <si>
    <t>dirige'á Lord Grenviile ¡una oposición mal compuesta, que no es sino una anarquía miserable , en tanto que no la gobierne un gefe que salga de la mediocridad.' ¡ Y estos hombres serán llamados para salva</t>
  </si>
  <si>
    <t>Grenviile, Tomás</t>
  </si>
  <si>
    <t>Tomás Grenviile</t>
  </si>
  <si>
    <t>a Corte, del sábado trae el nombramiento de Lord Howick á Ministro de Negocios extrangeros, y el de Mr. Tomas Grenviile á primer Lord del Almirantazgo. Los demas nombramientos, de que hablamos dias pasados, no constan de oficio;pero es probable se verifiquen.__ La misma Gazeta publica una orden del</t>
  </si>
  <si>
    <t>Grenvilíe, Lord</t>
  </si>
  <si>
    <t>Lord Grenvilíe</t>
  </si>
  <si>
    <t>Gabinete,en qUe confirmará los nuevos iiombramientos que el lúnés pasado le fuéroií presentados por Lord Grenvilíe , y qhe aprobó. Los nombramientos hechos son estos. Lord Sidmouth, Presidente del Consejo, én lugar de LordFitzWilliam, que hace dimisión de la Presidencia, y conserva la plaza de</t>
  </si>
  <si>
    <t>Grenville</t>
  </si>
  <si>
    <t>ques Rusos, cuyos Capitanes traen pliegos para el General Zach. GRAN BRETAÑA. Londres 4 de Octubre. Mr. Grenville ha comunicado al Lord Corregidor el aviso que sigue; ,, Almirantazgo á j de Octubre a la una de la tarde. Milord, tengo la satisfacción de participar á V. la llegada de un Oficial</t>
  </si>
  <si>
    <t>Grenville Mr, Lord</t>
  </si>
  <si>
    <t>Lord Grenville Mr</t>
  </si>
  <si>
    <t>renville, nue^o primer Lord de la Tesorería. El mismo Gentilhombre introduxo luego 4 los colegas de Lord Grenville Mr. Fox, el Conde de Spencer y Mr. Win^Hiam, Secretarios de Estado, á Mr. Grey, ai Vizconde de Sidmouth, á 1^ Condes Temple, Buckingham y á Mr. Vansittard, nombrando á cada unp por s</t>
  </si>
  <si>
    <t>Grenville y de Lord Spencer, Lord</t>
  </si>
  <si>
    <t>Lord Grenville y de Lord Spencer</t>
  </si>
  <si>
    <t>rno que debe sucederle. Se habla de Lord Sidmouth ( Addington }, de Lord Welies2íey, de Mr. Fox, de Lord Grenville y de Lord Spencer; y aun no falta' quien hable de los Lores Gastlereagh y Hawkesbury. La voz solo de que ®e nombraba Ministro á Lord Sidmouth ha hecho baxar los Fondos público® tin medio por 100i J</t>
  </si>
  <si>
    <t>Grenville y de Mr, Lord</t>
  </si>
  <si>
    <t>Lord Grenville y de Mr</t>
  </si>
  <si>
    <t>ete de Londres, que por el fallecimiento de Mr. Fox se ha entregado enteramente á la influencia del Lord Grenville y de Mr. Windham, implacables enemigos de la paz, sigue de nuevo sus planes antiguos. Sus máquinas incendiarias se han vuelto á presentar dos veces delante de Boloña, y una delante de Cal</t>
  </si>
  <si>
    <t>Grenville, Lord</t>
  </si>
  <si>
    <t>Lord Grenville</t>
  </si>
  <si>
    <t>ey, se remitió á una comisión para que diese cuenta de él, y al fin se adoptó unánimemente. Día 29. Lord Grenville ha sido nombrado Canciller del Echiquier, primer Lord de la Tesorería y primer Ministro; Mr. Fox Secretario de Estado para Jos Negocios extrangeros, y Mr. Windham para el despacho</t>
  </si>
  <si>
    <t>hronicle.') Lista del nuevo Ministerio , como se determinó ayer definí ti vaniien te entre el Rey y Lord Grenville. Mr. Erskine, Lord Canciller: Lord Grenville, primer Lord de la Tesorería: Lord Henry Petty, Canciller del Echiquier: Mr. Fox, Ministro de Negocios extrangeros: el Conde de Spence</t>
  </si>
  <si>
    <t>la sala del Gran Consejo, el Conde de Morton, Gentilhombre del Rey, introduxo cerca de su persona á Lord Grenville, nue^o primer Lord de la Tesorería. El mismo Gentilhombre introduxo luego 4 los colegas de Lord Grenville Mr. Fox, el Conde de Spencer y Mr. Win^Hiam, Secretarios de Estado, á Mr.</t>
  </si>
  <si>
    <t>ul tb n *v:r. &gt; ? r i •. El' a8 de Marzo' presentáron Lord TL Petty en la Cámara de los Comunes y* Lord Grenville en lar dé los Pares el* menságé siguiente: „ Deseando S. -M.i dar una prueba manifiesta de sil favor y aprobación al Vice»'Almirante S¡díJohní.DuckvsróMh¿ ipor el áervioió¿; señulád</t>
  </si>
  <si>
    <t>los Estados hereditarios. GRAN BRETAÑA. Londres 26 de Abril. Camara de los Pares. El dia 23 propuso Lord Grenville se hiciese un discurso de gfacias al Rey por su luensage relativo al rompimiento con Prusia. Pon este motivo hizo un Igrgo discurso^ en que manifestó el proceder de ésta Potencia</t>
  </si>
  <si>
    <t>ámara la resolución tomada por la de los Comunes, relativa á la abolición del comercio de esclavos, Lord Grenville habló en esta manera; „ Después de las repetidas discusiones é investigaciones minuciosas hechas de veinte años á esta parte, no creo necesario llamar mas tiempo vuestra atención</t>
  </si>
  <si>
    <t>rrible de Sto. Domingo.”__ Concluyo contra el bilí. El Obispo de Londres añadió á los argumentos de Lord Grenville, que el comercio de esclavos era contrario á los principios de la religión cristiana. Lord Holland, el Lord Canciller, el Obispo de S. Asaph y el Conde de Suffblk opinaron de la m</t>
  </si>
  <si>
    <t>los últimos pliegos del Conde de Lauderdale se juntó entre dos y tres de la tarde. Asistiéron á él Lord Grenville, Ford H. Petty, el Conde de Spencer,. Lord Horwick, Mr. Windham y Lord Sydmouth. Concluido el Consejo se despachó un correo á Lord Lauderdale. Las voces esparcidas de la muerte tr</t>
  </si>
  <si>
    <t>estaba indispuesto, va mejor; con todo los Médicos le han prohibido*que hagaexercicio á. caballo.__ Lord Grenville está hoy mejor: ei miércoles* pasado ñor pudo asistir á la Corte del Rey», y le han aconsejado no:se ocúpe iwr, negocios Iqilc exijan grande, atención.. "■ - ¡ ; ' .................</t>
  </si>
  <si>
    <t>medad..__De resultas del recibo de¡ estos pliegos se juntó un Consejo de Gabinete, á que asistieron'Lord Grenville, el Conde de Spencer, el Vizconde de Howick, los Lores H. Fetty y Sidmoutih, y Mr. Windham. Nada se ha traslucido-del contenido de los pliegos. Presumimos que ya está decidido el</t>
  </si>
  <si>
    <t>Grenville, Tomás</t>
  </si>
  <si>
    <t>Tomás Grenville</t>
  </si>
  <si>
    <t>Lord Sidmouth. Lord Howick (Mr. Grey) pasa del Almirantazgo ál Miúisterió de Negocios exirangeros. Mr. Tomás Grenville , primer Lord del Almirantazgo. Mr. Tierney, Presidente de la Contraloría. Mr. Bragge-Bathurst, Superintendente de la Casa de Moneda. 1 El Capitán Whitby, Comandante de la fragata</t>
  </si>
  <si>
    <t>n perecido 70 marineros y muchos pasageros. Los miembros que en el dia componen el Almirantazgo son Sir Tomas Grenville, primer Lord: el Almirante Markham, Sir H. Neale, Lord W. Russel, Lord Kensington, y Mrs. T. Treemantle, y W. Fuankland. No se enviará en adelante ningún convoy á Tonningen, y sal</t>
  </si>
  <si>
    <t>Grenvjlle, Lord</t>
  </si>
  <si>
    <t>Lord Grenvjlle</t>
  </si>
  <si>
    <t>l relativos al último tratado, á las disposiciones ideadas, en.asuntos de hacienda y.otros papeles. Lord Grenvjlle dixó uó creía eran las razones que alegaba el vocal suficientes para’hacer-públicos ios do* cumentos importantes que solici.tába: justificó á, los Ministros acerca de querer forza</t>
  </si>
  <si>
    <t>Greuville, Lord</t>
  </si>
  <si>
    <t>Lord Greuville</t>
  </si>
  <si>
    <t>22 de Abril. Ayer sie ha presentado en las dos Cámaras del Parlamento el mensage siguiente del Rey. Lord Greuville le ha presentado en la Cámara de los Pares, y Mr. Fox en la de los Comunes. » Jorge Rey, S. M, cree conveniente anunciar á la Cámara que se ha visto en la precisión de mandar reti</t>
  </si>
  <si>
    <t>Grey</t>
  </si>
  <si>
    <t>mandado que inmediatamente se envíe copia de la respuesta á la Cámara de los Comunes. El mismo dia Mr. Grey ha pedido en la Cámara de los Comunes que se la informe del dia en que se presentarán ios tratados hechos con las Potencias del Continente, de que se hace mención en el discurso d</t>
  </si>
  <si>
    <t>Conde de Spencer, Ministro de lo Interior: Mr. Windham, Secretario de la Guerra y de las Colonias: Mr. Grey, primer Lord del Almirantazgo *. el Conde de Moira, Gefe de la Artillería : el Conde de Fitz-WiHiam, Presidente del Consejo: Lord Sidmodth, Guardasellos privado: Lord Ellenborough</t>
  </si>
  <si>
    <t>los colegas de Lord Grenville Mr. Fox, el Conde de Spencer y Mr. Win^Hiam, Secretarios de Estado, á Mr. Grey, ai Vizconde de Sidmouth, á 1^ Condes Temple, Buckingham y á Mr. Vansittard, nombrando á cada unp por sus nuevos títulos.__ El concurso que con este motivo acudió á las inmediacio</t>
  </si>
  <si>
    <t>toca \ me aosténdfé de expresar ninguna opinión hasta que haya leído, las copias de los¡tratados.” Mr. Grey. „ Pregunto si es cierto que todos lós tratados están sobre la tabla. Me parece que las piezas presentadas no tratan sino del tratado ,ajusta-r do con Suecia y rRupia, y nada dice</t>
  </si>
  <si>
    <t>zgo se juntaron ayer,y entraron en el exercicio de sus empleos. El nuevo Almirantazgo se compone de Mr. Grey, primer Lord; del Almirante Marckham, de Sir Carlos Pode, Sir P. Stephens, y de Lord Russel. '• Se anuncia que Lord San Vicente tendrá un mando muy considerable, que comprehenderá</t>
  </si>
  <si>
    <t>or los Ministro;; del Rey. Lord S. Vicente, después de una larga conferencia en el Almirantazgo con Mr. Grey, recibió ayer su comisión de Comandante en gefe de la esquadra del Canal. Por la fragata Mercurio y el paquebote Auckland, que han arribado á Portsmouth y á Falmputh, se ha tenido</t>
  </si>
  <si>
    <t>a del parque y de la torre anunciaba con salvas esta noticia. En el Almirantazgo d 27 de Febrero. ,,Mr. Grey tiene la honra de pasar al Lord Corregidor la relación adjunta de la ventaja que han conseguido las armas de S. M. á las órdenes de Sir David Baird y de Sir Popham.” ,, En el desp</t>
  </si>
  <si>
    <t>e ahora qual de estos sentimientos merece mas miramiento.” Mr. Wallace habló contra la propuesta, y Mr. Grey la apoyó. Al cabo se adoptó, y se encargó á Mr. Whitbread llevase á la Cámara de los Pares un mensage conforme á esta propuesta. ! HOLANDA. Haya yi de Marzo. ■ • ■ - La curiosidad pú</t>
  </si>
  <si>
    <t>ucido-del contenido de los pliegos. Presumimos que ya está decidido el nombramiento de Lord Howick (Mr. Grey) á Secretario de Negocios extrangeros. Esta elección será apro* bada así- en Inglaterra como fuera del Reyno. El Rey viene mañana á Lón» dres, y es probable que pronto se sepa alg</t>
  </si>
  <si>
    <t>ndividuo del Consejo. Lord^olland, Lord del sello privado, en lugar .dé Lord Sidmouth. Lord Howick (Mr. Grey) pasa del Almirantazgo ál Miúisterió de Negocios exirangeros. Mr. Tomás Grenville , primer Lord del Almirantazgo. Mr. Tierney, Presidente de la Contraloría. Mr. Bragge-Bathurst, S</t>
  </si>
  <si>
    <t>Griego, Obispo</t>
  </si>
  <si>
    <t>Obispo Griego</t>
  </si>
  <si>
    <t>ía en ellos, envió luego secretamente un&gt; emisario á Widdin con la horrible comisión de degollar al Obispo Griego; y todo fue executado. La muerte de este Prelado respetable, generalmente estimado,fue la señal de una general sublevación; todos los habitantes tomaron las armas, apoderáronse dé</t>
  </si>
  <si>
    <t>Grifols, Félix</t>
  </si>
  <si>
    <t>Félix Grifols</t>
  </si>
  <si>
    <t>ix Llorens ; la Tenencia al Subteniente D. Onofre Noviola, y la de Subteniente de bandera al Cadete D. Félix Grifols. El Rey se ha servido conferir Compañía en el Regimiento de infantería de Córdoba al Teniente Coronel D. Anselmo Plaza, Capitán segundo de granaderos del Provincial de Soria; Tene</t>
  </si>
  <si>
    <t>Grobert</t>
  </si>
  <si>
    <t>Profesores de la Academia militar del Real Cuerpo de Artillería acerca de una máquina propuesta por Mr. Grobert; extracto de un víage alrededor del mundo, escrito en ingles por John Turnbull, sobre la gran diferencia que halla D. A. C. B. entre las letras cmicron y omega de los Griegos, cor</t>
  </si>
  <si>
    <t>Groos</t>
  </si>
  <si>
    <t>ntzen. El Barón de Dalberg, Ministro plenipotenciario del Elector de Badén, al Barón de Heynaii y á Mr. Groos. Mr. Bantzen, Ministro plenipotenciario de la República Bátava, al Almirante Verhuel, Ministro de la Marina, á Mr. de Zuylen de Nyevell, y á Mr. de Brugmans. Mr. de Cetto, Ministr</t>
  </si>
  <si>
    <t>Groshbwsky</t>
  </si>
  <si>
    <t>correo extraordinario para el Embaxador Ruso en esta capital , y el Caballero de la Orden de Malta Mr. Groshbwsky, que va con la mayor4 diligencia á Parisí.Creí.nio^ que vendría aquí el Príncipe de Hohenlohepero há marchado directsm-n e al exército que ha de estar baxo su mando en las fronter</t>
  </si>
  <si>
    <t>Grouchy, General</t>
  </si>
  <si>
    <t>General Grouchy</t>
  </si>
  <si>
    <t>e'^ el enemigo ní&gt;; pudo executar las maniobras que se le mandaban; Circuyo instante, recibiendo el General Grouchy orden; de cargar, rom-» piéron los dragones con su acostumbrada bizarría. Caballería , infantería y artillería enemigas, todo quedó arrollado en los arrabales de Prentzlow; en cuy</t>
  </si>
  <si>
    <t>Grrego, Diego</t>
  </si>
  <si>
    <t>Diego Grrego</t>
  </si>
  <si>
    <t>.cuerpo; á Capitán al Teniente D. Pedro Pablo de los Santos; fá Ayudante al Teniente de granaderos D. Diego Grrego-; á Teniente al Alférez D. Juan de Arias; y á Portaguiones á D. Juan Félix Pctriarena y D. Santos*Zaldival, soldados distinguidos del mismo cuerpo. Para celebrar las diez extraccio</t>
  </si>
  <si>
    <t>Gruñe, General</t>
  </si>
  <si>
    <t>General Gruñe</t>
  </si>
  <si>
    <t>ias en casa del Ministro de Negocios extrangeros el Conde de Stadion, á las quales ha concurrido el General Gruñe á nombre del Príncipe Carlos. . Stuttgardt 20 de Febrero. Cada día recibe nuevos refuerzos el ejército Francés que hay entre el Lahn y el Necker, y señaladamente en la ribera del</t>
  </si>
  <si>
    <t>Guardias de Corps, Capitán</t>
  </si>
  <si>
    <t>Capitán Guardias de Corps</t>
  </si>
  <si>
    <t>iendo debaxo de la caxa una rica cubierta de tisú; igual á la del ataúd. Incontinenti el Excmo. Sr. Capitán Guardias de Corps referido colocó en los quatro ángulos de la cama 4 Guardias de Corps de centinela, y el Excelentísimo Sr. Mayordomo mayor.para la custodia de S. A., según práctica, llamó en voz a</t>
  </si>
  <si>
    <t>Guardiola y Borras, Pedro</t>
  </si>
  <si>
    <t>Pedro Guardiola y Borras</t>
  </si>
  <si>
    <t>l Subteniente de granaderos D. Guillermo Lions; y en el de Ultonia Subtenencia de bandera al Cadete D. Pedro Guardiola y Borras. S. M. vse ha seívido conferir el empleo de Coronel del Regimiento de caballería de Cazadores Voluntarios de España al Brigadier D. Juan Alvarez de Faria. Por ser dignos de la not</t>
  </si>
  <si>
    <t>Guardiola y Saez, Lorenzo</t>
  </si>
  <si>
    <t>Lorenzo Guardiola y Saez</t>
  </si>
  <si>
    <t>nistración de justicia y buen gobierno político y económico de los pueblos*, segunda impresión, por D. Lorenzo Guardiola y Saez, Agente Fiscal del Real y Supremo de Castilla. Se hallará en la librería de Castillo, frente á las gradas de S. Felipe, y en la de Escribano, calle de las Carretas. ...... Tercera</t>
  </si>
  <si>
    <t>Guarisii, Julián</t>
  </si>
  <si>
    <t>Julián Guarisii</t>
  </si>
  <si>
    <t>iz Dávila, D. Luis-Bartolomé Calvo, D. Francisco Sarabia, D. Rafael Figueroa, D; Joaquín Martínez y D. Julián Guarisii, últimos tenedores respective que: fueron de 9 vales. Reales, de 150 pesos, creación de r 0 de Setiembre de 1804, núms. 160409,. 178300 , 182706, 182708, 190780, 196805, 197631, 2</t>
  </si>
  <si>
    <t>Guaxardo y Faxardo, Antonio</t>
  </si>
  <si>
    <t>Antonio Guaxardo y Faxardo</t>
  </si>
  <si>
    <t>cillería de Granada, por ascenso del D. Antonio Alcalá Galiano, al Alcalde de la misma Chancillería D. Antonio Guaxardo y Faxardo: para la de la Audiencia de la Coruña, por ascenso del D. Francisco Diaz Bermudo, á D. Francisco Martínez de Galinsoga: para la de Alcalde del crimen de Granada, por ascenso de di</t>
  </si>
  <si>
    <t>Guazquez, Ignacio</t>
  </si>
  <si>
    <t>Ignacio Guazquez</t>
  </si>
  <si>
    <t>guido con tanto vigor el tráfico clandestino, que según escribe desde Campeche el Teniente de Navio D. Ignacio Guazquez, Capitán que fue de la goleta-correo la Galga, el comercio de Jamayca (donde ha estado prisionero) se halla en absoluta estagnación y del todo /arruinado. Por lo demas hace como t</t>
  </si>
  <si>
    <t>Gudin, General</t>
  </si>
  <si>
    <t>General Gudin</t>
  </si>
  <si>
    <t>viembre. ORDEN DEL DIA. Se hace saber al exército que Custrin se ha rendido al Mariscal Davousf. El General Gudin entró en la ciudad ayer á las 7 de la noche. S. M. ha visto con regocijo que los cuerpos de esta división, que tanto sobresalieron en la batalla -de Jena &gt; han tenido la mayor recom</t>
  </si>
  <si>
    <t>Guerrero, Juan</t>
  </si>
  <si>
    <t>Juan Guerrero</t>
  </si>
  <si>
    <t>eniente Coronel, D.Patricio Kearney: en el Inmemorial del Rey Tenencia al Subteniente de granaderos D. Juan Guerrero; y en los de la Corona, y de Ordenes Militares Subtenencias de bandera á los Cadetes B'. Pablo Ruiz de la Bastida y D. Francisco de Asas. El Rey se hai.servidof conceder á su Ayud</t>
  </si>
  <si>
    <t>Guerrero, Luis Santiago</t>
  </si>
  <si>
    <t>Luis Santiago Guerrero</t>
  </si>
  <si>
    <t>de Religiosas Dominicas: es. población de 500 vecinos. Los pretendientes dirigirán los memoriales á D. Luis Santiago Guerrero, Regente de dicha villa. Los subscriptores á la colección general de las obras del Maestro Avila, llamado el Apóstol de Andalucía, acudirán á recoger el tomo 5.0 en rústica á la l</t>
  </si>
  <si>
    <t>Gugger, Francisco</t>
  </si>
  <si>
    <t>Francisco Gugger</t>
  </si>
  <si>
    <t>bteniente de granaderos al de fusileros D. Tomas Metzger ; á Teniente» al Subteniente de granaderos D. Francisco Gugger : en el de Traxler á Capitanes primeros á los de granaderos D. Antonio Stultz y D. Antonio Christen; á Capitanes de granaderos á lo*</t>
  </si>
  <si>
    <t>Guillarme, Coronel</t>
  </si>
  <si>
    <t>Coronel Guillarme</t>
  </si>
  <si>
    <t>ento de Treuenfels y.de la coluna destacada de la división del Príncipe,.de Hoheniohe, y el 1miente Coronel Guillarme, del Regimiento, Ig de cazadores á caballo,, en 'nombre del General Milhaud } Comandante de la caballería de vanguardia-¡ y por orden de S. A. I. el Gran Duque de Berg y dé Clevés</t>
  </si>
  <si>
    <t>Guillelmo</t>
  </si>
  <si>
    <t>celebró el&lt; dia 3 del corriente,elf examen del duo^ décimo curso de Gramática castellana á cargo de'D. Guillelmo; Caramillo. Presidió el Sr. D. Sebastian de Torres, del Consejo Real, Protector de dicho establecimiento. El Secretario leyó las actas de todos los 12,cursos; y en seguida el Cate</t>
  </si>
  <si>
    <t>Guillemó, Francisco</t>
  </si>
  <si>
    <t>Francisco Guillemó</t>
  </si>
  <si>
    <t>para un Beneficio de la Parroquia de la Selva, Diócesis de Tarragona, vacante por fallecí niento de D. Francisco Guillemó, á D. Lorenzo Guinovar; y para otro Beneficio de la Parroquia de Constan— ti, en la misma Dióceis de Tarragona, vacante por muerte de D. Antonio Roca, á D. Tomas Capellá. El Rey s</t>
  </si>
  <si>
    <t>Guillen, Bartolomé</t>
  </si>
  <si>
    <t>Bartolomé Guillen</t>
  </si>
  <si>
    <t>D. Felipe Gómez Humaran: el de Subteniente de bandera del primero de Barcelona al Sargento primero D. Bartolomé Guillen ; y en el de infantería de Aragón el de Subtenientes de bandera á Don Juan Antonio; Roldan y D- ManueL Marín,, Sargento primero y Cadete del mismo cuerpo. En América. El Rey se ha</t>
  </si>
  <si>
    <t>Guillen, Diego</t>
  </si>
  <si>
    <t>Diego Guillen</t>
  </si>
  <si>
    <t>, cuyo buque ha traído á Cartagena; y el mismo dia 10 el Cañonero, del mando del Alférez de Fragata D. Diego Guillen, sostuvo una lucida acción contra una fragata de guerra Inglesa y sus botes armados á la altura del Cabo Roche , cuyo combate se repitió en la tarde del mismo día entre la misma f</t>
  </si>
  <si>
    <t>Guillen, Juan</t>
  </si>
  <si>
    <t>Juan Guillen</t>
  </si>
  <si>
    <t>ñado del limo. Sr. Notario D. Sebastian de Piñuela, de los Capellanes de Honor D. FranciscoQuesada, Don Juan Guillen, D. Agustín Librero, D. Nicolás Esterripa, D. Manuel Gallardo, D. Vicente Navarro, D. Josef Duaso, y D. Blas de Toro, Maestro de Ceremonias de la Real Capilla, de los Gentileshomb</t>
  </si>
  <si>
    <t>Guillermo Aragoneses Barba</t>
  </si>
  <si>
    <t>Parroquia de Masueco, en la Diócesi de Salamanca, vacante por muerte de D. Juan Añer de Estevez, á D. Guillermo Aragoneses Barba; y para el Curato rural de Valtodano, jurisdicción del lugar de Langa, en la de Avila, vacante por ascenso de D, Pedro Estala á Canongía ae la Catedral de Toledo, á Don Dámaso Car</t>
  </si>
  <si>
    <t>Guillermo de Brunswick-Oels, Príncipe</t>
  </si>
  <si>
    <t>Príncipe Guillermo de Brunswick-Oels</t>
  </si>
  <si>
    <t>de coraceros de Hautpoul. En esta situación se presentaron á los vencedores el General Blucher, el Príncipe Guillermo de Brunswick-Oels y los demás Generales, pidiendo capitulación, y desfilaron delante del exército Francés. Estas.dos acciones han destruido el ultimo cuerpo que quedaba del exército Prusiano, y le hemos tom</t>
  </si>
  <si>
    <t>Guillermo de Uhagon</t>
  </si>
  <si>
    <t>iado, quien supiere de su paradero se servirá avisar á los mencionados D. Juan Planté en Santander^ D. Guillermo de Uhagon en Bilbao, ú á D. Juan Planté en Madrid. Por decreto del Sr Intendente de esta Provincia se ha mandado sacar nuevamente, por término de 30 dias, que empezaron á correr desde el 10 d</t>
  </si>
  <si>
    <t>uido en la ardua y penosa carrera á que se consagró, y en que gloriosamente ha sacrificado su vida. D. Guillermo de Uhagon, vecino de Bilbao, remitió con carta de 24 de Abril último, debidamente endosado á D. Juan Planté, comerciante en Santander, un vale Real de 300 pesos, creación de Mayo, núm. 4545</t>
  </si>
  <si>
    <t>Guillermo Lavallaz</t>
  </si>
  <si>
    <t>del- j^isapycqejrpo: Capitanes primeros en el de Preux á los de granaderos D. Estanislao ae Werra y D. Guillermo Lavallaz: para estas resultas! los Capitanes séy gundos D. Henrique de Preux y D. Alexo efe W^m**-Teniente en el dd Traxler al Subteniente de granaderos D. /Federico B^hi;, y Subtenientes</t>
  </si>
  <si>
    <t>Guillermo Lewis Smith, Coronel</t>
  </si>
  <si>
    <t>Coronel Guillermo Lewis Smith</t>
  </si>
  <si>
    <t>próximo pasado. En aquellas regiones trabó amistad con los armadores Tomas Luclés y Ogden*,' con el Coronel Guillermo Lewis Smith, con el carnicero John Tings, y con los Oficiales Arinstrong Dufning y Douglass; y por medio de todos reclutó quanta gente podía entrar á bordo ae la corbeta el Leandro, armando e</t>
  </si>
  <si>
    <t>Guillermo Lions</t>
  </si>
  <si>
    <t>bandera al Sargento primero D. Juan Casado: en el de Hibernia Tenencia al Subteniente de granaderos D. Guillermo Lions; y en el de Ultonia Subtenencia de bandera al Cadete D. Pedro Guardiola y Borras. S. M. vse ha seívido conferir el empleo de Coronel del Regimiento de caballería de Cazadores Volu</t>
  </si>
  <si>
    <t>Guillermo Xaramillo</t>
  </si>
  <si>
    <t>s, del Consejo Real, como Protector del estudio del lenguage general y español, que está á cargo de D. Guillermo Xaramillo, ha señalado el dia 6 de Octubre para.dar principio al 13.° curso , cuyas lecciones sodarán un qúárto de hora después de haber anoche*cido. Ei que sépadeer y escribir , y quisiese</t>
  </si>
  <si>
    <t>Guillermo, Duque</t>
  </si>
  <si>
    <t>Duque Guillermo</t>
  </si>
  <si>
    <t>rle formalmente. Créese que la guarnición de Bareuth, de la que hace parte el Regimiento Bávaro del Duque Guillermo, hará el sitio. El Dr. Punsnow escribe de Siberia alDr. Schiiz, residente en Halle, sobre un terremoto que ha habido en los contornos de Krasnojarsk___ „ Antes de ayer (8 de Agost</t>
  </si>
  <si>
    <t>Guillermo, Príncipe</t>
  </si>
  <si>
    <t>Príncipe Guillermo</t>
  </si>
  <si>
    <t>e reembarque el exército Sueco. En la noche del 8 al 9 del corriente falleció en Brunswick S. A. el Príncipe Guillermo v de Orange-Nassau, último Stathouder de Holanda; y le sucede en el Gobierno del Principado de Nassau-Orange el Príncipe reynante de Fulda. Augsburgo jy de Abril. Se sostiene la v</t>
  </si>
  <si>
    <t>rid de Junio. Con motivo del fallecimiento del Príncipe Federico, hermano del Rey de Dinamarca, del Príncipe Guillermo hermano del Duque de Brunswick, y del Margrave de Anspach, primo del Rey de Prusia, ha mandado el Rey que se vista la Corte de luto por ocho dias. S. M. se ha servido nombrar para</t>
  </si>
  <si>
    <t>osa alguna sobre este punto. A pesar de todo, sabemos que van marchando tropas hácia Magdeburgo. El Príncipe Guillermo,hermano de S. M., va á Hala, y aun el Rey pondrá allí suquartel general,según dicen. También se reunirá allí el Duque de Brunswick, que manda el centro de nuestro exército. En las</t>
  </si>
  <si>
    <t>Guinovar, Lorenzo</t>
  </si>
  <si>
    <t>Lorenzo Guinovar</t>
  </si>
  <si>
    <t>Beneficio en la villa de Momblaneh, Diócesi de Tarragona, vacante por muerte de D. Tomas Boitas, á D. Lorenzo Guinovar: para otro en la Parroquia de Sta. Pau, Diócesi de Gerona, vacante por fallecimiento de D. Francisca Fluvia, á- D. Paladio Viílarrasa: para otro Beneficio patrimonial servidero de</t>
  </si>
  <si>
    <t>arroquia de la Selva, Diócesis de Tarragona, vacante por fallecí niento de D. Francisco Guillemó, á D. Lorenzo Guinovar; y para otro Beneficio de la Parroquia de Constan— ti, en la misma Dióceis de Tarragona, vacante por muerte de D. Antonio Roca, á D. Tomas Capellá. El Rey se ha servido conceder e</t>
  </si>
  <si>
    <t>Guiu Arcediano de Junes, Matías</t>
  </si>
  <si>
    <t>Matías Guiu Arcediano de Junes</t>
  </si>
  <si>
    <t>na; y á D. Manuel de Abad y Monseo para la Dignidad de Arcediano de Barbastro en esta Catedral, y á D. Matías Guiu Arcediano de Junes en la misma Iglesia, con retención de las dosCanongías que disfrutan en la propia Catedral. £1 Rey se ha servido conceder en el Regimiento de infantería de Cantabria Subtenencia de</t>
  </si>
  <si>
    <t>Guseley</t>
  </si>
  <si>
    <t>ersa, en la lengua Sanscrit, figuras mitológicas, y otras antigüedades preciosas que ha descubierto Mr. Guseley en el lndostan, en el Tibet, la Tartaria, la China, Ceylan y en el Reyno de "A va. Tal vez no hay ciencia alguna que no pueda esperar sacar algún fruto de esta inmensa colección; y</t>
  </si>
  <si>
    <t>Gustavo de Loewenhijelm, Conde</t>
  </si>
  <si>
    <t>Conde Gustavo de Loewenhijelm</t>
  </si>
  <si>
    <t>15 del pasado por Hitzacker y Artlenburgo, para ocupar el país de Lauenburgo. Luego que lo supo el Conde Gustavo de Loewenhijelm escribió al Comandante Prusiano, haciéndole presente que, reiterando el contenido de su oficio de</t>
  </si>
  <si>
    <t>Gustavo de Stuckelberg, Conde</t>
  </si>
  <si>
    <t>Conde Gustavo de Stuckelberg</t>
  </si>
  <si>
    <t>Rasumowsky, que ha desempeñado esta embáxada durante todas las coaligaciones contra la Francia. El Conde Gustavo de Stuckelberg, que ántes fué Ministro en Holanda ,'reemplazará en Berlín á Mr. Alopeus; y el viage de Mr. Oubril á Francia tiene por objeto secreto él negociar una conciliación entre ámbas Cort</t>
  </si>
  <si>
    <t>Gustavo, Conde</t>
  </si>
  <si>
    <t>Conde Gustavo</t>
  </si>
  <si>
    <t>e de línea y de la artillería está en Richtenberg. La cadena de puestos avanzados 4 mandados por el Conde Gustavo towedhjelm, ocupa las márgenes del Trebel y del Peone.7 El quartel general del Rey se transferiráde aquí á Franzburgo. rwl' y n 4 PRDSIA. * ; Berlín $ de Julio. Después de la renu</t>
  </si>
  <si>
    <t>Gutiérrez Bueno, Pedro</t>
  </si>
  <si>
    <t>Pedro Gutiérrez Bueno</t>
  </si>
  <si>
    <t>pasta. ' Descripción de los baños de Arnedillo, y análisis de sus aguas, por el profesor de Química D. Pedro Gutiérrez Bueno. Se hallará en la librería de Tieso, calle de las Carretas. El Emprendedor, ó Aventuras de un Español en el Asia. Se hallará en la librería de Orea, frente á S. Luis, y en la de F</t>
  </si>
  <si>
    <t>ento justificativo de la Memoria numero vigesimoquarto, y que quando:se acaben las . caxas que hizo D. Pedro Gutiérrez Bueno, de construcción mas sencilla y barata?'pata facilitar con mayor prontitud su uso; deben fabricarse los aparatos grandes , figurados en la lámina 1, para el servicio de ios hospit</t>
  </si>
  <si>
    <t>Gutiérrez Carabantes, Santiago Gonzalo</t>
  </si>
  <si>
    <t>Santiago Gonzalo Gutiérrez Carabantes</t>
  </si>
  <si>
    <t>de bandera, en ql mismo de Tuy y;los.,de SigileRza,Tofédo y Córdoba á D. Manuel Antonio de Castro, D. Santiago Gonzalo Gutiérrez Carabantes, D. Luis María Espinosa de los Monteros y P. Josef Marría de S. Lázaro Gamiz y Moyano. _ . . i-, ,JL. El Rey se ha servido conferir Compañías,qn los. Regimientos de caballería de</t>
  </si>
  <si>
    <t>Gutiérrez de Celis, Miguel</t>
  </si>
  <si>
    <t>Miguel Gutiérrez de Celis</t>
  </si>
  <si>
    <t>quisiere hacer postura á algunas de dichas fincas acuda en el término señalado por la escribanía de D. Miguel Gutiérrez de Celis.^Por providencia del mismo Juez Comisionado Real y citada escribanía se sacáron á pública subasta, por el término de 30 días, que empezaron en 9 del presente, diferentes fincas pe</t>
  </si>
  <si>
    <t>Gutiérrez de la Concha, Juan</t>
  </si>
  <si>
    <t>Juan Gutiérrez de la Concha</t>
  </si>
  <si>
    <t>tico, con la Intendencia de la provincia de Córdoba del Tucuman, en el Vireynato de Buenos-Ayres, á D. Juan Gutiérrez de la Concha, Capiran de Fragata de la Real Armada. El dia primero de Setiembre á las quatro de la tarde se dará principio al curso de Taquigrafía, ó del arte de escribir con tanta velocidad c</t>
  </si>
  <si>
    <t>Gutiérrez Ravét, Manuel María</t>
  </si>
  <si>
    <t>Manuel María Gutiérrez Ravét</t>
  </si>
  <si>
    <t>r en la Capilla de la Catedral de Málaga, vacante por fallecimiento de D. Joaquín Belmar y Muñiz, á D. Manuel María Gutiérrez Ravét para el Préstamo de la Parroquial de la Puebla de Yeltes, en la Diócesis de Ciudad-Rodrigo, vacante por muerte de D. Manuel Fernandez Martínez, á D. Alexo Díaz: para el Arcipresta</t>
  </si>
  <si>
    <t>Gutiérrez Vigil de Quiñones, Francisco</t>
  </si>
  <si>
    <t>Francisco Gutiérrez Vigil de Quiñones</t>
  </si>
  <si>
    <t>e ha dignado nombrar para la plaza de Alcalde de su Real Casa y Corte, vacante por fallecimiento de D. Francisco Gutiérrez Vigil de Quiñones, á D. Tomas Casanova de Arnuero y Rada, que lo era Supernumerario: á D. Vicente Calvo para la Vara de Alcalde mayor de la villa de Sepúlveda: á D. Justo Martínez de Baños para la</t>
  </si>
  <si>
    <t>Gutiérrez, Alexandro</t>
  </si>
  <si>
    <t>Alexandro Gutiérrez</t>
  </si>
  <si>
    <t>da ante el Sr. D. Torquato Antonio Collado, Teniente Corregidor de esta villa, por la escribanía de D. Alexandro Gutiérrez} previniéndose que para el remate se ha señalado el dia 6 del presente. Fr. Juan Antonio de la Santísima Trinidad, Carmelita descalzo, en su Convento de esta Corte, Maestro profes</t>
  </si>
  <si>
    <t>Gutiérrez, Antonio</t>
  </si>
  <si>
    <t>Antonio Gutiérrez</t>
  </si>
  <si>
    <t>antería inmemorial del Rey se ha servido S. M-. conferir Compañía al Ayudante, graduado de Capitán, D. Antonio Gutiérrez. ' , .En el Regimiento de caballería de la Reyna se ha servido el Rey conferir Compañía al Ayudante, graduado de Capitán, D. Nicolás Chacón:</t>
  </si>
  <si>
    <t>s Ángeles; en las inmediacionesr de la de Valladolid de Mechoacan, donde lo encontró jel Ay undante D. Antonio Gutiérrez; y erí el partido de Calabozo de la provincia de Caracas, donde lo halló el Facultativo de aquella residencia D* Cárlos de Pozo¿ N ' ¡ ; - ■ La multitud de observadonés , i que no</t>
  </si>
  <si>
    <t>Gutiérrez, Francisco Antonio</t>
  </si>
  <si>
    <t>Francisco Antonio Gutiérrez</t>
  </si>
  <si>
    <t>Arcediano de Euénte-Saúco ,:en la Car tedral de Zamora, vacante por muerte de D. Vicente Monroy, á D. Francisco Antonio Gutiérrez,iCuráPárroco del lugar de Pelilla en aquella Dióssesi s para- la -Dignidad de Maestres cuela de1 laColegial deLoígroño, vacante por promoción de D; Perm5a^SrJ&lt;¿aá á-:Gmón^ojde.;;l</t>
  </si>
  <si>
    <t>Gutiérrez, Manuel</t>
  </si>
  <si>
    <t>Manuel Gutiérrez</t>
  </si>
  <si>
    <t>no, inculto;, y en parage donde no acostumbraba hacerse esta siembra: 200 rs. á Manuel Gutiérrez, vecino de la Parroquia de S. Román, Concejo de Candamo, por vía de gratificación, por haber sembrado en línea reo ta y á manos cosa de 4 dias de bueyes de maíz, con ahorro de dos tercera</t>
  </si>
  <si>
    <t>Guyard, Capitán</t>
  </si>
  <si>
    <t>Capitán Guyard</t>
  </si>
  <si>
    <t>ndados por el Almirante Biely, se presentaron en la rada de la isla de Liesina, en donde mandaba el Capitán Guyard ¿ del Regimiento de línea núm. 23 , que tenia á sus órdenes medio batallón' dei propio Regimiento.__ .El 29 y el 30 la esquadra Rusa hizo fuego de todos sus baxeles, yen la noche</t>
  </si>
  <si>
    <t>Hach, General</t>
  </si>
  <si>
    <t>General Hach</t>
  </si>
  <si>
    <t>a con las tropas Austríacas que estaban aun en ¿1 Friul. El nuevo Comandante militar de Trieste, el General Hach, no ha llegado todavía___ El comercio y la navegación de esta plaza se resiente mucho de la especie de bloqueo que han establecido unas quantas fragatas Inglesas. Las cartas mas r</t>
  </si>
  <si>
    <t>Hagel</t>
  </si>
  <si>
    <t>razón; así es que su catástrofe á nadie causará lástima. Capitulación ajustada interinamente entre Mr. Hagel, Brigadier, Comandante del Regimiento de Treuenfels y.de la coluna destacada de la división del Príncipe,.de Hoheniohe, y el 1miente Coronel Guillarme, del Regimiento, Ig de cazad</t>
  </si>
  <si>
    <t>Hamerstein, Teniente General</t>
  </si>
  <si>
    <t>Teniente General Hamerstein</t>
  </si>
  <si>
    <t>ufgb han comentado' ^venderse los acopios y almacenes de las tropas Suecas___Corren voces de que el Teniente General Hamerstein no ha querido admitir la plaza de Comandante de Hannóver; y que desean hacer renuncia muchos Oficiales superiores de los cuerpos Hannoverianos----- El 29 pasó por Aítona el Minist</t>
  </si>
  <si>
    <t>Hammer</t>
  </si>
  <si>
    <t>, que han de costearse de los fondos que dexó á dicho fin en su testamento el Consejero de Justicia Mr. Hammer. El publico debe al zelo y laboriosidad de Mr. Arndt el descubrimiento de varias inscripciones rúnicas que ha encontrado en el Gobierno de Drontheim, y varios otros monumentos de</t>
  </si>
  <si>
    <t>Hammond</t>
  </si>
  <si>
    <t>n Irlanda &amp;c. §cc. &amp;c. Hoy habrá Consejo privado en que jurarán los nuevos MinistrosLord Harrowby y Mr. Hammond ban llegado de Berlín. SUIZA. Mastica 22 de Enero. Los Magistrados de Lucerna y de Zurich han prohibido^ toda especie de bayle y de espectáculos. Esta prohibición la ha motivado l</t>
  </si>
  <si>
    <t>Haríingtpn, Lord</t>
  </si>
  <si>
    <t>Lord Haríingtpn</t>
  </si>
  <si>
    <t>dará en sus guarniciones á que se restituya £1 Elector Hesse, que permanece'todavía en Berlin. , El Lord Haríingtpn, Enviado extraordinario de ¡a Corte de Londres i la de Austria, llego á Berlin ¿l 20 del próximo pasado, y en la lista de los extrangeros np se le ha puesto mas título que el de G</t>
  </si>
  <si>
    <t>Harrington, Lord</t>
  </si>
  <si>
    <t>Lord Harrington</t>
  </si>
  <si>
    <t>rinamente el exército de aquella isla hasta mediados de Enero, durante la comisión que se ha dado á Lord Harrington en el Continente. Las noticias aciagas que se reciben diariamente de Alemania excitan las mayores inquietudes, y dan motivo á serias deliberaciones en el Gabinete. Es imposible calc</t>
  </si>
  <si>
    <t>y, que no lisonjean las esperanzas que habia concebido de las disposiciones del Rey de Prusia. ' El Lord Harrington se embarcó el sábado en Yarmouth con su comitiva para Cuxhaven, desde donde irá en busca de la Corte Imperial Austríaca. Antes de ayer llegó á Deal la orden para partir la expedic</t>
  </si>
  <si>
    <t>uy digna de notarse que hay ahora mismo 4 Mi tros Ingleses ea Berlín, á saber: el Lord Harrowby, ei Lord Harrington, Mr. Jack</t>
  </si>
  <si>
    <t>Harrowby, Lord</t>
  </si>
  <si>
    <t>Lord Harrowby</t>
  </si>
  <si>
    <t>denes del Teniente General Dundas. De résúltas de la llegada de un correo, qué ha tráidó pliegos de Lord Harrowby, se ha celebrado un Consejo de Gabinete, en que se ha tratado de los negocios del Continente. „ Jamas se han esperado con mayor impaciencia, dice el Morning-Cfirsnicle, las notici</t>
  </si>
  <si>
    <t>quartel general de su, exército, última esperanza y asilo del Monarca Austríaco;, si res cierto que Lord Harrowby no puede conseguir nada de ía Prusia. Sin duda "el Emperador de Rusia no empleará su exército florido en servirle de escolta para volver á su capital; pues pretenderá pelear con e</t>
  </si>
  <si>
    <t>arse al punto también para el Continente. Se pretende saber que el Gobierno ha recibido pliegos del Lord Harrowby, que no lisonjean las esperanzas que habia concebido de las disposiciones del Rey de Prusia. ' El Lord Harrington se embarcó el sábado en Yarmouth con su comitiva para Cuxhaven, d</t>
  </si>
  <si>
    <t>pe Luis. Es cosa muy digna de notarse que hay ahora mismo 4 Mi tros Ingleses ea Berlín, á saber: el Lord Harrowby, ei Lord Harrington, Mr. Jack</t>
  </si>
  <si>
    <t>Hartsinck, Almirante</t>
  </si>
  <si>
    <t>Almirante Hartsinck</t>
  </si>
  <si>
    <t>visto anclados en la ¡rada de Manila 7 navios de guerra Franceses, que aguardaban se les juntase el Almirante Hartsinck con los 3 navios de línea Holandeses que manda. Añade el mismo Capitán, que se creía generalmente que estas fuerzas estaban destinadas á acometer el convoy de la China á su regres</t>
  </si>
  <si>
    <t>Hartsink, Almirante</t>
  </si>
  <si>
    <t>Almirante Hartsink</t>
  </si>
  <si>
    <t>que á su regreso ha hecho escala en la isla de Sta. Elena, ha traido la noticia de haber salido el Almirante Hartsink de la isla de Java con su esquadra. Dirigíase este Almirante al golfo de Bengala;pero habiéndose manifestado de repente una insurrección á bordo de varios de sus navios, ha tenido que a</t>
  </si>
  <si>
    <t>Harvey, Almirante</t>
  </si>
  <si>
    <t>Almirante Harvey</t>
  </si>
  <si>
    <t>e Brest. 2. a Seis, mandados por el Conmodoro Keats,. á vista de Belle-Isle. 3 a Seis, que manda el Almirante Harvey, cerca del Cabo de Finisterre- 4.a Seis, á las órdenes del Conmodoro Hood, avista de Rochefort.. 5 .a Cinco á las deSir R. Stracham. 6.a Seis al mando de Sir J. Warren. 7.a Siete</t>
  </si>
  <si>
    <t>Hastings</t>
  </si>
  <si>
    <t>en la bafra de la Cámara de los Pares. La causa de Lord Macclesfield duró veinte y un dias, y la de Mr. Hastings ocho años. Aunque el acusado (Mr. Melleville) había preferido el impeachement á una causa criminal, esperaba que Mr. Whitbread no se contradixese proponiendo un medio mas riguroso</t>
  </si>
  <si>
    <t>usado.... - ; r: &gt; ¡v ,.v Mr. Banks dixo qiie léjos dé autorizarse con ^el ¡exemplar de la causa de Mr. Hastings, debía mirarse como un preservativo, para lo venidero ; pues aquella causa fue un borron para JaiOámara * los Palies y toda la Nación. Mr. Eolkstóne apoyó la .propuesta, diciendo</t>
  </si>
  <si>
    <t>io de que Mr. Fox hacia parte. Vuelto otra vez al partido de la Oposición, la Regencia, la causa de Mr. Hastings , y principalmente la revolución Francesa, le diéron ocasiones freqiientes de manifestar su talento y grande eloquencia, que siempre empleó en oponerse al Ministerio de Mr. Pitt,</t>
  </si>
  <si>
    <t>Haugwitz</t>
  </si>
  <si>
    <t>ema. Como quiera que sea, es difícil persuadirse que el Rey de Prusia se decida á guerrear mientras Mr. Haugwitz conserve su confianza. En fin, la qiiestion de la paz ó de la guerra se decidirá muy pronto, si es cierto que Bonaparte se halla al frente:de sus soldados. (1 he Sun, ) El estado</t>
  </si>
  <si>
    <t>Haugwitz, Conde</t>
  </si>
  <si>
    <t>Conde Haugwitz</t>
  </si>
  <si>
    <t>o enviada á la Pomeranbr ha recibido contraorden. Solo en el dia 15 han salido de aquí 6 correos.El Conde Haugwitz tiene freqiientes conferencias y mas á menudo que antes con S. M. Ayer llegaron aquí de Petersburgo un correo extraordinario para el Embaxador Ruso en esta capital , y el Caballer</t>
  </si>
  <si>
    <t>Haüy</t>
  </si>
  <si>
    <t>todos los soldados nacidas en el Principado de Anspach. Estos dias pasados llegó á nuestra capital Mr. Haüy, profesor del Instituto de ciegos de Paris. El dia xo del corriente hizo uria exposición de sn método á presencia de un numeroso concurso, que se habia juntado en la Academia de C</t>
  </si>
  <si>
    <t>Hawkesbu, Lord</t>
  </si>
  <si>
    <t>Lord Hawkesbu</t>
  </si>
  <si>
    <t>declarando lo consideraban como un atentado hecho contra el mismo principio de nuestra prosperidad. Lord Hawkesbu— ry piditS que á lo ménos se limitase la libertad del comercio entre América y nuestras colonias al término de un año. Mas la Cámara, que conoce la imposibilidad de alimentar á nu</t>
  </si>
  <si>
    <t>Hawkesbury, Lord</t>
  </si>
  <si>
    <t>Lord Hawkesbury</t>
  </si>
  <si>
    <t>ha hecho á la vela de Portsmouth con una esquadra de 7 navios de línea, 3 fragatas y una balandra. Lord Hawkesbury ha dirigido á los Magistrados de los Condados una, circular quejándose del poco zelo que muestran en contribuir con los contingentes que les tocan para la formación del exército.</t>
  </si>
  <si>
    <t>logia la Corte de Berlín, mediante cuya intervención se asegura la retirada de las tropas Inglesas. Lord Hawkesbury ha sido nombrado Gobernador de los Cinco Puertos , empleo que casi no tiene ocupación, y uno de los mas bien dotados , y sine cura &gt; que están á la disposición de la Corona. Su su</t>
  </si>
  <si>
    <t>los del año vencido en 5 de Enero de 1806 de 44Í96Ó,609 libras,, 5 chejin.es, 8 dineros esterlines. Lord Hawkesbury ha dado estos dias. una gran, comida al Vizconde do Castlereagh, á los Loares ^lulgrqye y Binning, al Conde de Bristpl, ai Lord de Blaquiere , á Mrs. Percival, Canning, Spencer, S</t>
  </si>
  <si>
    <t>428 . . dadano de la Gran Bretaña.” Lord Hawkesbury apoyo el discurso de gracias propuesto, y aprobó la conducta de los Ministros en esta ocasión, bien persuadido de que si la Prusia persiste en su injusticia, sacara de ella frutos</t>
  </si>
  <si>
    <t>ado una opinicn contraria, aguardaré á la sesión próxima para hacer una propuesta sobre el asunto.” Lord Hawkesbury dixo: „ Convengo con el noble Lord en que si este comercio es contrario á la justicia y á la humanidad, lo es también á la sana política; mas no considero la qiiestion baxo este a</t>
  </si>
  <si>
    <t>Hawlani, Lord</t>
  </si>
  <si>
    <t>Lord Hawlani</t>
  </si>
  <si>
    <t>para dar inquietud y hacer temer una carestía , que hasta ahora no habia ninguna razón de rezelar. Lord Hawlani aseguró á la Cámara que, ademas de poder contar con una cosecha abundante, habia todavía muchos granos en el Reyno, y que los buques Ingleses podian como antes extraerlos del Bált</t>
  </si>
  <si>
    <t>He, Lord</t>
  </si>
  <si>
    <t>Lord He</t>
  </si>
  <si>
    <t>ocupan sus tropas en la margen derecha del Elba. ; : \ GRAN BRETAÑA. - ij ; Londres 29 de Marzo, Eh Lord He nrique Petty presentó antes de ayer á la Cámara de los</t>
  </si>
  <si>
    <t>Héctor, Manuel</t>
  </si>
  <si>
    <t>Manuel Héctor</t>
  </si>
  <si>
    <t>Corona, América y Ultonia Compañías á los Ayudantes y Teniente de granaderos, graduados de Capitán, D. Manuel Héctor, D. Pedro Baena y X). Antonio Lamas: en los Inmemorial del Rey y de la Re)na Ayudantías á los Tenientes, graduados de Capitán, D. Tomas Butier y D. Josef Coste* en el de las Orden</t>
  </si>
  <si>
    <t>Hedouville</t>
  </si>
  <si>
    <t>se comunique ai líquido vacuno y lo vicie algún cuerpo extraño. ALEMANIA. Ratísima 26 de Diciembre. Mr. Hedouville, Ministro de Francia cerca de la Dieta del Imperio, ha recibido de Mr. Talleyrand un rescripto, en el qual se le encarga declarar á S. A. el Elector Archi-Canciller, que S. M. el</t>
  </si>
  <si>
    <t>Hedowille, General</t>
  </si>
  <si>
    <t>General Hedowille</t>
  </si>
  <si>
    <t>uienes se concillaron prontamente con su conducta el aprecio y reconocimiento de los habitantes. El General Hedowille habitó el* palacio de Bruhí, que* está inmediato al Electoral, "pues no se detuvo mucho tiempo en la ciudad, habiéndose dirigido hácia el Oder á marchas, forzadas con el exército</t>
  </si>
  <si>
    <t>Hegewisch</t>
  </si>
  <si>
    <t>rra, Augsburgo 24 de Junio. En Kiel se está construyendo una casa para locos; y con este motivo, el Dr. Hegewisch ha publicado la advertencia de que el número de los locos se aumenta al compás de la civilización. Tiene calculado que hay ahora en la Alemania como unos 30® de estos desventurado</t>
  </si>
  <si>
    <t>Henriqoe Arenillas</t>
  </si>
  <si>
    <t>eros D. Pedro Morell; y Subtenencias de bandea en los de Africa y Sevilla i los Sárgeritos primeros D. Henriqoe Arenillas y D. Juan Lample. Habiéndose enterado el Rey del acuerdo que ha dirigido el Comandan*te general del Departamento de Cádiz D. Juan Joaquín Moreno, formado por la Junta de Generales, no</t>
  </si>
  <si>
    <t>Henrique, Lord</t>
  </si>
  <si>
    <t>Lord Henrique</t>
  </si>
  <si>
    <t>las obligaciones de su empleo , y es faltar á la grande confianza que de él se hacia. Capitulo 2.0 Lord Henrique, Vizconde de Melville, por connivencia con su Pagador Alexandro Trotter, le ha permitido sacar del Banco varias cantidades de dinero para emplearlas en otros usos, que no son del</t>
  </si>
  <si>
    <t>Henrique, Príncipe</t>
  </si>
  <si>
    <t>Príncipe Henrique</t>
  </si>
  <si>
    <t>redro. En las cartas recibidas últimamente de. Berlín, se habla del próximo enlace matrimonial del Príncipe Henrique, hermano de S.M. el Rey de Prusia. con una Gran Duquesa de Rusia. En las mismas cartas se dice que parte del exército Prusiano, que no estaba ya de servicio, acaba de recibir la o</t>
  </si>
  <si>
    <t>insberg, Stettin &amp;c. se agregarán al cuerpo de exército que manda el Teniente General Kalkreuth. El Príncipe Henrique ha puesto por sí mismo la banda del Aguila Roxa á tres de los primeros estadistas de nuestro Reyno, al Teniente General de Low, Ministro de Gabinete, al Teniente General de Zedwiz</t>
  </si>
  <si>
    <t>llegan continuamente nuevos Regimientos Prusianos. La fortaleza se halla en estado de guerra, y el Príncipe Henrique. de,Prusia es</t>
  </si>
  <si>
    <t>o, para que se curase y descansase. . * . Ayer, antes de la revista, visitó S. M. I. á la viuda del Príncipe Henrique, al Príncipe y á la Princesa Fernando , quienes haa tratado siempre á los Franceses con la mayor cordialidad. La hermana del Rey de Prusia, Princesa Electoral de Hesse Cassel, se</t>
  </si>
  <si>
    <t>Henriquez y Calafate, Antonio</t>
  </si>
  <si>
    <t>Antonio Henriquez y Calafate</t>
  </si>
  <si>
    <t>E. muchos años. Sanlucar de Barrameda y Setiembre 26 de i8o6. = Excmo. Señor. = Antonio Henriquez y Calafate, Secretario. = Excmo. Sr. Generalísimo Príncipe de la Paz. D. Miguel Delz, Profesor de Matemáticas con Real permiso, vuelve á abrir su Academia de Aritmética práctica ó de comercio el dia í f</t>
  </si>
  <si>
    <t>Henry Petty, Lord</t>
  </si>
  <si>
    <t>Lord Henry Petty</t>
  </si>
  <si>
    <t>el Rey y Lord Grenville. Mr. Erskine, Lord Canciller: Lord Grenville, primer Lord de la Tesorería: Lord Henry Petty, Canciller del Echiquier: Mr. Fox, Ministro de Negocios extrangeros: el Conde de Spencer, Ministro de lo Interior: Mr. Windham, Secretario de la Guerra y de las Colonias: Mr. Grey</t>
  </si>
  <si>
    <t>Juez en la India , expuso algunos hechos graves, y se pusieron sobre la tabla___ ,En la misma Junta Lord Henry Petty presentó el plan para la verificación de las cuentas públicas: citó un hecho muy particular * y es que había una cantidad de '534 millones de libras ^esterlinas, cuyas cuentas no</t>
  </si>
  <si>
    <t>Heririque Róger de Caux</t>
  </si>
  <si>
    <t>dro. El Rey se ha servido conceder en el Regimiento de infantería de Borbon Tenencia al Subteniente D. Heririque Róger de Caux, y Subtenencia de bandera al Cadete D. Josef Valle. S. M. se ha servido conferir el empleo de Teniente Coronel del Regimiento de infantería de Hibernia al Comandante del tercer ba</t>
  </si>
  <si>
    <t>Hermán</t>
  </si>
  <si>
    <t>retario de la Legación Francesa en Stuttgardt, ha sido nombrado Encargado de Negocios en Ragusa---- Mr. Hermán, primer Secretario de la Legación en Madrid, pasa á Comisario general de las Relaciones comerciales en Lisboa; y Mr. Fourcroy á Comisario también de Relaciones comerciales á la Co</t>
  </si>
  <si>
    <t>Hermbstaedt</t>
  </si>
  <si>
    <t>ciente al dia 10 de Marzo. Contiene el nuevo tinte aplicable á lodá especie de lienzos y telas, por Mr. Hermbstaedt; reflexiones acerca del juicio formado por D. Josef Mariano Vailejo de la obra intitulada la Lengua de los cálculos; noticias acerca del significado y origen de la voz Legión; car</t>
  </si>
  <si>
    <t>Hermelin</t>
  </si>
  <si>
    <t>otro legado, en favor de los pobres, y para mantener los inaestros.de escuela de la isla de Gioel. Mr. Hermelin ha publicado su viage á Laponia, y en él vemos muchas noticias curiosas. La parroquia mas septentrional deja Laponja Sueca, situada entre los 69 y 70 grados de latitud, se llama U</t>
  </si>
  <si>
    <t>Hermenegildo Vinader</t>
  </si>
  <si>
    <t>servido el Rey conferir Compañía en los Regimientos de Dragones de Pavía y Sagunto á los Ayudantes D. Hermenegildo Vinader y D. Josef Muñoz. S. M. se ha servido nombrar para la plaza de Ministro togado, vacante en el Supremo Consejo de las Indias por jubilación de D. Pedro Jacinto Valenzuela, al Sr. D. Fr</t>
  </si>
  <si>
    <t>Hermida, Gregorio</t>
  </si>
  <si>
    <t>Gregorio Hermida</t>
  </si>
  <si>
    <t>aron en acción de gracias, y demostración de su gozo por la elección de su compatriota el limo. Sr. D. Gregorio Hermida, Doctoral de la Catedral de Santiago, para</t>
  </si>
  <si>
    <t>Hérmite</t>
  </si>
  <si>
    <t>io. El Ministro de la Marina ha- comunicado al Emperador lo siguiente: ,,Señor, el Capitán de Navio Mr. Hérmite, Comandante de una de las divisiones navales que saliérón el invierno pasado,’me ha expedido el hrik el SurVeíllant para dar parte de sus ópér,acionés;;con este motivo tengo el ho</t>
  </si>
  <si>
    <t>Hermite</t>
  </si>
  <si>
    <t>año, y en el próximo tendrá muchos estorbos. Los baxeles de la división se hallaban en buen estado. Mr. Hermite elogia mucho los Oficiales y la tripulación; desde que salió de Lorient no había perdido mas que 15 hombres, ni tenia mas que 14 enfermos.” Decrés. El dia 9 estuvieron SS. MM. en el</t>
  </si>
  <si>
    <t>Hermite, Capitán</t>
  </si>
  <si>
    <t>Capitán Hermite</t>
  </si>
  <si>
    <t>dos, vendidos ó regalados: los 1042 restantes se repartieron entre los baxeles de la división. _ El Capitán Hermite no conservaba el 3 de Abril mas que 34 prisioneros; 460 había enviado en los parlamentarios; 23 quedáron con las presas, y solamente falleció uno. Este Oficial me dice que ha visi</t>
  </si>
  <si>
    <t>HermqueFawson</t>
  </si>
  <si>
    <t>mmp-Jaeefielta; en Valencia. D.,Pcdro Faurie; en JV^uijcia^lps Sres. Valencg.y sp^rino; -euC^tagena D. HermqueFawson y compañía; en. Alfca»^,b^LvTronchaud ¡ ci^Gíoada Don Juan.Maupel García .dé,Teja^.y.co^papía¿ en,Gptdoh4 :br*Ventuí Aut«; en Selía D. pomipgp.y X).. ju^ojmjrijo^; en Cád*z ¿D* Jp??</t>
  </si>
  <si>
    <t>Herms y Vernedas, Salvador</t>
  </si>
  <si>
    <t>Salvador Herms y Vernedas</t>
  </si>
  <si>
    <t>. Mateo Payno: á D. Antonio Vilana para una Canongía de la Colegial de Guisona, Diócesi de Urgel: á D. Salvador Herms y Vernedas para el Beneficio jbaxo la invocación ¡de S. Felipe y Santiago de la Catedral de Vique: á Don Josef Robis para otro Beneficio de la Parroquial de la villa de 5. Pedro Laxo la invo</t>
  </si>
  <si>
    <t>Hernández de Madrid, Francisco Xavier</t>
  </si>
  <si>
    <t>Francisco Xavier Hernández de Madrid</t>
  </si>
  <si>
    <t>S. M. se ha servido nombrar para el Beanato de la Catedral de Popayan, vacante por fallecimiento de D. Francisco Xavier Hernández de Madrid, á D. Manuel Ventura Hurtado: para la Maestrescolía á D. Gerónimo Bonilla; y para la Tesorería al Magistral D. Andrés Marcelino Perez: para la Media-Ración de la Metropolitana de</t>
  </si>
  <si>
    <t>Hernández de Sevila, Francisco</t>
  </si>
  <si>
    <t>Francisco Hernández de Sevila</t>
  </si>
  <si>
    <t>ta blanca, que corresponde su propiedad á Antonio Collar de Espada, menor de edad, y el usufructo á D. Francisco Hernández de Sevila miéntras viva, con cuya .carga la*, dexósü müger Dona( Alfonsa Espada: se hallan tasadas en 359 rs., en cuya cantidad1 se Imi dérirematar, y lió en ménos. Quien quisiere hacer pos</t>
  </si>
  <si>
    <t>Hernández Parra, Vicente</t>
  </si>
  <si>
    <t>Vicente Hernández Parra</t>
  </si>
  <si>
    <t>una Capellanía de numero de la Catedral de Patencia, vacante por muerte de D. Francisco González, á D. Vicente Hernández Parra: para la Préstamera de la villa de ViÜalba,'vacante en el Arzobispado de Sevillaipor promoción de*D. Bartolomé Rodríguez Bereriguer al Beneficio de Lebrija en propia Diócesi , á D</t>
  </si>
  <si>
    <t>Hernández Ruano, Ramón</t>
  </si>
  <si>
    <t>Ramón Hernández Ruano</t>
  </si>
  <si>
    <t>o de Burgos, vacantes por promoción de. D. Manuel Norzagaray á Canongía de la Catedral de Lérida, á D. Ramón Hernández Ruano; El Rey se ha dignado nombrar para el Corregimiento de Letras de la ciudad de Orense á D. Marcos Antonio Bonifaz: para el de la ciudad dé Baza á D. Manuel Antonio Beyan Escudero:</t>
  </si>
  <si>
    <t>Hernández Toiosa</t>
  </si>
  <si>
    <t>ber si en algún pueblo ó hospital de Extremadura ó Andalucía ha muerto D. josef Hernández Toiosa, natural de Badajoz, mozo de 38 años, de estatura dos varas, la vísta algo travada, un poco coxo y manco, pelo castaño, y unas cicatrices en el pecho al lado del corazón: su vida era andar</t>
  </si>
  <si>
    <t>Hernández Toiosa, Leonarda</t>
  </si>
  <si>
    <t>Leonarda Hernández Toiosa</t>
  </si>
  <si>
    <t>ando; cuya noticia interesa, porque estaba poseyendo un vínculo, y este le corresponde á su hermana Doña Leonarda Hernández Toiosa y sus hijos, sin haber otro ningún poseedor inmediato. Se dará el aviso á dicha Doña Leonarda en la villa de Barajas de Madrid. Memorial literario, núms. 18 y 19 de este año. Contie</t>
  </si>
  <si>
    <t>Hernández, Esteban</t>
  </si>
  <si>
    <t>Esteban Hernández</t>
  </si>
  <si>
    <t>de Blandengues de la frontera de Buenos** Ayres se ha servido S.?M. promover á Capitán al Teniente D. Esteban Hernández; á Teniente al Alférez D. Rafael Hortiguera, y á Alférez al Cadete D. Fulgencio Aspiazu. En el discurso de un año contado desde i.° de Diciembre de 1.804 hasta fin de Noviembre de</t>
  </si>
  <si>
    <t>Hernández, Juan</t>
  </si>
  <si>
    <t>Juan Hernández</t>
  </si>
  <si>
    <t>terana íixa de Popayan al Capitán D. Antonio Alaix, Teniente de la misma; á Teniente al Subteniente D. Juan Hernández, y esta resulta al Sargento primero D. Ildefonso Pareja. ,,E1 Capitán general de Cataluña ha dado cuenta en 4 de este mes, que yendo desde Tortosa á Reus D. Rafael María de Zerral</t>
  </si>
  <si>
    <t>Hernández, Lorenzo</t>
  </si>
  <si>
    <t>Lorenzo Hernández</t>
  </si>
  <si>
    <t>Él dia 20 de Mayo próximo pasado falleció en esta Corte, á los 65 años; y 7 meses de edad, el Sr.. D. Lorenzo Hernández, de Alba, Fiscal del Supremo Consejo y Cámara de las Indias por lo perteneciente al Reyno de Nueva-España. El zelo, integridad y desinterés con que sirvió la Fiscalía; de lo Civil</t>
  </si>
  <si>
    <t>Hernández, Pedro</t>
  </si>
  <si>
    <t>Pedro Hernández</t>
  </si>
  <si>
    <t>s de la inoculación de la iracina ó vacuna, traducido del francés por el Dr. D. Pedro Hernández, Medico del Real Colegio de esta Corte, y del hospital de los Italianos &amp;c. Esta obriía, que sin*dificultad puede decirse ser la única en su clase, adornada de 4estampas finas, y alusivas</t>
  </si>
  <si>
    <t>Hernando Caraves, Pedro</t>
  </si>
  <si>
    <t>Pedro Hernando Caraves</t>
  </si>
  <si>
    <t>gar del Mironciilo, anexo de la Parroquia de Sotulvo , vacante en la Diócesi de Avila por muerte de D. Pedro Hernando Caraves, á D. Luis Antelo y Mella: para el Beneficio servidero de la ciudad de Chinchilla, en la de Cartagena, vacante per promoción de D. Manuel Gispert á Canongía de aquella Catedral, á</t>
  </si>
  <si>
    <t>Herrera, Domingo</t>
  </si>
  <si>
    <t>Domingo Herrera</t>
  </si>
  <si>
    <t>Arzobispado de Toledo; y para el Préstamo de PÍoz_, vacante en el mismo Arzobispado por ascenso de D. Domingo Herrera al Beneficio de Móstoles, también en la propia Diócesi, á D. Salvador Borrel, Capellán reformado de los hospitales nacionales españoles de Santiago y Monserratde la Corte de Roma;</t>
  </si>
  <si>
    <t>Herrera, Juan</t>
  </si>
  <si>
    <t>Juan Herrera</t>
  </si>
  <si>
    <t>I23 A los Subtenientes D. Juan Herrera y D. Ramón de la Huerta, Conductores del Real Cuerpo de Artillería, se ha servido S. M. concederles la graduación de Tenientes. En virtud de las órdenes que desde et principio de la g</t>
  </si>
  <si>
    <t>Hersen Baradieu, Pedro</t>
  </si>
  <si>
    <t>Pedro Hersen Baradieu</t>
  </si>
  <si>
    <t>iente Coronel, D. Antonio Fermín Perezj Compañía en el de Irlanda al Teniente, graduado de Capitán, D. Pedro Hersen Baradieu: Tenencia en el de León al Subteniente de granaderos D# Fernando Cevallos; y Subtenencias de bandera en el de Ultonia al Sargento primero D. Josef Senekell y al Cadete D. Ramón Ca</t>
  </si>
  <si>
    <t>Heslop</t>
  </si>
  <si>
    <t>consiguiente habían sido obligatorias para el Gobernador Picton, como ahora lo eran para el actual Mr. Heslop : que consultados por el Consejo los Jueces, Alcaldes y Ministros inferiores de Justicia, habían declarado unánimemente que el código intitulado Recopilación de leyes para las Ind</t>
  </si>
  <si>
    <t>Hidalgo, Antonio</t>
  </si>
  <si>
    <t>Antonio Hidalgo</t>
  </si>
  <si>
    <t>ente todos aquellos que directa ó indirectamente crian valores, ó aumentan el de los ya producidos: D. Antonio Hidalgo , de primero, se aumentan los productos del capital fixo de una nación , poblando de árboles todos aquellos terrenos que siendo aptos para criarlos, no están destinados á otros ra</t>
  </si>
  <si>
    <t>Hilario de Silva, Francisco</t>
  </si>
  <si>
    <t>Francisco Hilario de Silva</t>
  </si>
  <si>
    <t>Betancourt: para la Ración que dexa á D. Josef Florez Estrada; y para la Media-Ración que resulta á D. Francisco Hilario de Silva, Cura en ía propia Diócesi: para otra Canongía de la Iglesia de Puerto Rico, vacante por fallecimiento de D. Feliciano Rodríguez, á D. Nicolás Alonso Andrade; y para la Ración que</t>
  </si>
  <si>
    <t>Hilí</t>
  </si>
  <si>
    <t>ión ¡IpgteSft Mrl Ricli de no haber sidoiaduútida áií^ delib^acjoné? 4o' k Dieta eí Ministro Ingles Mr. Hilí. ;r ¡r rr.n r.r:* /; : 1= c-rír-co ., . Hoy es&gt; regular que llegue aquí S. Erna. Monseñor Genga y Nuncio Apostólico i ayer llegó el Conde de Tronni. ,r . ,JriburgQ.&gt;en:Bris¿emy2Q,</t>
  </si>
  <si>
    <t>Hipólito Mordell</t>
  </si>
  <si>
    <t>nombrada el Dromedario, del porte de 18 cañones de á 8, con 200 hombres de tripulación, al mando de D. Hipólito Mordell, y en los dias 15 y 31 de Agosto se batió sobre la costa de Africa, á la altura de Cabo Padrón, con las fragatas corsarias Inglesas la Nelly, de 22 cañones , y Ja Elisabet, de 20</t>
  </si>
  <si>
    <t>Hipólito Ruiz</t>
  </si>
  <si>
    <t>iderarse como de oficio sino el de Madrid. El dia 4 de este mes han recibido los Botánicos del Perú D. Hipólito Ruiz y D. Josef Pavón cartas dé su discípulo D. Juan;TafaJla, fechas en Cuenca de América á 14 de Noviembre de 1805, en las quales les comunica el reconocimiento que ha hecho con su alumno</t>
  </si>
  <si>
    <t>Hirschfeld, General</t>
  </si>
  <si>
    <t>General Hirschfeld</t>
  </si>
  <si>
    <t>Se ha esparcido de resultas de una carta, que ya es de fecha antigua, de S. M. el Rey de Prusia al General Hirschfeld, Comandante de la guardia en Potsdam. El Rey dice, entre otras cosas, lo siguiente: ,, Si logramos sin sacar la espada la garantía necesaria para nosotros y los Estados vecinos, t</t>
  </si>
  <si>
    <t>Hoderstierna, Coronel</t>
  </si>
  <si>
    <t>Coronel Hoderstierna</t>
  </si>
  <si>
    <t>o que han prohibido la entrada y salida de ellos aun á lor Dinamarqueses y á los Rusos. El Teniente Coronel Hoderstierna, Comandante de la fragata Sueca la Tetis, de 40 cañones, apostada en la rada de Dornek, ha mandado publicar el aviso que sigue: Todas las embarcaciones neutras que lleven cargamen</t>
  </si>
  <si>
    <t>Hohenlohe, General</t>
  </si>
  <si>
    <t>General Hohenlohe</t>
  </si>
  <si>
    <t>de forera el ip¡ de Octubre d las 10 de la mañana , y llegó á leis 4 de^la tarde al campamento del General Hohenlohe. Señor hermano: No recibí la carta dq V. M., de 25 de Setiembre, hasta el 7 del corriente *. siento mjacho qu$ hayan hecho firmar semejan-? te especie de libelo; y si respondo á V</t>
  </si>
  <si>
    <t>Hohenlohe, Príncipe</t>
  </si>
  <si>
    <t>Príncipe Hohenlohe</t>
  </si>
  <si>
    <t>ntró en Coburgo; el 8 y el 9 se dirigió á Graífenthal 1 el 10 acometió en Saafeld la vanguardia del Príncipe Hohenlohe, mandada por el Príncipe Luis de Prusia, uno de los promovedores de la guerra. El fuego no duró mas que do^ horas; y solamente peleó la mitad de la división del General imchet: lo</t>
  </si>
  <si>
    <t>Hoifórd</t>
  </si>
  <si>
    <t>nunció á la de los Comunes haberse señalado el juicio de Lord Melleville para el 29 de Abril. El 26 Mr. Hoifórd presentó un bilí para formar en corporación la Sociedad filantrópica, que tiene por objeto la educación de los hijos de lós delinqüentes. Leyóse el bilí por la primera vez---- Des</t>
  </si>
  <si>
    <t>HoJland, Lord</t>
  </si>
  <si>
    <t>Lord HoJland</t>
  </si>
  <si>
    <t>e yender los efectos que tema aquí. . . Se sabe por las noticias de Londres, de 29 de Marzo, que el Lord HoJland se habia embarcado para Cuxhav.en, de donde pasará á Berlín. ITALIA. ;; - . Trieste 25 de Marzo,,. : Pasan freqUentemepte correos por esta ciudad. Estos últimos días hemos visto d</t>
  </si>
  <si>
    <t>Holandés Dumonceau, General</t>
  </si>
  <si>
    <t>General Holandés Dumonceau</t>
  </si>
  <si>
    <t>uerzas que un Regimiento Francés de infantería ligera, y dos Regimientos Holandeses mandados por el General Holandés Dumonceau. El General Savary tomó inmediatamente la vuelta</t>
  </si>
  <si>
    <t>Holandés Mr, General</t>
  </si>
  <si>
    <t>General Holandés Mr</t>
  </si>
  <si>
    <t>Rey de Inglaterra contra Prusia; el discurso de Mr. Fox sobr; el mismo asunto; la capitulación del General Holandés Mr. Janssens con los Comandantes Ingleses en el Cabo de Buena-Esperanza; el discurso de los Embaxadores de Holanda pidiendo por Rejr al Príncipe Luis Napoleón, la respuesta del Emper</t>
  </si>
  <si>
    <t>Holandés Verhuel, Almirante</t>
  </si>
  <si>
    <t>Almirante Holandés Verhuel</t>
  </si>
  <si>
    <t>sión de su Reyno. En quanto al viage del Emperador á Brusélas, se cree que se realice en Agosto. Él Almirante Holandés Verhuel, que hacia parte de la Diputación enviada por SS. AA. PP. á París, pasó por aquí ayer al amanecer con dirección al Haya, coíl la nueva de la próxima llegada del Príncipe Luis á Ho</t>
  </si>
  <si>
    <t>Holandés, General</t>
  </si>
  <si>
    <t>General Holandés</t>
  </si>
  <si>
    <t>9oi pasaportes. Un General Holandés habia ido á Leyden y á Roterdam á alistar todos los huérfanos que pasen de 16 años, para llamarlos en caso de necesidad , y la Milicia urbana se iba á poner en pie de guerra. ESPA</t>
  </si>
  <si>
    <t>Holland, Lord</t>
  </si>
  <si>
    <t>Lord Holland</t>
  </si>
  <si>
    <t>ord Grenville, que el comercio de esclavos era contrario á los principios de la religión cristiana. Lord Holland, el Lord Canciller, el Obispo de S. Asaph y el Conde de Suffblk opinaron de la misma manera. El Conde de Westmoreland y los Lores Fitz-Williams y Sidmouth se opusieron á la resolu</t>
  </si>
  <si>
    <t>á un correo, y le detuvo hasta cerca de medio dia. Por la tarde dió audiencia al Conde de Thanet, á Lord Holland, al General Fitz</t>
  </si>
  <si>
    <t>etaria .de Negocios extrangeros , con cuya dirección corre en el dia. El Conde de Fitz*-Williams y. Lord Holland son las únicas personas á quienes los Médicos permiten, ver á Mr, Fox. Ayer, al cabo de varias irresoluciones, se decidieron ios Médicos de Mr. Fox á probar la operación de la pun</t>
  </si>
  <si>
    <t>asistir á una comida con el General Titz-Pátrick y otros amigos suyos. — Muchos ignoran quizás que. Lord Holland; .padre, dé Mr. Fox* y Estéban Lord Holljand su hermano., padeciéron tambiénde hidropesía, y que ambos sobrevivieron á las operaciones repetidas/que se les hicieron. -•-■V 1HOLAND</t>
  </si>
  <si>
    <t>rriente. Murió Mr. Fdxi el sábado 13 á las 6 menos quarto de la tarde , en los brazos de su sobrino Lord Holland. El dia anterior íe anunciaron los Médicos su próximo fin, noticia que recibió con grande serenidad. Era hijEéflr!Lord^Hol lañé n aeió á 13' de^Enero de 1749, y se educó, en Eton,</t>
  </si>
  <si>
    <t>9Ó9 mínstér. Créese que el Príncipe de Galés presidirá el acompañamiento, o en su lugar Lord Holland. El cadáver se ha puesto en una cama de res-* peto en una de las salas de su casa: está encerrado en tres caxas forradas de terciopelo negro con galones de plata: y encima se ha p</t>
  </si>
  <si>
    <t>r, en frente del monumento erigido á lá memoria déf célebre Lord Chatam. Presidió él acompañamiento Lord Holland ¿ y asistiéron á él el Lord Canciller, casi todos los Ministros, y varias personas dé distinción. El Príncipe de Gales había venido á Londres con-ánimo de dar esta pruéba de consi</t>
  </si>
  <si>
    <t>l y testamentaria: algunos- legados particulares á su sobrino, hijo del General Fox; y á sus amigos Lord Holland, el General Fox, el General Fitz-Patrik, Lord Roberto Spencer, Lord Fitz-William &amp;c. dexa parte de sus libros y quadros en testimonio de su carino. La guerra entre Francia y Prusi</t>
  </si>
  <si>
    <t>Holljand, Lord</t>
  </si>
  <si>
    <t>Lord Holljand</t>
  </si>
  <si>
    <t>rick y otros amigos suyos. — Muchos ignoran quizás que. Lord Holland; .padre, dé Mr. Fox* y Estéban Lord Holljand su hermano., padeciéron tambiénde hidropesía, y que ambos sobrevivieron á las operaciones repetidas/que se les hicieron. -•-■V 1HOLANDAI. .. , , ' ¿Haya dé Agosté. Ayer llegó a •</t>
  </si>
  <si>
    <t>Holloway, Almirante</t>
  </si>
  <si>
    <t>Almirante Holloway</t>
  </si>
  <si>
    <t>gos de manos del: Oficial Francés, á cuyo cargo se habían confiado, y se llevaron inmediatamente al Almirante Holloway á Deai, Habiéndose dado un recibo de ellos al Oficial, quien al. punto partió para la costa de Francia. En tanto que la curiosidad de los habitantes de Deal estaba vivamente excit</t>
  </si>
  <si>
    <t>Home Popham</t>
  </si>
  <si>
    <t>onshire 647;584’*. ítotal 2.345,726 libras esterlinas.' Se ;han recibido noticias de la esquadra de Sir Home Popham, con fecha de bahía de Todos los Santos en S. Salvador, de 26 de Noviembre de 18055 todavía se ignoraba entonces su destino : dos buques con tropas habian naufragado; pero se habi</t>
  </si>
  <si>
    <t>e Febrero. Mr. Dowmann, Capitán del navio de S. M. el Diadema, ha llegado esta tarde con pliegos de Sir Home Popham, con fecha del Cabo de Buena-Esperanza el 13 de Enero : anuncian estas cartas que la esquadra, á las órdenes del Conmodoro, arribó al Cabo el día 4; que el 6 se efectuó el desemba</t>
  </si>
  <si>
    <t>los navios del Rey el Tremendo de 74 cañones y el Indostan de 50. Se ha sabido por este convoy que Sir Home Popham ha salido del Cabo, y se dirige coa su esquadra al Rio de la Plata. HOLANDA. Haya 24 de Julio. Antes de marchar el Rey á tomar las aguas á Wisbaden, se publicó un decreto mandando</t>
  </si>
  <si>
    <t>bado del Rio de la Plata; partió de Monteé video el 20 de Junio, en cuya época no habia llegado aun Sir Home Popham con su expedición: dos barcos Ingleses habían tomado tierra en Montevideo; eran procedentes de nn navio náufrago en la costa el 24 de Mayo. HOLANDA. Haya 12 de Setiembre. Se asegu</t>
  </si>
  <si>
    <t>HomePopham</t>
  </si>
  <si>
    <t>elena: créese que el 14 habrá salido para la América meridional, donde este Almirante reemplazará á Sir HomePopham. Las últimas noticias de Falmouth son de ii de Noviembre: en este dia rfeynaba un viento S, E, muy fresco, y ios navios de guerra habian hecho señal pidiendo pilotos, y solo aguar</t>
  </si>
  <si>
    <t>Hood, Almirante</t>
  </si>
  <si>
    <t>Almirante Hood</t>
  </si>
  <si>
    <t>idor muy fuerte en Mr. Paull, que tiene el aura popular. También se ha presentado como candidato el Almirante Hood, que al parecer no cede</t>
  </si>
  <si>
    <t>Hore, Nicolás</t>
  </si>
  <si>
    <t>Nicolás Hore</t>
  </si>
  <si>
    <t>nía á D. Aiexandro Fernandez Sardón, Cura Rector de ella. Para otra Canongía de la propia Iglesia á D. Nicolás Hore: para la Ración á Don Josef Romero Soriano; y para la Media que este dexa á D. Mariano Pacheco de Peñalosa, Cura en el Obispado de Arequipa. Para la Magistral de la Iglesia de San</t>
  </si>
  <si>
    <t>Horrey</t>
  </si>
  <si>
    <t>gue con actividad el proceso de los fabricantes de cédulas falsas del Banco de Viéna. Antes de ayer Mr. Horrey, Procurador general Imperial, ó Fiscal del Tribunal de Justicia criminal del Baxo-Rhin, hizo da exposición del proceso* y sil acusación se reduxo en substancia: „que los autores y</t>
  </si>
  <si>
    <t>Hortiguera, Rafael</t>
  </si>
  <si>
    <t>Rafael Hortiguera</t>
  </si>
  <si>
    <t>yres se ha servido S.?M. promover á Capitán al Teniente D. Esteban Hernández; á Teniente al Alférez D. Rafael Hortiguera, y á Alférez al Cadete D. Fulgencio Aspiazu. En el discurso de un año contado desde i.° de Diciembre de 1.804 hasta fin de Noviembre de 1805, ha habido en esta Corte 1583 matrimon</t>
  </si>
  <si>
    <t>Horwick, Lord</t>
  </si>
  <si>
    <t>Lord Horwick</t>
  </si>
  <si>
    <t>entre dos y tres de la tarde. Asistiéron á él Lord Grenville, Ford H. Petty, el Conde de Spencer,. Lord Horwick, Mr. Windham y Lord Sydmouth. Concluido el Consejo se despachó un correo á Lord Lauderdale. Las voces esparcidas de la muerte trágica de Mr. Mungo-Parke han movido á sus amigos á</t>
  </si>
  <si>
    <t>Houdon</t>
  </si>
  <si>
    <t>ue generalmente se decía que había ya muerto. Los bustos de SS. MM. II. y RR. hechos al natural por Mr. Houdon ge expondrán este año en el salón dei; Museo. La Academia de León ha propuesto los asuntos siguientes de premio. Ciencias físicas. „Determinar por experiencia las relaciones de la</t>
  </si>
  <si>
    <t>Howar, Carlos</t>
  </si>
  <si>
    <t>Carlos Howar</t>
  </si>
  <si>
    <t>se ha dignado conferir el Regimiento de infantería de la Luisiana al Coronel D. Carlos Howar, Teniente Coronel del mismo cuerpo;la Tenencia Coronela al Coronel D. Francisco Maximiliano de St. Maxent, Comandante del tercer batallón; esta resulta al Sargento mayor, graduado de Tenien</t>
  </si>
  <si>
    <t>Howick, Lord</t>
  </si>
  <si>
    <t>Lord Howick</t>
  </si>
  <si>
    <t>44* tención de proseguir este asunto: con lo queMr.Paull retiró su propuesta. El 25 propuso Lord Howick en la misma Cámara formada en junta un aumento de paga á todos los individuos de la Armada. El total de estos aumentos subirá á 288,366 libras esterlinas. ,, ¡Quáles deben ser nuest</t>
  </si>
  <si>
    <t>a, con lo que el enfermo sintió notable alivio. Inmediatamente se dio parte de esta feliz novedad á Lord Howick y demas colegas y amigos de Mr. Fox. Por la noche ha continuado la mejoría con un sosiego que no ha experimentado mucho tiempo hace. HOLANDA. Leyden g de Agostó. El antiguo palacio Sta</t>
  </si>
  <si>
    <t>cero desde las Islas Canarias hasta el Continente occidental, siguiendo la misma latitud. Luego que Lord Howick recibió los pliegos volvió á Londres , y Mr. Windham y algunos otros Ministros fuéron por la noche al Almirantazgo. El Almirantazgo ha comunicado al Lord Corregidor el 11 del corr</t>
  </si>
  <si>
    <t>a se ha traslucido-del contenido de los pliegos. Presumimos que ya está decidido el nombramiento de Lord Howick (Mr. Grey) á Secretario de Negocios extrangeros. Esta elección será apro* bada así- en Inglaterra como fuera del Reyno. El Rey viene mañana á Lón» dres, y es probable que pronto s</t>
  </si>
  <si>
    <t>la plaza de individuo del Consejo. Lord^olland, Lord del sello privado, en lugar .dé Lord Sidmouth. Lord Howick (Mr. Grey) pasa del Almirantazgo ál Miúisterió de Negocios exirangeros. Mr. Tomás Grenville , primer Lord del Almirantazgo. Mr. Tierney, Presidente de la Contraloría. Mr. Bragge-B</t>
  </si>
  <si>
    <t>rachan ha salido de la bahía de Carlisle. La Gazeta de la Corte, del sábado trae el nombramiento de Lord Howick á Ministro de Negocios extrangeros, y el de Mr. Tomas Grenviile á primer Lord del Almirantazgo. Los demas nombramientos, de que hablamos dias pasados, no constan de oficio;pero es</t>
  </si>
  <si>
    <t>la isla de Whight. La comisión de Lord Lauderdale está ya concluida. Ayer á las 4 dadas de la tarde Lord Howick remitió ai Lord Corregidor copia de un despacho telegráfico de Deal, en que se anuncia la llegada de un correo con la noticia de que el Ministro Ingles saldría de París el dia 9.</t>
  </si>
  <si>
    <t>Hówick, Lord</t>
  </si>
  <si>
    <t>Lord Hówick</t>
  </si>
  <si>
    <t>de Prusia perca de esta Corte, se halla ya de vuelta en este país, y ha tenido una conferencia con Lord Hówick. : n, ' . Se ha prorogado el' Parlamento hasta el a7 de Noviembre próximo, -i ~ Lord Lauderdale ha llegado á Londres el:dia 1.3.Í y pasó.inmediatamen? te á ver á Lord Howick. Se h</t>
  </si>
  <si>
    <t>Hoyo de Molina, Manuel</t>
  </si>
  <si>
    <t>Manuel Hoyo de Molina</t>
  </si>
  <si>
    <t>de dichas fincas, lo podrá practicar por la escribanía de la expresada Regia Comisión , que exerce D. Manuel Hoyo de Molina, dentro del. término de 30. dias contados desde el 2.2 de Julio próximo pasado; en inteligencia de que pasados, habiendo postura competente, se procederá al remate al tercero dia</t>
  </si>
  <si>
    <t>er postura á qualquiera de dichas fincas lo practicará por la escribanía de la comisión, que exerce D. Manuel Hoyo de Molina, en el término de 30 dias contados desde el 2 del corriente; en la inteligencia de que pasados, habiendo postura competente, se procederá á su remate al tercero dia siguiente en l</t>
  </si>
  <si>
    <t>e hacer postura á todasó cada una de dichas nncas. acuda á la escribanía de la comísion, que exerce D. Manuel Hoyo de Molina, dentro del término de 30 dias con. tados desde el 14 de Noviembré prÓX'lmo pasado; eIlla inteligencia de que p::sados se procederá á su remate al tercer' dia 'siguiente en las ca</t>
  </si>
  <si>
    <t>Hoyo de Molino, Manuel</t>
  </si>
  <si>
    <t>Manuel Hoyo de Molino</t>
  </si>
  <si>
    <t>das, ó i cada una de dichas fincas, lo podrá practicar por la escribanía de la comisión, que exerce D. Manuel Hoyo de Molino, dentro dél término de 30 dias contados desde el 8 del corriente; en la inteligencia que pasados se procederá á su remate al tercero día siguiente en las casas consistoriales de d</t>
  </si>
  <si>
    <t>Hozen, Coronel</t>
  </si>
  <si>
    <t>Coronel Hozen</t>
  </si>
  <si>
    <t>estaban sin cartu-¿ cbosV'uña (batería dé artillería ligera se había perdido, y según el parte1 del Coronel Hozen, no-quedaban mas que 5 tiros para la mayor parte de lóá cañones.—lHallábame á 7 millas de Stettin sin esperanza de recibir el menor socorro en mi marcha. Cortados los socorros que</t>
  </si>
  <si>
    <t>Hozyel, General</t>
  </si>
  <si>
    <t>General Hozyel</t>
  </si>
  <si>
    <t>zas d; música siguientes; un gracioso divertimiento nuevo para piano,compues-' to de un minuete del General Hozyel, del Príncipe Marat, dos walses alusivos, una aiemanda y una grande marcha, 16 rs.: 6 contradanzas, de Riodon, para piano, 10; 6 minuetes para piano, de Mozart, 10: una grande ari</t>
  </si>
  <si>
    <t>Hsutpoult</t>
  </si>
  <si>
    <t>rado á plazas de él á Mr. Demont, General de división , que fué herido en la batalla de Austerliiz; Mr. Hsutpoult, General de división; Mr. Ordoner, General de división y Comandante de las guardias de á caballo; Mr. Petiet, Intendente del exército grande y Consejero de Estado ; Mr. Barral, Ar</t>
  </si>
  <si>
    <t>Huber</t>
  </si>
  <si>
    <t>rtenecientes á los dias 20 y 28 de Febrero. Contienen origen de la.cera; extracto de una memoria de Mr. Huber; reflexiones acerca de la poesía bucólica; paralelo entre Shakespeare y Corneille; dfe la oriijá y de los pronósticos que de ella se deducen, artículo escrito en aleman por el Dr.</t>
  </si>
  <si>
    <t>Huber, Sebastián</t>
  </si>
  <si>
    <t>Sebastián Huber</t>
  </si>
  <si>
    <t>te de fusileros á D. Francisco Zellger: en el de Reding, num. 2.°, Subteniente de bandera al Cadete D. Sebastian Huber. En América. El Rey se ha dignado promover á Teniente Coronel del Regimiento de Milicias urbanas de dragones de Tinta, en el Reyno del Perú, á D. Agustín Richarte, Capitán del mis</t>
  </si>
  <si>
    <t>Hudoux, Capitán</t>
  </si>
  <si>
    <t>Capitán Hudoux</t>
  </si>
  <si>
    <t>oneros, entre ellos un Capitán, 2 Tenientes y 3 abanderados. El Teniente de granaderos Duchesne, el Capitán Hudoux,el granadero Charreau y el Sargento Poislane, viendo que los Rusos intentaban embarcarse, se arrojaron á una lancha Rusa al mismo tiempo que el enemigo; se hicié-ron dueños de ell</t>
  </si>
  <si>
    <t>Huertos, Pablo</t>
  </si>
  <si>
    <t>Pablo Huertos</t>
  </si>
  <si>
    <t>n^ ta María de Ecija, en el Arzobispado de Sevilla, vacante por muerte de Don* Lorenzo Melgarejo, á D. Pablo Huertos; y para la Prestamera de Guadalmazanes, en la Diócesi de Córdoba, vacante por fallecimiento de D. Mariano del Hoyo, y no haber tenido efecto el nombramiento hecho para la</t>
  </si>
  <si>
    <t>Hugot, Coronel</t>
  </si>
  <si>
    <t>Coronel Hugot</t>
  </si>
  <si>
    <t>rnador y los habitantes se armaron en efecto para acometer á los rebeldes, acompañados del Teniente Coronel Hugot, que mandaba una coluna volante Francesa. Los rebeldes fuéron rodeados y acometidos por todas partes ; perdieron en la acción 8o muertos y 45 prisioneros ; pero Fra-Diabolo pudo e</t>
  </si>
  <si>
    <t>Huguet, Pedro</t>
  </si>
  <si>
    <t>Pedro Huguet</t>
  </si>
  <si>
    <t>mora............ D. Josef Ligero. En Zaragoza....... D. Tornas de la Madrid. En Zcuta.............. D. Pedro Huguet, comisionado subalterno del de Cádiz. Se ha señalado el día a o de este roes, de doce á una de su mañana r en la audiencia del Sr. Dv Manuel Vicente de Torres, Teniente Corregidor</t>
  </si>
  <si>
    <t>ora.......... . D. Joseí Ligero. En Zaragoza........ D. Tomas de la Madrid. En Zeuta............... D. Pedro Huguet, comisionado subalterno del de Cádiz, En virtud de providencia del Sr. D. Francisco Xavier Uriortua, del Consejo de S. M. en la Real Junta general de Comercio y Moneda, Asesor de</t>
  </si>
  <si>
    <t>Zamora.......... D. Josef Ligero. En Zaragoza........ D. Tomas de la Madrid. En Zenta.............. D. Pedro Huguet, comisionado subalterno del de Cádiz. En la extracción de la Real lotería, executada. el lunes 17 del corriente, saliéron los. números ,56,9, 88, 40 y 4.1; y con ellos han ganado</t>
  </si>
  <si>
    <t>Hullin, General</t>
  </si>
  <si>
    <t>General Hullin</t>
  </si>
  <si>
    <t>magnífica la entrada por esta puerta: hacia un tiempo hermoso. jEl Ayuntamiento, presentado por el General Hullin, Comandante de la plaza, presentó las llaves al Emperador, y luego pasó á palacio, presidido por el General Príncipe de Hatzfeld.: El Emperador ha mandado que los 2© vecinos mas a</t>
  </si>
  <si>
    <t>Hults</t>
  </si>
  <si>
    <t>dependencias, y lo ha regalado á los eclesiásticos que- sirven 'aquella Parroquia, r , i : :f ; i; Mr. Hults, Astrónomo Prusiano , que habita en;,Francfort del Oder, piensa que el sol experimenta en este momento una gran revoluciopfisica;</t>
  </si>
  <si>
    <t>Hurtado de Mendoza, Dionisio</t>
  </si>
  <si>
    <t>Dionisio Hurtado de Mendoza</t>
  </si>
  <si>
    <t>evara, D. Juan de Xaramillo, D. Carlos Brasé, D. Josef García Aleson, Don Pedro Josef de Marcoleta, D. Dionisio Hurtado de Mendoza y D. Josef Navarro del Dosal: de los Monteros de Guarda y Cámara de S. M. Don Josef Solana, D. Ignacio García de Diego, D. César Madrazo, D. Félix Angulo, D. Angel Merino, D. Pedro Gó</t>
  </si>
  <si>
    <t>Hurtado, Manuel Ventura</t>
  </si>
  <si>
    <t>Manuel Ventura Hurtado</t>
  </si>
  <si>
    <t>de la Catedral de Popayan, vacante por fallecimiento de D. Francisco Xavier Hernández de Madrid, á D. Manuel Ventura Hurtado: para la Maestrescolía á D. Gerónimo Bonilla; y para la Tesorería al Magistral D. Andrés Marcelino Perez: para la Media-Ración de la Metropolitana de México, que vaco por ascenso</t>
  </si>
  <si>
    <t>Husdunne, General</t>
  </si>
  <si>
    <t>General Husdunne</t>
  </si>
  <si>
    <t>j.° de cazadores, que tenia á sus ósdenes, por la toma de Wismar, y por haber hecho prisioneros al General Husdunne, con dos Regimientos de húsares que contaban i© caballos, y dosbatallones de granaderos con dos cañones. =: Alexandro Berthier'. Berlín $ de Noviembre. El Emperador ha manifestado</t>
  </si>
  <si>
    <t>Hutchinson, Lord</t>
  </si>
  <si>
    <t>Lord Hutchinson</t>
  </si>
  <si>
    <t>compone el Consejo de todos los hombres de mérito con quienes se honra la nacioq. El Presidente es Lord Hutchinson: también es del Consejo el General Moore. Lord Hutchinson sucede á Sir David Dundas en el mando del distrito del Sur. Lord Moira mandará desde el Támesis hasta el Humber en la pro</t>
  </si>
  <si>
    <t>la esquadra que está en crucero á vista de Cádiz, trae pliegos del Lord Collingwood. Se han dado á Lord Hutchinson, que está encargado del mando de una de las expediciones que van á salir, pliegos cerrados, que no abrirá sino á cierta distancia en alta mar. SUIZA. JBasüea 18 de Noviembre. Se s</t>
  </si>
  <si>
    <t>Huth, General</t>
  </si>
  <si>
    <t>General Huth</t>
  </si>
  <si>
    <t>heredero ha mandado que todo el exército vista luto durante &amp; dias con motiva del fallecimiento del General Huth. r PRUSIA. Merlm tj de Mayo. Dase por cierto que el Emperador de Rusia ha declarado en los términos mas positivos que no tomará parte alguna en las desavenencias actuales de la Px</t>
  </si>
  <si>
    <t>Hylíiar</t>
  </si>
  <si>
    <t>„y se lo hizo, presentar por él Cónsul de los Estados-Unidos. En esta presentación expresó eí Dey á Mr. Hylíiar los resentimientos 'que tenia con el Cónsul Ingles, especialmente por el hecho intolerable de haber enviado' á remo y vela un íalücho Ingles para que abórdase á una esquadra Portugues</t>
  </si>
  <si>
    <t>Ibáñez de Leyva, Francisco</t>
  </si>
  <si>
    <t>Francisco Ibáñez de Leyva</t>
  </si>
  <si>
    <t>gente de la Real Audiencia de Extremadura, por fallecimiento de D. Pedro Josef de Molina y Muñoz, á D. Francisco Ibañez de Leyva, Oidor de la misma: para la de Oidor que este dexa, á D. Josef López de Vinuesa, Alcalde del Crimen mas antiguo de la misma: para esta resulta, á D. Josef Arjona; y para el Correg</t>
  </si>
  <si>
    <t>Ibarrola, Antonio</t>
  </si>
  <si>
    <t>Antonio Ibarrola</t>
  </si>
  <si>
    <t>D. Luis Landaburu, D. Antonio y D. Pedro Romero de Tejada, D. Domingo de la Iglesia, D. Juan Oromi,D. Antonio Ibarrola, D. Lorenzo Medrano y Treviño, D. Francisco Romo y Gamboa y D. Andrés Rodríguez. S. M. se ha servido nombrar para el Corregimiento de Letras de la ciudad de Barbastro á D. Andrés</t>
  </si>
  <si>
    <t>Ibarz, Pedro</t>
  </si>
  <si>
    <t>Pedro Ibarz</t>
  </si>
  <si>
    <t>Carlos Martin y Lañáis para la Canongía Lectoral de la Catedral de Segorve., vacante por muerte de Don Pedro Ibarz; y á D. Josef Miguel Ibañez para una Capellanía de da Catedral de Orihueia, vacante por fallecimiento de D. Miguel Tbañez. S. M. se ha servido conceder en el Regimiento de infante</t>
  </si>
  <si>
    <t>ICaau Boerhaave</t>
  </si>
  <si>
    <t>ades que constituyen y perfeccionan á los Médicos, pronunciado en la Academia de Petersburgo por el Dr. ICaau Boerhaave, Médico de la Emperatriz de Rusia. Noticia de la vida y circunstancias del Dr. Mead , y asimismo de Hipócrates, creador del arte de la Medicina, de sus obras y de los documentos c</t>
  </si>
  <si>
    <t>Idnois, Almirante</t>
  </si>
  <si>
    <t>Almirante Idnois</t>
  </si>
  <si>
    <t>erse' apresaaovél \Marengo de v8ó cañones con 740 hombres de. tripulación, mandado 4*01*&gt;el íComra* Almirante Idnois, y la fragata tBMle^JBoftlej, de 40, tripulada co'n&gt;32o: .hbtnbres. .Verificóse este suceso despues.de. un combate á la vela, que duró algunas hbfcasv con los navios de S. M. Lond</t>
  </si>
  <si>
    <t>Idstéin</t>
  </si>
  <si>
    <t>Mr. Lambért, Comisario general del Emperador de los Franceses,‘ha concluido él 25 del corriente con Mr. Idstéin, Comisario de S. A. Erna., el último instrumento de entrega, y pronto saldrá de esta ciudad. Mr. Matías Sanówiz, profesor del gimnasio de Epéries , ha obtenido permiso del Emperad</t>
  </si>
  <si>
    <t>Igarriza, Salvador</t>
  </si>
  <si>
    <t>Salvador Igarriza</t>
  </si>
  <si>
    <t>ra en los Inmemorial dei Rey, Sevilla y Ordenes Militares á los Sargentos primeros D. Angel Palomo, D. Salvador Igarriza y D. Francisco Conejo. En el Regimiento de caballería dej Rey se ha servido 'S-'M. conceder Ayudantía al Teniente D. Antonio Caráza: Teneiicia^en'los dél Príncipe y Montesa á los Alfé</t>
  </si>
  <si>
    <t>Ignacio'Bauman</t>
  </si>
  <si>
    <t>l de Reding numero 3.0 Ayudantía al Teniente D. Juan Brosey * Tenencia al Subteniente de granaderos D. Ignacio'Bauman: en el de Traxler empleos de Capitanes segundos á los Tenientes de: granaderos D. Remigio</t>
  </si>
  <si>
    <t>Igpaeio de Torres, Luis</t>
  </si>
  <si>
    <t>Luis Igpaeio de Torres</t>
  </si>
  <si>
    <t>onero de la Metropolitana de Sta. Fe á D. Joaquin del Barco; y para la Media-Ración que este dexa á D. Luis Igpaeio de Torres,. Cura de Cay¿ima en el propio Arzobispado. * Porrprovidéncia dé Di Francisco Tarrago y Riquelme, Juez Comisionado Regio para lá venta de bienes eclesiásticos y enagenacion de fin</t>
  </si>
  <si>
    <t>Iíarrowby, Lord</t>
  </si>
  <si>
    <t>Lord Iíarrowby</t>
  </si>
  <si>
    <t>nia-Weymar y el Príncipe su esposo, y á corto rato los honró S. M. con una visita. Hoy ha tenido el Lord Iíarrowby audiencia de despedida del Rey y de la Real familia. S. M. le ha regalado una caxa primorosa guarnecida de brillantes con su retrato. __ Se han despachado correos á Pans y á Peter</t>
  </si>
  <si>
    <t>ILarrowhy y Mr, Lord</t>
  </si>
  <si>
    <t>Lord ILarrowhy y Mr</t>
  </si>
  <si>
    <t>es de transporte á Cuxhaven ; en ellos se reembarcarán las tropas mandadas por el Lord Cathcart. El Lord ILarrowhy y Mr. Hammond han pasado por esta ciudad de vuelta de Berlín; y han saiido ya con destino á Glukstadt, en donde se embarcarán para Inglaterra á bordo de la fragata laHore. El Lordllarr</t>
  </si>
  <si>
    <t>Ildefonso Pareja</t>
  </si>
  <si>
    <t>niente de la misma; á Teniente al Subteniente D. Juan Hernández, y esta resulta al Sargento primero D. Ildefonso Pareja. ,,E1 Capitán general de Cataluña ha dado cuenta en 4 de este mes, que yendo desde Tortosa á Reus D. Rafael María de Zerralde, Teniente del Regimiento de caballería de Borbon, con</t>
  </si>
  <si>
    <t>Ildefonso Robleda</t>
  </si>
  <si>
    <t>el riguroso certamen que sufriérón sobre todas las partes de lá Gramática castellana y Ortografía. Don Ildefonso Robleda y í).JPedro Alvarez yNeyra obtuviérón premios y certificaciones de su aplicación y aprovechamiento, y se entregó igual documento á D. Miguel Alvarez y Neyra, á Don Cleto Félix de Eg</t>
  </si>
  <si>
    <t>Ildefonso Villar</t>
  </si>
  <si>
    <t>as Naghten. En el Regimiento de caballería del Rey se ha servido S. M. conceder Tenencia al Alférez D. Ildefonso Villar: en los del Príncipe y Montesa empleos de Alférez á los Portaestandartes D. Josef Calvillo y D. Rafael de Fuentes; y en el de Húsares de María Luisa Compañía al Teniente Don Ferna</t>
  </si>
  <si>
    <t>ÍMaurício Justo del Riñcon</t>
  </si>
  <si>
    <t>ura á ellas acuda ■ante Sfí-.D* Tomas Mófano, Alcalde de Casa y Corte, y escribanía de provincia de D. ÍMaurício Justo del Riñcon, ■ : .J A</t>
  </si>
  <si>
    <t>Indio Holkar, Príncipe</t>
  </si>
  <si>
    <t>Príncipe Indio Holkar</t>
  </si>
  <si>
    <t>federados y de la Francia hechas á la Dieta de Ratisbona: tratado de paz entre la Gran Bretaña y el Príncipe Indio Holkar: decreto declarando.la libertad de la imprenta en el Reyno' de Italia, y otro declarando las Calabrias en estado de guerra: convocación de una asamblea de Judíos en París; individ</t>
  </si>
  <si>
    <t>Indio Scindíah, Príncipe</t>
  </si>
  <si>
    <t>Príncipe Indio Scindíah</t>
  </si>
  <si>
    <t>íses de Alemania , y discursos pronunciados en la Dieta;-tratado de paz entre la Gran Bretaña y el* Príncipe Indio Scindíah; varias providencias tomadas en Ñapóles; reflexiones sobre haberse negado el Emperador de Rusia á ratificar la paz. De España, varias. Reales órdenes,&amp;c.y^cn la.parte literaria la</t>
  </si>
  <si>
    <t>Infante Francisco de Paula Antonio Maeía</t>
  </si>
  <si>
    <t>la Corte de gala en el Real Sitio de Aranjuez con motivo del cumpleaños del Sr. Infante Don Francisco de Paula Antonio Maeía, hijo tercero del Rey. S.-M. se ha servido nombrar par2 la Canongía, vacante en la Catedral de Toledo por fallecimiento del limo. Sr. Arzobispo de Selimbria D. Fray Manuel Abad de la Si</t>
  </si>
  <si>
    <t>Ingles Don, General</t>
  </si>
  <si>
    <t>General Ingles Don</t>
  </si>
  <si>
    <t>por una escolta Prusiana. Escriben de Bremen, con fecha de antes de ayer , que ha regresado allí el General Ingles Don,y ha tomado casa; que la legión Anglo Hannoveriana ha recibido orden de suspender su embarco, y que los buques de transporte no saldrán del Elba ántes del día 2 de Marzo.</t>
  </si>
  <si>
    <t>Ingles Lord Nelson, Almirante</t>
  </si>
  <si>
    <t>Almirante Ingles Lord Nelson</t>
  </si>
  <si>
    <t>as, y evitar las enfermedades que puede ocasionarnos el mirar este punto con indiferencia. Vida del Almirante Ingles Lord Nelson, traducida del portugués, y aumentada con notas y el retrato de este Almirante, copiado de uno de los mejores originales, y grabado ,por D. Tomas López Enguádanos. Se hallará en l</t>
  </si>
  <si>
    <t>Ingles, Almirante</t>
  </si>
  <si>
    <t>Almirante Ingles</t>
  </si>
  <si>
    <t>mundo, y formó un plan de defensa tan bien combinado del puerto de Gabite y plaza de Manila, que el Almirante Ingles destinado con una esquadra á acometer aquellas islas, no se atrevió á emprender el ataque. Dedicóse á Fomentar la agricultura, fábricas, plantíos de preciosos frutos en aquellas «pos</t>
  </si>
  <si>
    <t>Ingles, Coronel</t>
  </si>
  <si>
    <t>Coronel Ingles</t>
  </si>
  <si>
    <t>ron los rebeldes, dexando en el campo de batalla muchos muertos, entre los que se halló un Teniente Coronel Ingles.^*-Hace pocos diar que los Ingleses intentáron hacer un desembarco semejante en las costas de Mondragon; pero habiéndose opuesto todos los habitantes, tuvo que retirarse el enemig</t>
  </si>
  <si>
    <t>Ingles, General</t>
  </si>
  <si>
    <t>General Ingles</t>
  </si>
  <si>
    <t>¿l 20 del próximo pasado, y en la lista de los extrangeros np se le ha puesto mas título que el de General Ingles, como Gefe del primer Regimiento de Guardias de á caballo del Rey de Inglaterra. Se ha notado que su llegada río se ha anunciado en la Gazeta de aquella Corte, según se estila res</t>
  </si>
  <si>
    <t>Iñigo, Juan</t>
  </si>
  <si>
    <t>Juan Iñigo</t>
  </si>
  <si>
    <t>atria, la villa de Briviesca, provincia y Arzobispado de Burgos,Doña María Santos de Roxas, hija de D. Juan Iñigo, quien ademas dé la difunta dexó otro hijo llamado también D. Juan Iñigo , que vivía en México por los años de 1787, con 4 hijos llamados D; Josef Pedro, Doña* Josefa Están i si a</t>
  </si>
  <si>
    <t>Inocencio Taíti</t>
  </si>
  <si>
    <t>M. promover á Capitán segundo al Teniente de granaderos D. Josef Vorster: esta resulta ai Teniente Don Inocencio Taíti; y á Subteniente de granaderos al de fusileros D. Jerge Widerman: en el de Preux á Subtenientes de bandera á los Cadetes Don Luis Dufourt y D. Estéban Ganioz : en el de Traxler á</t>
  </si>
  <si>
    <t>Intendente Corregidor</t>
  </si>
  <si>
    <t>el referido Excmo. Sr. Arzobispo en este dia y para lo sucesivo á instancia del Intendente Corregidor, y se concluyó con procesión de difuntos y responsos: en nada faltó el buen orden, quedando disipadas las ideas contrarias,que*lo han retardado en los anterior</t>
  </si>
  <si>
    <t>Ipsilanti, Príncipe</t>
  </si>
  <si>
    <t>Príncipe Ipsilanti</t>
  </si>
  <si>
    <t>s Príncipes de Moldavia y de Valaquia. Al Príncipe Moruzi le reemplaza el Príncipe Callimachi, y al Príncipe Ipsilanti el Príncipe Alexandro Suzzo. Los dos Príncipes depuestos no pertenecían ya al Imperio Otomano, eri el qual meditaban una revolución, anunciada por las turbulencias de la Servia, y e</t>
  </si>
  <si>
    <t>Irigóyen, Francisco</t>
  </si>
  <si>
    <t>Francisco Irigóyen</t>
  </si>
  <si>
    <t>tos dé nuestifdk MÓriaTCas. Los discípulos condecorados con me-» dallas fuéroñ p. Fulgéncio Bobílá, D. Francisco Irigóyen, D. Luis Potestá ,, D. Nicasio* Zamora, D. Lorenzo Ruiz Mateos, D. Santiago Mordelía, D. Jfosef-Cálvi, D. Ántoniq "EHzaldé, D. Benigno Risueño, D. Baltasar B,alagqervljL josef Fer</t>
  </si>
  <si>
    <t>Isabel de Arana</t>
  </si>
  <si>
    <t>adosbienes mostrencos, sé han mandado fixar tres edictos por término de 9 días cada uno; llamando,á Doña Isabel de Arana, ó sus herederos, due- ^ ños que se dice ser de dicha tierra;y que para que llegue á su noticia, y puedan ocurrir á dicha Subdelegacion general, dentro del mismo término, á deduci</t>
  </si>
  <si>
    <t>Isabel de Brunswick, Princesa</t>
  </si>
  <si>
    <t>Princesa Isabel de Brunswick</t>
  </si>
  <si>
    <t>ciudad de Stettin .no habia tenido la dicha de ver á sus Soberanos. SS. MM. fuéron recibidos por la Princesa Isabel de Brunswick, que reside allí—_El Rey, ántes de,salir de aquella ciudad; ha promovido á muchos militares y empleados civiles, y ha mandado distriIbuir varios'regalos á los.habitantes. . i:: j-</t>
  </si>
  <si>
    <t>Isabel Felipa</t>
  </si>
  <si>
    <t>tenecientes á la memoria fundada en el Convento y Monjas de Santa Inés de dicha ciudad por la Madre Doña Isabel Felipa,' que son las siguientes: 5 marjales plantados de olivos, término del lugar de ArmiHa y pago de los Olivos, tasado en 2500 rs.: otra haza en el mismo término y pago, con 16 olivos</t>
  </si>
  <si>
    <t>Isabel, María</t>
  </si>
  <si>
    <t>María Isabel</t>
  </si>
  <si>
    <t>vistió la Corte de gala en el Real Sitio de S. Lorenzo con motivo de los dias de la Señora Infanta Doña María Isabel. El Rey se ha servido conceder en el Regimiento de infantería de Ultonia Compañía al Teniente de granaderos, graduado de Capitán , D. Daniel O-Sullivany Subtenencia de bandera al</t>
  </si>
  <si>
    <t>Isidro del Bustillo y Liaño</t>
  </si>
  <si>
    <t>ra una Media-Ración en la Catedral de Cartagena, por fallecimiento de D. Juan Ciríaco de Arteaga, á D. Isidro del Bustillo y Liaño, Cura Párroco y único de la misma Catedral: para el Beneficio simple titulado Abadía de Sto. Domingo de Pedraza y Aldea Rubia, en la Diócesi de Salamanca, vacante por muerte de D.</t>
  </si>
  <si>
    <t>Isidro Feyxes</t>
  </si>
  <si>
    <t>al de S. Salvador de Breda, Vacante en la Diócesi de Gerona por fallecimiento de D. Vicente Puig: á D. Isidro Feyxes para, un Beneficio de residencia de la Colegial de Mantesa,, .Diócesi de Vique, vacante por muerte de D.i Jayme Oliveras; y á D. Josef Frigola y Fort para la Capellanía mayor de l</t>
  </si>
  <si>
    <t>Isidro Franco</t>
  </si>
  <si>
    <t>Junta, se sirvió esta adjudicar los tres premios mayores de 5 f pesos cada uno á D. Eustasio López, D. Isidro Franco y D. Felipe Alvaro, y los tres segundos de á 35 pesos á D. Juan Antonio Peíiteyro, D. Gaspar Cañada y D. Lorenzo -dañan a. El día i.° de Mayo próximo pasado falleció en esta Corte,á l</t>
  </si>
  <si>
    <t>Isidro Gastan</t>
  </si>
  <si>
    <t>f Manuel de Losada: para una Ración de la Catedral de Barbastro, por muerte de D. Antonio Franco, á D. Isidro Gastan. A LOS AMANTES DB LAS NOBLES ARTES. La Real Calcografía, que considera como uno de los objetos principales de su instituto el fomento del grabado en España, y la publicación de ob</t>
  </si>
  <si>
    <t>Isidro Sandoval, Ángel</t>
  </si>
  <si>
    <t>Ángel Isidro Sandoval</t>
  </si>
  <si>
    <t>a útil para los Maestros de esta facultad y aficionados de ella: su autor el Profesor de Albeytería D. Angel Isidro Sandoval. Se hallará en las librerías de Castillo y de Quiroga, á 12 rs* en pasta. Tratado teórico y práctico de las hernias en general, y de las estranguladas en</t>
  </si>
  <si>
    <t>Isidro Truquet</t>
  </si>
  <si>
    <t>igo Vallabriga : Subtenencia de bandera en el mismo Regimiento al Sargen-r to primero de granaderos D. Isidro Truquet; y en el de Aragón al Cadete D. Pedro Perez de Velasco. Igualmente se ha servido S. M. promover á Subteniente de bandera del primer batallón de Voluntarios de Aragón ai Cadete D.</t>
  </si>
  <si>
    <t>Isidro Valverde</t>
  </si>
  <si>
    <t>y: en el de Asturias Tenencias al Teniente agregado D. Mudo Carelli, y al Subteniente de granaderos D. Isidro Valverde ; y en el de Málaga Subtenencia de bandera al Sargento primero de granaderos del de Jaén D. Francisco Cosío. En el Regimiento de caballería del Príncipe se ha servido el Rey conce</t>
  </si>
  <si>
    <t>Ita</t>
  </si>
  <si>
    <t>de Ismail, de Bender, de Brailow y de Choczim. Ultimamente el aspecto del Divan y sus respuestas á Mr. Ita— linski, Embaxador de Rusia, manifiestan que el Gran Señor quiere conservar su independencia en lo interior, y quedar dueño y señor de sus Esta-r dos. Muy pronto veremos las resul</t>
  </si>
  <si>
    <t>Italiano</t>
  </si>
  <si>
    <t>uesto predial, vi. Serán castigados con la pena de palos en el caso en que á un ciudadano Italiano se deba imponer la de cárcel, vn. Sobre la puerta de la Casa Consistorial de la Común se pondrá una lápida de mármol con la siguiente inscripción: 'Napoleón r,</t>
  </si>
  <si>
    <t>Italianos</t>
  </si>
  <si>
    <t>los Franceses y Rey de Italia 3 ha decretado: los habitantes de Crispino no son ciudadanos Italianos, vm. Los Ministros de la Justicia de lo Interior y de Hacienda, por lo que respectivamente les concierne, están encargados de la execucion del presente decreto</t>
  </si>
  <si>
    <t>Italinski</t>
  </si>
  <si>
    <t>a Sublime Puerta lo ha llevado muy á mal, y con este motivo ha hecho representaciones muy fuertes á Mr. Italinski, Ministro de Rusia. Ya está completo el exúrcito destinado á sojuzgar ios rebeldes ; el anterior Visir Jussuf-Baxá pasará revista dentro de pocos dias á los diferentes cuerpos que</t>
  </si>
  <si>
    <t>Italinsky</t>
  </si>
  <si>
    <t>e en las evoluciones y maniobras al estilo europeo. El Reis-Effendi ha hecho saber al Ministro Ruso Mr. Italinsky que la Sublime Puerta no ha podido mirar con indiferencia la conducta de los Montenegrinos, sus vasallos, en la ocupación de Cáttarof en donde hicid* roa causa común con los Rusos</t>
  </si>
  <si>
    <t>J'Oséf Mor de Fuentes</t>
  </si>
  <si>
    <t>e la colé-cion pertenecientes i los dias i ó .y 20 de Enero. Contienen los extractos de la Silva de D. J'Oséf Mor de Fuentes, el combate narval; dé la sombra de Nelson,. por Inafeo Celenro; de la oda á los marinos' Españoles, por D. Manuel Josef Quintana ; de la oda en elogio do la.marina Española, por</t>
  </si>
  <si>
    <t>Jacchella, Gerónimo</t>
  </si>
  <si>
    <t>Gerónimo Jacchella</t>
  </si>
  <si>
    <t>n la Corufía los Sres. López y .Sagastizabal, en Bilbao D. Juan Bautista de Larraondo, en Barcelona D. Gerónimo Jacchella, en Valencia D. Pedro Faurie, en Murcia los Sres. Valence y Sobrino, en Cartagena D. Henrique Fawson y compañía, en Granada D. Juan Manuel García de Tejada y compañía, en Córdoba</t>
  </si>
  <si>
    <t>Jachella, Gerónimo</t>
  </si>
  <si>
    <t>Gerónimo Jachella</t>
  </si>
  <si>
    <t>oruña los Sres. López, .Sagas tizabal é hijo, en Bilbao D. Juan Bautista de Larraondo, en Barcelona D. Gerónimo Jachella, en Valencia D. Pedro Faurie, en Murcia los Sres. Valer.ce y Sobrino, en Cartagena D. Henrique Tawson y compañía, en Granada D. Juan Manuel García de Tejada y compañía, en Córdoba</t>
  </si>
  <si>
    <t>Jack</t>
  </si>
  <si>
    <t>se que hay ahora mismo 4 Mi tros Ingleses ea Berlín, á saber: el Lord Harrowby, ei Lord Harrington, Mr. Jack</t>
  </si>
  <si>
    <t>Jackson</t>
  </si>
  <si>
    <t>amaban la cuna de la Casa de. Br’ándén burgo. ■' ,, En 26 de Enero el Barón de Hardemberg dirigió á Mr. Jackson un oficio,ren que se expresaba formalmente-la intención de S. M. Prusiana de no tomar posesión del Hannóver hasta la conclusión de la paz entre Inglaterra y Francia. Respondió S.</t>
  </si>
  <si>
    <t>rovincias. Hainbargo 10 de Mayo. Las esperanzas de paz en el norte de Alemania van desvaneciéndose. Mr. Jackson, Ministro de Inglaterra en Berlín, Mr. de Brinckmann, Encargado de Negocios de Suecia, han salido ya de Berlín, y Mr. Alopeus, Ministro de Rusia cerca de S. M. Prusiana, ha recibi</t>
  </si>
  <si>
    <t>S. A. R. el Príncipe de Dinamarca.__ Escriben de Dantzig que en virtud de una orden despachada por Mr. Jackson al Cónsul de Inglaterra, todas las embarcaciones Inglesas que había en aquel puerto han debido dar la vela inmediatamente. La misma orden se ha enviado á Pillau y á Memel. A prime</t>
  </si>
  <si>
    <t>contando 29® soldados de marina. El gasto de pagas y manutención será de 10.920® libras esterlinas. Mr. Jackson, residente en Mogador, que está en correspondencia con los principales habitantes de Tombuetoo, y por consiguiente tiene mejores noticias de lo que pasa en lo interior ael Africa</t>
  </si>
  <si>
    <t>Jacobi</t>
  </si>
  <si>
    <t>n las mas análogas á las circunstancias del dia. De lo contrario tiene orden de salir de Inglaterra Mr. Jacobi. Goeschep, de Leipsick, que dedicó al Rey la primera parte de $U^ Ibagnígca i edición de Homaro, ha recibido una carta muy honorífica-cté S. M., y ademas la medalla grande de oro</t>
  </si>
  <si>
    <t>Jacobi Kloest</t>
  </si>
  <si>
    <t>Acabamos de saber que un Oficial venido en posta del quartel general del Rey de Prusia ha traído á Mr. Jacobi Kloest la orden de partir inmediatamente para Londres. GRAN BRETAÑA. Londres 24 de Setiembre. Los individuos del Club de ios Whigs se juntaron ayer en la taberna de Ja Corona y del Ancora:</t>
  </si>
  <si>
    <t>Jacobo Manuel Manrique</t>
  </si>
  <si>
    <t>providencia del Sr. D. Torquato Antonio Collado, Teniente Corregidor de esta villa, y escribanía de D. Jacobo Manuel Manrique, se ha mandado sacar á pública subasta, por término de 30 dias contados desde el 4 del corriente, una casa sita en esta Corte, en la calle de las Fuentes, núm. 3, nnnz. 390, tasad</t>
  </si>
  <si>
    <t>á ella acuda ante el Sr. D. León de Sagasta,Teniente Corregidor de esta villa, po la escribanía de D. Jacobo Manuel Manrique. Al cortijo nombrado de Palomarejo y Fontanar, compuesto de 14 fanegas, 9 celemines, con 2 hazas, sito en el término y jurisdicción de la ciudad de¡Cordoba, contiguo á la dehesa d</t>
  </si>
  <si>
    <t>providencia del Sr. D. Torquato Antonio Collado,Teniente Corregidor de esta villa, y escribanía de D. Jacobo Manuel Manrique, se han mandado sacar á pública subasta á voluntad de su dueño, por término de 30 dias contados desde 28 de Setiembre último, dos casas sitas en esta Corte, una en la calle de la</t>
  </si>
  <si>
    <t>Jalón y Pañuelos, Miguel María</t>
  </si>
  <si>
    <t>Miguel María Jalón y Pañuelos</t>
  </si>
  <si>
    <t>Juan Sánchez. El Rey ha nombrado Coronel del Regimiento provincial de Toro al Capitán de infantería D. Miguel María Jalón y Pañuelos; y ha promovido en los de Igual clase á Tenientes de granaderos en dos de Cuenca y Chinchilla ádos de fusileros D. Leonardo Mena y D. Josef Torréblanca: á Tenientes de fusileros e</t>
  </si>
  <si>
    <t>James Baring</t>
  </si>
  <si>
    <t>onopolizar las provisiones de las colonias, no entran á la parte de este comercio de 9 millones ?__ Sir James Baring advirtió que el flete de los bastimentos que se enviasen á las islas seria muy costoso: nuestros buques, añadió, partirán de aquí con solo su lastre, porque los Americanos quieren</t>
  </si>
  <si>
    <t>James Jackson</t>
  </si>
  <si>
    <t>la tabla los papeles relativos á la negocia-rcion conPrusia. El número i.° contiene un despacho de Mr. James Jackson,: Ministro Británico en Berlin , incluyendo una carta del Barom de PIardem-; berg coniecha de 23 de.Enero , en que le participa; haberse estipulado , pa-* xa, la seguridad del nor</t>
  </si>
  <si>
    <t>James PuUney</t>
  </si>
  <si>
    <t>Coronel Crawford y Mr. Fox apoyaron con mucha fuerza esta cláusula, á que se opusieron fuertemente Sir James PuUney, Mr.Yorke, Mr. Canning y Mr. Percival. A las 4 de la mañana empezó la votación; 254 votároa por la cláusula, y 125 en contra: mayoría 12y. SUIZA. Basilea ij de Mayo, Se han habili</t>
  </si>
  <si>
    <t>Jan, General</t>
  </si>
  <si>
    <t>General Jan</t>
  </si>
  <si>
    <t>Baitd y del Almirante Pppham, con fecha de 28 de Enero enel Cabo de Buena-Esperanza, sersabe que, e^General Jan:sens ha capitulado el-16 del mismOj mes, y ¡que toda !a colonia está sometida enteramente. Mr. -Windham ha participado es|a-noticia al Lord Correa ;idor. El Teniente Dale, ;que ha</t>
  </si>
  <si>
    <t>Janson, General</t>
  </si>
  <si>
    <t>General Janson</t>
  </si>
  <si>
    <t>apitulación, por la qual el Cabo, la ciudad y sus dependencias se rindieron á las armas de S. M. El General Janson, que mandaba la# tropas enemigas, se habia retirado á lo interior del pais con el resto de sus fuerzas, que consistían en unos 1800 ó 2® hombres (*). Por copia conforme &amp;c. (*) No</t>
  </si>
  <si>
    <t>JardPanvillers</t>
  </si>
  <si>
    <t>embro del Tribunado , Mr. de la Sallette. En junta del día io adoptó el Tribunado la’proposición de Mr. JardPanvillers de salir el Tribunado en cuerpo á recibir al Emperador quando venga á París, á imitación del Senado, que tiene determinado este homefiage extraordinario de admiración y de reconocimi</t>
  </si>
  <si>
    <t>Jaubert</t>
  </si>
  <si>
    <t>que los Rusos ocupan las Siete-Islas. Paris 17 ae Abril de 1806. zz Dieres. El dia 12 del corriente Mr. Jaubert, Consejero de Estado, presentó al Cuerpo Legislativo el decreto de S. M. el Emperador licenciando al Cuerpo Legislativo, en virtud de haberse concluido los negocios para que fué c</t>
  </si>
  <si>
    <t>8. DEL MARIAS 10 DE JUNIO DE 1806. ■: y.A vh Jf. £~K&lt;r t ’ • TURQUIA; ^ • ConHantbiopla 6 de Abril. Mr. Jaubert, Secretario Int^rpretede. S.;M&gt; el Emperador dé los Franceses para las lenguas Griega,3^Turca, ptuy conocido aquí por varias comisiones que ha’deseHipeñadp cerca del Sultauihabia^</t>
  </si>
  <si>
    <t>ienda del Rubio, y en Cádiz en casa de D. Manuel Navarro. Contiene el acontecimiento desgraciado de Mr. Jaubert al ir á Persia con una carta del Emperador Napoleón; proclama para la entrega de Anspach; respuesta del Rey de Suecia á una Nota Prusiana; orden para levantar el embargo en Inglat</t>
  </si>
  <si>
    <t>Jayme</t>
  </si>
  <si>
    <t>iudad de Cartagena á entregarse de los bienes que han quedado por fallecimiento del citado su padre D. Jayme. Cartas morales consolatorias de un anciano á su sobrina, y en ella i todas las Señoras que se hallen afligidas con la falta de marido, hijos, parientes, protectores y amigos, en</t>
  </si>
  <si>
    <t>Jayme Claver y Falcer</t>
  </si>
  <si>
    <t>0 Otra de * plata de 40 rs. á Valentín Carderera y Solano. Leer. i.° Una medalla de oro de 70 rs. á D. Jayme Claver y Falcer. 2.0 Otra de plata d^^o rs. á Juan Arcar y Márquez. Cuyos premios con sus cintas puso al pecho de cada agraciado el mismo Gobernador,, entregando á cada uno-una papeleta de dulces</t>
  </si>
  <si>
    <t>Jayme Martorel</t>
  </si>
  <si>
    <t>Martorel Caxa y Espejo, hijo del Teniente de Navio de la Real Armada del Departamento de Cartagena D. Jayme Martorel, que estaba en la Ha vana en el año de 1792, y según noticias del año de 93 pasó á Truxillo, en donde estuvo enfermo; y restablecido de su enfermedad se fué á Omoa, y á pocos dias</t>
  </si>
  <si>
    <t>Jayme Oliva</t>
  </si>
  <si>
    <t>de la Colegial de S. Juan de las Abadesas, Diócesi de Vique, baxo la invocación de Sta. Catalina: á D. Jayme Oliva para otro de la Parroquial de Sta. María de las Llosas , de la misma Diócesi, baxo la in= vocación de nuestra Señora : á D. Josef Bernier para otro de la Parroquial de la villa de</t>
  </si>
  <si>
    <t>Jayme Pastoret y Búfala</t>
  </si>
  <si>
    <t>para una plaza de Oidor de la Real Audiencia de Aragón, vacante por muerte de D. Antonio Cornel, á D. Jayme Pastoret y Búfala» Alcalde del Crimen mas antiguo de ella; y para esta resulta á D. Manuel García de Quintana, Abogado de los Reales Consejos. En oficio de 21 de este mes ha dado cuenta el Capitán</t>
  </si>
  <si>
    <t>Jayme Pes</t>
  </si>
  <si>
    <t>de bandera en el de Asturias al Cadete D. Vicente Camaño: en el de la Princesa al Sargento primero D. Jayme Pes : en el de Murcia Ayudantía al Teniente de granaderos D. Pedro Carrion; y Subtenencias de bandera en el de la Corona al Sargento primero Í&gt;. Pió Quinto de la Yun</t>
  </si>
  <si>
    <t>Jayme Salas</t>
  </si>
  <si>
    <t>nidad de la Metropolitana de Zaragoza, vacante por fallecimiento de D. Juan Francisco Marco Laño, á D. Jayme Salas: para la Canongía que este obtiene en lá Catedral de Huesca á Don Salvador Puicercus: á D. Ignacio Rives.para una Canongía de la Metropolitana de Tarragona, vacante por promoción</t>
  </si>
  <si>
    <t>Jayme Setta</t>
  </si>
  <si>
    <t>, Alicante....... D. Pedro Malsona ve, Burgos.......... D. Narciso Gonzalo del Rio, Malaga..,..,,.. D. Jayme Setta, Loustannau y Compañía. Cádiz.....Sresy Vienne y Larúe. Coruiia........... Sres. López, Sagastizabal é hijo. Santander...... D. Joser de Escalante. S&gt; Sebastian... D. Miguel Anton</t>
  </si>
  <si>
    <t>Jayms Alesandriai En</t>
  </si>
  <si>
    <t>e granaderos, graduado de Capitán , 'D. Ricardo Butler j y en el de Ultoniá Tenencia al Subteniente D. Jayms Alesandriai En el Regimiento Suizo de Preux se ha servido el Rey ¡conceder Te¿ nencias á los Subtenientes de granaderos D. Josef Kalbermaten y Di Ludovico Quartery: en el de Betschart Compañía de</t>
  </si>
  <si>
    <t>JBlas Ré</t>
  </si>
  <si>
    <t>ceder empleos de Portaguión en los Regimientos de, dragones de Ja Reyna y Pavía al Sargento primero D. JBlas Ré.séPj.y al Cadete-D. ;Jpse,f Maria Urbina. , ; . Ensayo sobre ías aguas de Arnedíllo. Én esta memoria, escrita 'por O. Luis BrouSt,;se haljarelundlisis dejas aguas, y;seándíca quej</t>
  </si>
  <si>
    <t>Jenner</t>
  </si>
  <si>
    <t>idas de Londres. ? El Lord Corregidor y el Ayuntamiento de la ciudad de Londres han resuelto dar al Dr. Jenner un testimonio del reconocimiento público, gratificándole con ciertas distinciones, la franquicia de derechos, y derecho de ciudadano, y con una caxa de oro guarnecida de diamantes</t>
  </si>
  <si>
    <t>646 se concederá al Dr. Jenner un aumento de indemnización si se adopta el informe como se espera. Se habla de un grande campamento, que se formará en las alturas de Lexden cerca de Colchester: dicen subirán la</t>
  </si>
  <si>
    <t>risión jierps Ingeses por Quienes; se interesaba,yle har sido.concedida. T^ualmervté $e dice-que el Dr. Jenner * tan célebre por: el descubrimiento de la vacuna, escribió al Emperador para conseguir la libertad del Dr. WindJiarn y dé Mr. jWiüiaíRs, sus amigos/.prisioneros,en V-erdun. Xa -c</t>
  </si>
  <si>
    <t>Jerge Widerman</t>
  </si>
  <si>
    <t>orster: esta resulta ai Teniente Don Inocencio Taíti; y á Subteniente de granaderos al de fusileros D. Jerge Widerman: en el de Preux á Subtenientes de bandera á los Cadetes Don Luis Dufourt y D. Estéban Ganioz : en el de Traxler á Tenientes á ios Subtenientes D. Julio Alberto Viucenz y D. Juan B</t>
  </si>
  <si>
    <t>Jervé, Capitán</t>
  </si>
  <si>
    <t>Capitán Jervé</t>
  </si>
  <si>
    <t>ho fuego en la acción. Ha muerto el Gefe dé esquadroñ Cháloppin, Edecán del Mariscal Bernadotte. El Capitán Jervé ha muerto de resultas de sus- heridas. Han quedado heridos los Coroneles Lacour, Digeon, Gerard, Mares; los Gefes de batallón Perner, Guye, Schwiter; los Gefes de esquadroñ Grumbl</t>
  </si>
  <si>
    <t>Jfosef-Cálvi</t>
  </si>
  <si>
    <t>isco Irigóyen, D. Luis Potestá ,, D. Nicasio* Zamora, D. Lorenzo Ruiz Mateos, D. Santiago Mordelía, D. Jfosef-Cálvi, D. Ántoniq "EHzaldé, D. Benigno Risueño, D. Baltasar B,alagqervljL josef FernandezsRanes, D, Diego Mosquera, D. Ezequiel £ai?e&gt;y;¿p.Antótuo RolapdÁ*:Vt o V T ^ *&gt; ¡ Madrid 2% de</t>
  </si>
  <si>
    <t>JLeandro Muñoz</t>
  </si>
  <si>
    <t>Bernabé San Martin los dos primeros Cadetes, y el último paisano; y a. Portaestandarte al Sargento D. JLeandro Muñoz. En la ex tracción, extraordinaria de la Real lotería, executada el lun.es 18 del corriente, salieron los números 54, 12, $7,1 y 52.; y con ¿ellos han ganado los jugadores 540,500</t>
  </si>
  <si>
    <t>Joa, Príncipe</t>
  </si>
  <si>
    <t>Príncipe Joa</t>
  </si>
  <si>
    <t>, mió, de-los Comandantes de la Legión de Honor’, ■ autoriza'■ do con plenos poderes de S. A. R. el Príncipe Joa juin ¡Grran Duque deBerg y de- Cieñes , Teniente -de S, M. el Emperador de los Franceses v ■ Rey ae Italia , por una parte j y la otra por el Mayor Prue se henee Ey’Co' mandante d</t>
  </si>
  <si>
    <t>Joachim Antonio</t>
  </si>
  <si>
    <t>no fulta, ordineque tali disposíta, ut quilibet lingua latina pollens, sensum comprehendat: auctore D. Joachim Antonio ab Eguileta, Presbítero et Capel laño majori Ecclesiae Sancti Ignatii de Loyola in villa Matritensi. Se hallará, juntamente con la obra de Dominicas ó Sermones para todos los domi</t>
  </si>
  <si>
    <t>Joaqnin de Iturburu</t>
  </si>
  <si>
    <t>cto que dio con la Gazeta de 31 de Enero de 1801. Nuevo método para las operaciones de cambios, por D. Joaqnin de Iturburu; tomo 2.0 El buen acogimiento que ha hallado en el público el primer tomo de esta obra original ha sido causa de que no se perdone gasto ni fatiga alguna para acelerar la publicac</t>
  </si>
  <si>
    <t>Joaquín, Duque</t>
  </si>
  <si>
    <t>Duque Joaquín</t>
  </si>
  <si>
    <t>quí S. M. el Rey de Wurtemberg, que había venido el día 4 á visitar al Emperador Napoleón y al Gran Duque Joaquín, quienes le volvieron la visita en el mismo día. Se han .acuartelado aquí el Regimiento de cazadores de la guardia del Gran Duque de Nassau, y parte de los contingentes de Badén y</t>
  </si>
  <si>
    <t>Joaquín, Príncipe</t>
  </si>
  <si>
    <t>Príncipe Joaquín</t>
  </si>
  <si>
    <t>. — La fórmula del juramentó ha' sido la siguiente : „ ¿Juráis fidelidad y obediencia á S. A. S. el Príncipe Joaquín , Príncipe y Gran Almirante de Francia, Duque de Clevesy de Berg &amp;c. vuestro Soberano , y á la Constitución del país ? Juramos esta fidelidad y obediencia en d¿ nombre de Dios omn</t>
  </si>
  <si>
    <t>spach, y ha cedido á la Francia el Ducado de Berg, que, reunido al de Cleves, forma los Estados del Príncipe Joaquín, Gran Almirante del Imperio.____ _ El General Qudinot ha tomado posesión de los Condados de Neufchátel y de Valíengin, en donde ha encontrado muchas mercancías Inglesas almacenada</t>
  </si>
  <si>
    <t>á la audiencia particular del Emperador, y lüego pasó á visitar á la Emperatriz. Se asegura q,ue el Príncipe Joaquín irá á Munich muy pronto para arreglar por sí mismo muchos objetos particulares relativos á sus nuevos Estados.</t>
  </si>
  <si>
    <t>686 ALEMANIA. Francfort 20 de Julio. S. A. I. el Príncipe Joaquín ha dado orden á los comerciantes de Berg que envíen Diputados á París, á fin de ajustar un tratado de comercio con el Gobierno Francés. Es regular que las fábricas de Berg ganen m</t>
  </si>
  <si>
    <t>mbién tener, contraorden. ’ Bruselas íj de Setiembre. Han pasado por aquí 20 caballos de regalo del Príncipe Joaquín , que los conducen á Paris. De muchos dias á esta parte pasan sucesivamente .por nuestros muros carros cargados de municiones de guerra; caminan hacia Maestrichti • Ayer pasó por</t>
  </si>
  <si>
    <t>ionales del Imperio, en donde se emplearán en hacer pan y galleta para el servicio del exército. El Príncipe Joaquín llegó ayer noche á París, y esta mañana de madrugada ha ido á St, Cloud. Se cree que su permanencia en la capital sea muy corta. El Mariscal Mortier se halla en esta capital hace</t>
  </si>
  <si>
    <t>tualmente ocupada por las tropas del1 Rey----- Respuesta. Este artículo se consultará á S. A. I. el Príncipe Joaquin, Gran Duque de Cleves y de Berg. Ccmprehende estacapitulacian á los Oficiales Generales, que con qualquier motivo se hallaren en la plaza. En Erfurth á 15 de Octubre de 1806, á la</t>
  </si>
  <si>
    <t>JoaquínIbañez</t>
  </si>
  <si>
    <t>rias son ineñcaces para restituir á una nación la energía, y activioad que ha. perdido por su laxo: D. JoaquínIbañez, Barón de Eróles, de primero.,.Jas,incorporaciones</t>
  </si>
  <si>
    <t>John</t>
  </si>
  <si>
    <t>comienda?ábsus-ljeies Comunes qüe tomen todas las disposiciones necesarias' para asegurar á' dicho¡ Sir John &lt; Duckworth , durante su vida ,*? una pensiób anual 1 de 1® &lt; libras esterlinas.” •¿LiEsta bátalla níval ne* -la&gt; ¡queTebiylee^Almirante Duckworth ha ¿dado; i una dirision Eirdace</t>
  </si>
  <si>
    <t>John Duckworth</t>
  </si>
  <si>
    <t>dos aquellos establecimientos se daban disposiciones de defensa, y en ninguno de ellos se sabia que Sir John Duckworth la hubiese encontrado. Mueren muchos militares de enfermedad en las islas. ITALIA. Lúea 15 de Abril. Nuestro Príncipe ha expedido el 12 del corriente un decreto, en exe</t>
  </si>
  <si>
    <t>John Vyarfen</t>
  </si>
  <si>
    <t>tes). . Escriben de Portsmóuth el i i que el Almirantazgo desea tanto que se ^prpute:la esquadra de Sir John Vyarfen, que no pasa ni una hora en e{ día sin informarse por atedio del telégrafo de los progresas que se hacen en reparar sus avenas*</t>
  </si>
  <si>
    <t>John Warren</t>
  </si>
  <si>
    <t>ntazgo estará Corriente en toda esta semana : la de Falmouth lo estará muy en breve. La esquadra de Sir John Warren, que debe hacerse á la vela de Ports«nouth, estará pronta en esta semana. El navio Fama, de 74 cañones, reemplazará el Revenge, y en lugar de la Resistencia saldrá otra fragata. S</t>
  </si>
  <si>
    <t>. GRAN BRETAÑA. ^ ; Londres 4 de Setiembre.' - lj * ? * • ■ Se ha recibido noticia de la llegada de Sir John Warren á las Indias o¿&gt; cidentales. El 4 de Junio salió este Vice-Almirante de Spithead , y no pudo llegará la Barbada hasta el 12 de Julio: el 14 se hallaba á la altura de S. Bartolomé.</t>
  </si>
  <si>
    <t>Johnson</t>
  </si>
  <si>
    <t>de Deal estaba vivamente excitada con esta novedad, llegó el cúter Nilo, en que venia el Comandante Mr. Johnson acompañado de un Oficial Francés de graduación. Habiendo desembarcado ise fuéronr á la posada dedlos tres Reyes, desde? donde después de descansar ipasó el Oficial al despachó del</t>
  </si>
  <si>
    <t>Jomas Ribera</t>
  </si>
  <si>
    <t>miento de Milicias disciplinadas.de caballería de Buenos-Ayres se ha servido promover á Alféreces á D. Jomas Ribera., Don Manuel Naranjo y ,D. Bernabé San Martin los dos primeros Cadetes, y el último paisano; y a. Portaestandarte al Sargento D. JLeandro Muñoz. En la ex tracción, extraordinaria</t>
  </si>
  <si>
    <t>JoMíf Antonio</t>
  </si>
  <si>
    <t>ESPAÑA. Tome lioso, Provincia de la Mancha , 20 de Junio. Anhelando el Alcalde mayor de esta villa D. JoMíf Antonio - Martínez del Corro el mas puntual cumplimiento de las Reales resoluciones que tra</t>
  </si>
  <si>
    <t>Jons Svanberg</t>
  </si>
  <si>
    <t>ue fundó Mr. Lalande para el autor de la Memoria mas interesante de Astronomía., se ha adjudicado á Mr. Jons Svanberg, de la Academia Real de las Ciencias de Suecia, autor de una obra intitulada: Exposición de las operaciones hechas en Laponia para la determinación de un arco del meridiano en 180</t>
  </si>
  <si>
    <t>Jordán de Asso, Ignacio</t>
  </si>
  <si>
    <t>Ignacio Jordán de Asso</t>
  </si>
  <si>
    <t>hallará de venta con los anteriores. Instituciones del Derecho civil de Castilla, por los Doctores D. Ignacio Jordán de Asso ydeTRio yJD. Miguel de Manuel y Rodríguez. Van añadidas al fin dé cada título las diferencias que de .este Derecho se observan en Aragón por disposición de sus fueros: edición sexta</t>
  </si>
  <si>
    <t>Jordán, Antonio</t>
  </si>
  <si>
    <t>Antonio Jordán</t>
  </si>
  <si>
    <t>ios de Valencia al Teniente D. Miguel Pulido; y Subtenencia de bandera en el de Barbastro al Cade*e D. Antonio Jordán. S. M. se ha servido conferir la Tenencia Coronela del Regimiento de caballería de Algarbe al Teniente Coronel D, Raymundo Carbonel, Sarénto mayor del mismo Cuerpo:’ en él de Alcá</t>
  </si>
  <si>
    <t>Jorge Juan</t>
  </si>
  <si>
    <t>enito Bails. El último fue examinado de Mecánica é Hidráulica, y premiado con el Examen marítimo de D. Jorge Juan, y una medalla de plata. Todos satisfaciéron completamente á las diversas preguntas que se les hicieron, y dieron una prueba del zelo y eficacia de sus Maestros.---- Al joven Sevi</t>
  </si>
  <si>
    <t>to todos los estudios elementales en la Academia de Guardias Marinas, fué elegido por su Comandante D. Jorge Juan para estudiar el curso extenso de Matemáticas sublimes, y después pasó á completar su instrucción en París. A su regreso en 175 5 se embarcó, y por espacio de 10 años ‘estuvo cons</t>
  </si>
  <si>
    <t>Inglaterra á instruirse, y estudiar lá ciencia naval en aquel Reyno á la orden del Capitán de Navio D. Jorge Juan, en cuyo destino permaneció^ desempeñando varias comisionesdé da mayor importancia, que le llevaron también por dos veces á Francia, hasta que en-17 54 volvió á España, y pasó a t</t>
  </si>
  <si>
    <t>Jorge, Príncipe</t>
  </si>
  <si>
    <t>Príncipe Jorge</t>
  </si>
  <si>
    <t>ay para su apostadero á la vista de Brest. Consta de los navios de iínea S. Jcsef, Londres, Gloria, Príncipe Jorge, Princesa Real, Príncipe de Gales, S. Jorge, Belerofonte; de la fragata Palas; de las corbetas Confianza y Pluton, y de otros buques menores. El 5 se han probado en Portsmonth tre</t>
  </si>
  <si>
    <t>Jorsef Pirez</t>
  </si>
  <si>
    <t>uña al Capitán segundo D. Josef Gil: igual empleo en d de Voluntarios de Navarra al primer Ayudante D. Jorsef Pirez: está resulta al Capitán segundo D. Antonio Pirez: el empleo de segundo Ayudante en el Batallón de Voluntarios de Valencia al Teniente D. Miguel Pulido; y Subtenencia de bandera e</t>
  </si>
  <si>
    <t>Josáqiiin de Esain, Félix</t>
  </si>
  <si>
    <t>Félix Josáqiiin de Esain</t>
  </si>
  <si>
    <t>gones Provinciales de la Reyna en Nueva.EsparÉa.se ha servido el Rey promover á Capitán al Teniente D. Félix Josáqiiin de Esain.;. á Terdeutes-á dos Alféreces ,D. Josef Antonio de Xarrinua y Di Manuel .Alvarcz Pintado.-;; v á Alféreces á D. Jos^f Dolores Puente y D. Be rnardo de Ora y Bayo, vecinos-de ia d</t>
  </si>
  <si>
    <t>Joscf Mbsía</t>
  </si>
  <si>
    <t>574 hacer mejora acuda á la escribanía que exerce en aquella ciudad D. Joscf Mbsía. En el juzgado del Dr. D. Mariano Lafuente y Poyanos, Alcalde mayor por S. M. de la villa de Yepes, y por el oficio de D. Custodio Martin Zancudo, dei número y Ayuntamiento de ell</t>
  </si>
  <si>
    <t>JoseCRtcb</t>
  </si>
  <si>
    <t>a del modo de éícécútarla: uit tomo en 4.0 mayor apaisado, con 6a lám ínas de música, grabadas pdi* D. JoseCRtcb.1 Se-hallará en la librería de Sancha, calle del Lobo, eri. la de -Castillo., Frente á las gradas de S. Felipe, y eri el almacén de papel rayado, carrera dé S^Getáríimó; en Cádiz</t>
  </si>
  <si>
    <t>Josef</t>
  </si>
  <si>
    <t>Losada á dar las mas activas providencias para su edificación en ella, de acuerdo y conformidad con D. Josef</t>
  </si>
  <si>
    <t>del Real Cuerpo de Ingenieros del exército á los Subtenientes del mismo D. Joaquín Ortiz de Zarate, D. Josef y D. Pedro Aguado, D. Manuel Rodríguez Perez, D. Francisco de Paula Gregorio, D. Tomas Aguirre y Castro, D. Juan Bautista Ponsinch, D. Felipe del Arco Agüero , D. Josef Sánchez Tagle,</t>
  </si>
  <si>
    <t>a ante el Sr. Don Torquato Antonio Collado, Teniente Corregidor de esta villa, por la escribanía de D. Josef. Antonio Canosa*;.'y está señalado para su remate el dia 28 de este mes. , Por providencia del Sr. D. Torquato: Antonio Collado, Teniente Corregidor de esta villa, y escribanía de</t>
  </si>
  <si>
    <t>. cada uno, con los números 5&lt;45 al 5148 .inclusives, y feoha 16 de Abril, endosados á su,favor por D. Josef, Rodriguez de la Pres^,, Procurador de los Reales,Consejos, en .cuya cabeza estaban; los que se han extraviado desde la ciudad dtfGuadalaxara 4 la citada villa de Priego? elque lo</t>
  </si>
  <si>
    <t>ciosa Ayudantía al Teniente. D.^Migud Rodríguez, y empleo de Teniente en el mismo Cuerpo al Alférez D. Josef. Molina. . # En atención á los méritos y servicios de D. Josef de Murga y Aguirre, del Comercio de Madrid, se ha servido el Rey concederle los honores de la Junta' de Comercio y M</t>
  </si>
  <si>
    <t>embre próximo pasado falleció en esta Corte, á la edad de 58 años, 9 meses y 21 dias, el Excmo. Sr. D. Josef^María Fernandez de Córdoba, Spínola y de la Cerda, Sarmiento y Sotomayor, Dáviia, Mesía, Obando, López de Zúñiga, Fernandez de Carvajal &amp;c.'; Conde de Salvatierra, Marques de Sobr</t>
  </si>
  <si>
    <t>Josef Acevedo y Salazar</t>
  </si>
  <si>
    <t>ef Baquixano : para esta resulta al Oidor de Chile D. Josef de Santiago Concha; y para esta plaza á D. Josef Acevedo y Salazar. El Mercurio de España de 30 de Junio, núm. 12, se hallará en el despacho de la Imprenta Real; en el Real Sitio de S..Ildefonso en la tienda del Rubio, y en Cádiz en casa de D. Ma</t>
  </si>
  <si>
    <t>Josef Adrián Español</t>
  </si>
  <si>
    <t>Rector del Colegio, en el término de $0 dias contados desde el de este anuncio. Josef Adrián Español, natural de la villa de la Guardia, en Galicia, de, edad de 14 años , se extravió de Cádiz en el de 1800 , y eti 10 deí Febrero de 1801 fué anunciado en la Gazeta, núm. 12; y no sabiéndose</t>
  </si>
  <si>
    <t>Josef Agustín Villar</t>
  </si>
  <si>
    <t>imple servidero de la Parroquia de la Santísima Trinidad de la villa de Moya, Diócesis de Cuenca, á D. Josef Agustín Villar, Cura de la de S. Pedro de la propia villa; y para la Prestamera de la Parroquia de Bernuy y de Zapardiel, Obispado de Avila, vacante por muerte .de D. Francisco Alonso, á D. Poli</t>
  </si>
  <si>
    <t>Josef Alberch</t>
  </si>
  <si>
    <t>ef de Cárdenas y D. Lu is Rey: Tenencias á los Alféreces D. Cristóbal Perez, D. Lúeas de ~la Peña y D. Josef Alberch ¿empleos de Alférez á los Portaestandartes Don **Pablo Solana, D. Josef de Torres y D. Juan de Cuellar, y el de Portaestandartes á los Cadetes D. Vicente Requesens y D. Ignacio Fo</t>
  </si>
  <si>
    <t>Josef Alcázar</t>
  </si>
  <si>
    <t>nos que el antecedente» Otro para los 4 Caballerizos de Campo , que fuéron D. Fernando de la Cueva, D. Josef Alcázar, D. Joaquin Bermejo y D. Rafael Mateo, que llevaron uniforme grande. La estufa de los Caballeros Pages, que fuéron 8, los- 6 para servir, y 2 sobresalientes, los que llevaron casa</t>
  </si>
  <si>
    <t>Josef Alcover Higueras, Juan</t>
  </si>
  <si>
    <t>Juan Josef Alcover Higueras</t>
  </si>
  <si>
    <t>as de sus quatro compañeros, del Orden de Predicadores Mártires en la China: dada á luz por el Lie. D. Juan Josef Alcover Higueras, Abad mayor de la Colegial del Salvador de Granada. Se hallará en la librería de Escribano, calle de las Carretas; y en Granada en Ja de Polo. El Templo de la muerte, ó veladas lú</t>
  </si>
  <si>
    <t>Josef Alemán, Lucas</t>
  </si>
  <si>
    <t>Lucas Josef Alemán</t>
  </si>
  <si>
    <t>para una Canongía de la Catedral de Guayana, vacante por fallecimiento de D. Josef Qaeypo Valdés, á D. Lucas Josef Alemán, Cura en la misma Di Scesis ; y para una Media-Ración de la Metropolitana ¡de Lima, que vacó por muerte de D. Manuel de la Puerta, á D. Mariano de Echeverría, Cura en el propio Ar</t>
  </si>
  <si>
    <t>Josef Alfonso Cao y Núñez</t>
  </si>
  <si>
    <t>ombrar para una Canongía de la Catedral de Gerona, vacante por fallecimiento de D. Bruno Nasples, á D. Josef Alfonso Cao y Nuñez, Capellán de número de la Real Armada; y para otra dé la Colegiata de Tarrasa, Diócesis de Barcelona, vacante por muerte de Don Juan Rusiñol, á D. Pedro Parés Miro y Grael. El Rey</t>
  </si>
  <si>
    <t>Josef Alonso Ortiz</t>
  </si>
  <si>
    <t>scribió en ingles el sabio y virtuoso Ministro del culto católico Albano Butler, y traduxo el Lie.. D. Josef Alonso Ortiz. En esta obra incomparable, no tanto se detiene el autor en llamar la atención con las maravillas obradas por Dios en sus Santos, ni en moralizar, como en texer una.historia críti</t>
  </si>
  <si>
    <t>eza de las naciones, escrita en ingles por el Dr. Adam Smith, y traducida al castellano por el Lie. D. Josef Alonso Ortiz, con varias notas é ilustraciones relativas á España; segunda edición, muy corregida y mejorada. Esta obra, que hará inmortal el nombre de Smith íntejin se aprecien los conocimien</t>
  </si>
  <si>
    <t>Josef Alvarádo</t>
  </si>
  <si>
    <t>ar para una Media-Ración, vacante en la Catedral de Badajoz por fallecimiento de D. Pedro llovet, á D. Josef Alvarádo, Capellán de Coro mas antiguo de la misma Catedral: pira el Beneficio simple rural intitulado de Cabañeros en la Parroquia de S. Juan de Morales de Toro, en la Diócesi de Zamora,</t>
  </si>
  <si>
    <t>Jósef Amarilla y Huertos</t>
  </si>
  <si>
    <t>ento de la Encarnación de esta Corte, vacante por fallecimiento de D. Juan Francisco Marco Lario, á D. Jósef Amarilla y Huertos, Fiscal de la buprema y general inquisición: para la Canongía de la Catedral de Segovia, vacante por muerte de D. Josef Sanz Monroy, á D. Juan Benito, Cura de la Parroquial de la</t>
  </si>
  <si>
    <t>Josef AnAlcalá</t>
  </si>
  <si>
    <t>del Real y primer Monasterio de la Visitación de &gt; 9ue ha vacado por muerte de D. Manuel Sánchez, á D. Josef AnAlcalá, Capellán mas antiguo de las fundadas en el mismo Real Monasterio por el Sr. D. Carlos 111; y para la que este dexa á D. Baltasar García, Presbítero, Sacristán segundo de dicho Mo</t>
  </si>
  <si>
    <t>Josef Andrés VUlaseñor</t>
  </si>
  <si>
    <t>egimiento Provincial de Sevilla,ha conferido S. M. la Tenencia de granaderos del misiqo Cuerpo; á . D. Josef Andrés VUlaseñor, Subteniente de granaderos del de Alcázar de ^ S. Juan, Tenencia de fusileros; á D. Josef de Vivar, Subteniente del de Granada, la Subtenencia de granaderos del mismo, y á D. Víct</t>
  </si>
  <si>
    <t>Josef Antich</t>
  </si>
  <si>
    <t>aU para un Beneficio residencial de la Parroquia de S. Cucufate de Barcelona, vacante por muerte de D. Josef Antich, S. M. se ha servido nombrar para la Canongía de la Metropolitana de Santiago, vacante por fallecimiento de D. Pedro Antonio Sánchez Baamonde, á D. Josef Manuel de Losada: para un</t>
  </si>
  <si>
    <t>Josef Antonino Colmenares</t>
  </si>
  <si>
    <t>ar. También se ha dignado conceder plaza de Oidor supernumerario de la Chancillería de Valladolid á D. Josef Antonino Colmenares; y honores de Oidor de ella á D. Pedro de la Puente, Secretario de la Presidencia de Castilla. Asimismo se ha dignado S. M. conceder honores y antigüedad del Consejo de Hacienda á</t>
  </si>
  <si>
    <t>Josef Antonio Alcaiá y Sánchez</t>
  </si>
  <si>
    <t>restamera de los Molares, en el Arzobispado de Sevilla, vacante por muerte de D. Miguel Villegas, á D. Josef Antonio Alcaiá y Sánchez, Capellán del Real y primer Monasterio de ía Visitación de las Salesas de esta Corte, con retención de la Capellanía oue obtiene. Ei Rey se ha servido conferir en el Regimiento de</t>
  </si>
  <si>
    <t>Josef Antonio Arenas</t>
  </si>
  <si>
    <t>e y ret»^ ma, en 44,900 rs. Quien quisiere hacer postura, acuda en dicha ciudad ante elXir cenciado D. Josef Antonio Arenas, Juez comisionado nombrado por el referida Sr. Intendente, y por el oficio del Escribano de su número D. Juan de Mata Gil Almansa. ‘ , En la villa de Ablitas se hallan de yentá la</t>
  </si>
  <si>
    <t>Josef Antonio Canosa</t>
  </si>
  <si>
    <t>álico. Quien quisiere hacer postura á todas, óáalguna de ellas, acuda a la escribanía del número de D. Josef Antonio Canosa, en el término de 30 dias contados desde el 8 del corriente. Se halla vacante la plaza de Médico de la villa dé Túrleque, en la provincia dé la Mancha, distante dos leguas de la v</t>
  </si>
  <si>
    <t>de su mañana, á la puerta de Ja audiencia del Sr. D.Torquáfo Antonio Collado, por la escribanía de D. Josef Antonio Canosa. Asimismo se admitirán en la propia las posturas que se hicieren á 2 casas del propio dueño, sftas en la calle de la Quadra, la una núms. 7 y 8, manz. 527, con 4909^ pies, tasada</t>
  </si>
  <si>
    <t>ta Corte calle de S. Gregorio, núm. -9, manz. 323, tasada-en 30,338 r;s. , acuda á la escribanía de D. Josef Antonio Canosa, dentro del término de 30 dias contados desde 2 del presente. Por decreto del Sr. Intendente de esta provincia se ha mandado publicar nuevamente» por. término de 30 dias contados</t>
  </si>
  <si>
    <t>Josef Antonio de AyaJ</t>
  </si>
  <si>
    <t>alesquiera de dichas fincas, comparezea?en la escribanía de la expresada Comisión Regia, que exerce D. Josef Antonio de AyaJ¡a; con prevención; que s© rematarán el dia 18 del corriente, si</t>
  </si>
  <si>
    <t>Josef Antonio de Ayala</t>
  </si>
  <si>
    <t>as fincas comparezca en la escribanía de la expresada Comisión Regia, y ante su Escribano privativo D. Josef Antonio de Ayala; con prevención que se rematarán el dia 12 de Abril próximo, sí precede postura, á las doce de su mañana, en las casas consistoriales de dicha ciudad. Por el mismo Comisionado Reg</t>
  </si>
  <si>
    <t>uiera de dichas fincas comparezca en la escribanía de la expresada comí-, sion, que está á cargo de D. Josef Antonio de Ayala; con prevención de que sc^ remataran el dia 9 de Junio próximo, si precede postor, en las casas consistoriales de la referida ciudad. Por providencia de D. Josef Espinosa, Juez Re</t>
  </si>
  <si>
    <t>Josef Antonio de la Valle</t>
  </si>
  <si>
    <t>los santos Sacramentos de la Penitencia y sagrada Comuíiion-, y ejercicios de mañana y noche , por D. Josef Antonio de la Valle,, aumentado en esta última edición con oraciones para visitar Jas Iglesias en Semana Santa,. Cuarenta Horas, y los actos- de Fe, Esperanza y Caridad : un tomo en n.° Se hallará en</t>
  </si>
  <si>
    <t>Josef Antonio de los Ríos</t>
  </si>
  <si>
    <t>ia: para la Canongía vacante en la Colegial de Sta. Fe, en el Arzobispado de Granada, por muerte de D. Josef Antonio de los Ríos , á D. Martin Luque y Lozano: á D. Miguel Rivas y Aleu para un Beneficio^compuesto de dos unidos, vacante en la Parroquia de Cambrils, Diócesi de Tarragona, por fallecimiento de D</t>
  </si>
  <si>
    <t>Josef Antonio de Uría</t>
  </si>
  <si>
    <t>i115 legiata de Guadalupe de México, vacante por muerte de D. Josef Antonio de Uría, á D. Josef Mariano Alarcon, Capellán Penitenciario de la propia Colegiata: para tres Medias-Raciones, vacantes en la» Iglesia de la Puebla de los Angeles , á D. Josef Domingo Cor</t>
  </si>
  <si>
    <t>Josef Antonio de Uriarte</t>
  </si>
  <si>
    <t>endente honorario de Provincia. Sr. D. Diego Crespo de Tejada. Sr. D. Lorenzo Palacio y Gorbea. Sr. D. Josef Antonio de Uriarte, por la Caxa de Consolidación. Y ha nombrado por sus Diputados á los Señores D. Manuel de Ribacoba y Gorbea, y D. Esteban de la Torre, estableciendo sus oficinas en la Caxa de Des</t>
  </si>
  <si>
    <t>Josef Antonio de Xarrinua y Di Manuel</t>
  </si>
  <si>
    <t>o el Rey promover á Capitán al Teniente D. Félix Josáqiiin de Esain.;. á Terdeutes-á dos Alféreces ,D. Josef Antonio de Xarrinua y Di Manuel .Alvarcz Pintado.-;; v á Alféreces á D. Jos^f Dolores Puente y D. Be rnardo de Ora y Bayo, vecinos-de ia demarcación del Regimiento. Sin embargo de'haber espirado el término prtíi</t>
  </si>
  <si>
    <t>Josef Antonio Fita</t>
  </si>
  <si>
    <t>r lo qual, y excitado el actual Corregidor D. Josef Bravo y Heredia, con providencias del limo. Sr. D. Josef Antonio Fita, Ministro del Consejo y Cámara, y encargado por S. M. de activar tales establecimientos en esta Diócesi, se dedicó constantemente á perfeccionar ia obra proyectada, cuyo plano y d</t>
  </si>
  <si>
    <t>Josef Antonio Vargas</t>
  </si>
  <si>
    <t>e á D. Cristóbal Olavarria y D. Pedro Olavarria, Tenientes de las mismas; y Tenencia al Subteniente D. Josef Antonio Vargas. S. M. se ha dignado promover á Coroneles en los Regimientos de Milicias urbanas de infantería de Huanta, de caballería de Huanuco, y de dragones de Chota y Quispicanchi, en el Re</t>
  </si>
  <si>
    <t>Josef Antonio Xaraquemada</t>
  </si>
  <si>
    <t>, Cura en aquella Diócesi: para otra Ración de la de Santiago de Chile al Cura del Sagrario de ella D. Josef Antonio Xaraquemada; finalmente para Media-Ración de la Metropolitana de Santa Fe á D. Antonio de León y Acero, Cura de Chía, en aquel Arzobispado. A consulta del Consejo Real se ha servido S. M. con</t>
  </si>
  <si>
    <t>Josef Aparicio de Verge</t>
  </si>
  <si>
    <t>i, á D. Melchor Ferran; y para un Beneficio de la Parroquial de Santiago de la ciudad de Zaragoza á D. Josef Aparicio de Verge. S. M. se ha servido promover á Coroneles de los Regimientos primero y tercero del Real Cuerpo de Artillería á ios Tenientes Coroneles D. Ignacio Muñoz y D. Josef González; y á Te</t>
  </si>
  <si>
    <t>Josef Arago y Fita</t>
  </si>
  <si>
    <t>a Real Audiencia de Galicia, vacante por fallecimiento de D. Francisco Cardeña, ha nombrado $. M. á D. Josef Arago y Fita, Alcalde mayor del Crimen mas antiguo de ella; y para esta resulta á D. Josef Garriga, Abogado de los Reales Consejos. En atención á lo que han representado los Mariscales de Camp</t>
  </si>
  <si>
    <t>Josef Aramburu</t>
  </si>
  <si>
    <t>al Capitán D. Toríbio Acebal, á Tenientes al Alférez D. Antonio Zavala , y á los Sargentos primeros D. Josef Aramburu y D. lííadio Egoabíl; á Alféreces á ios Sargentos primeros D. Agustín Perez y D. Manuel Antonio Aldaco, y á Portaestandartes á D. Josef Espinosa y D. Antonio Velasco, también Sargento</t>
  </si>
  <si>
    <t>Josef Arias</t>
  </si>
  <si>
    <t>ñ conferir-empleos de Tenientes en el propio Real cuerpo i.los-Sqbjyrji.qntés P. Bernardo Ledesma y D. Josef Arias. de SaaVedr?,- . [ 2Cj f|(, • En el Regimiento de caballería ¿el Rey -sé.fia servido -,S.. ¿5^ ctjjpí^der empleo de . Alférez al Portaestandarte D. Francisco Goipez : e'pi Jos,Hel</t>
  </si>
  <si>
    <t>Josef Arias de Saavedra Caro y Tavera</t>
  </si>
  <si>
    <t>Varo, D. Francisco del BarcoGordon, D. Mariano Narvaez y Narvaez, D. Gerónimo Piáeyro y las Casas, D. Josef Arias de Saavedra Caro y Tavera, D. Antonio Moscoso y Vázquez,,D. Salvador Moreno de Guerra Navarro y Rio, D. Josef Barco y la Cendeja y D. Vicente Vázquez y Moscoso. El Rey se ha servido conferir el Regimiento</t>
  </si>
  <si>
    <t>Josef Arjona</t>
  </si>
  <si>
    <t>dexa, á D. Josef López de Vinuesa, Alcalde del Crimen mas antiguo de la misma: para esta resulta, á D. Josef Arjona; y para el Corregimiento de Letras de la ciudad de Carmona á D. Benito Saiz de Villegas. Por el Ministerio de la Guerra se ha expedido la Circular siguiente: En papel de 13 del co</t>
  </si>
  <si>
    <t>Josef Arnau</t>
  </si>
  <si>
    <t>s de fusileros D. Gabriel Tinajero y D. Domingo Aragón; á Tenientes de fusileros á los Subtenientes D. Josef Arnau y D. Joaquín Rujas, el primero de granaderos;, á Subteniente de granaderos al de fusileros D. Salvador Valdejuli; á Subtenientes de fusileros á los de bandera D. Felipe Carvajal, D. S</t>
  </si>
  <si>
    <t>Josef Arosemena, Pablo</t>
  </si>
  <si>
    <t>Pablo Josef Arosemena</t>
  </si>
  <si>
    <t>os de Coronel y Teniente Coronel del Regimiento de Milicias disciplinadas de infantería de Panamá á D. Pablo Josef Arosemena y D. Juan Domingo Iturralde, que servían los mismos empleos en el Regimiento de Milicias urbanas de la provincia de Veragua. También se ha dignado S. M. nombrar para la Regencia, vaca</t>
  </si>
  <si>
    <t>Josef Aténza</t>
  </si>
  <si>
    <t>lería en la isla dé Iviza.' • S. M. ha concedido’ honores de Comisario Ordenador de sus Exércitos á D. Josef Aténza dél Castillo, Administrador principal de la Renta de Lotería en Sevilla. En cumplimiento de las Reales Cédulas de S. M. de 15 de Julio y 29 de Noviembre de 17 97 se recibirán en la T</t>
  </si>
  <si>
    <t>Josef Atorrasagasti, Juan</t>
  </si>
  <si>
    <t>Juan Josef Atorrasagasti</t>
  </si>
  <si>
    <t>z, del gas hidrógeno: D. Sebastian Puertas, de los seres simples: p. Manuel Gascón, de los metales: D. Juan Josef Atorrasagasti, de la formación y naturaleza de las substancias animales: D. Pedro Vived, de los ácidos: D. Francisco Orduña, del agua: Dé Francisco Perez, de las sales;’ y D. Josef Bejar, de la</t>
  </si>
  <si>
    <t>Josef Ayala y Go</t>
  </si>
  <si>
    <t>er postura á todas ó qualesquicra de: dichas fincas acuda á ía escribanía de la comisión que exerce D. Josef Ayala y Go-* mez, con prevención de que se rematarán el día 20 del presente Octubre. En virtud de providencia del Sr. D. Francisco Xavier de Uriortua, Comisio-. nado Regio para la venta de bi</t>
  </si>
  <si>
    <t>Josef Ayala y Gómez</t>
  </si>
  <si>
    <t>hacer postura k quglquiera de dichas fincas comparezca en la escribanía de la comisión, que excrce D. Josef Ayala y Gómez; con prevención de que se rematarán el dia 12 del presente. Por providencia de D. Estéban de la Madrid, Juez CcmisionadoReaí en la ciudad de Toledo, se saca á pública subasta una</t>
  </si>
  <si>
    <t>Josef Azcona</t>
  </si>
  <si>
    <t>eneficio simple de la Parroquia del lugar de Montuenga, Diócesi de Sigiienza, vacante por muerte de D. Josef Azcona, á D. Manuel Fernandez Blanco, Capellán provisional de la Real Armada: para otro titulado Areiprestazgo de Lará en el Arzobispado de Burgos, vacante por fallecimiento de D. Hemete</t>
  </si>
  <si>
    <t>Josef Baquero, Juan</t>
  </si>
  <si>
    <t>Juan Josef Baquero</t>
  </si>
  <si>
    <t>del Ayuntamiento de dicho lugar D. Josef Frías y Avilés. Entre las responsabilidades que manifestó D. Juan Josef Baquero, vecino y del comercio de Cádiz, en un papel de comunicato, que está agregado á los autos de testamentaría, pendientes ante el Sr. Oidor Juez de ló Civil de la misma ciudad, y esc</t>
  </si>
  <si>
    <t>Josef Baquixano</t>
  </si>
  <si>
    <t>Rodríguez Ballesteros *. para la plaza de Oidor de Lima que este dexa al Alcalde del Crimen de ella D. Josef Baquixano : para esta resulta al Oidor de Chile D. Josef de Santiago Concha; y para esta plaza á D. Josef Acevedo y Salazar. El Mercurio de España de 30 de Junio, núm. 12, se hallará en el</t>
  </si>
  <si>
    <t>Josef Barco y la Cendeja</t>
  </si>
  <si>
    <t>e Saavedra Caro y Tavera, D. Antonio Moscoso y Vázquez,,D. Salvador Moreno de Guerra Navarro y Rio, D. Josef Barco y la Cendeja y D. Vicente Vázquez y Moscoso. El Rey se ha servido conferir el Regimiento de caballería de Algarbe al Coronel D. Josef de Yebra/ Teniente Coronel del de Calatrava; y en el del Prínc</t>
  </si>
  <si>
    <t>Josef Bassóco</t>
  </si>
  <si>
    <t>uerne, D. Pablo Unda, D. Josef Silvan, D. Pablo Ferrando, D.AIexandro Lagoa, D. Eugenio de Zuloaga, D. Josef Bassóco, D. Vicente Bas$óco,D. Matías de la Torre, D. Joaquín Ossés, D. Gerónimo Maza, D. Juan Maza, Don Bernabé de Otálora, D. Juan de Mazarredo, D. Cárlos Van-Zoelen y Don Sebastian Fer</t>
  </si>
  <si>
    <t>Josef Bay</t>
  </si>
  <si>
    <t>ento Suizo vacante de Courten á D. Carlos de Preux, Teniente Coronel del mismo: para esta resulta á D. Josef Bay, y para el empleo de Sargento mayor á D. Josef de Gard, ámbos Capitanes dei propio Cuerpo: para las dos Subtenencias de bandera de nueva creación á D. Pedro Antonio de Preux y á D</t>
  </si>
  <si>
    <t>Josef Beato</t>
  </si>
  <si>
    <t>e hacer postura 4 todas ó cada una de dichas fincas acuda á la escribanía de la comisión que exerce D. Josef Beato, con la prevención de que su remate se celebrará el dia 30 de Octubre. Por providencia del Sr. D. Torquato Antonio Collado, Teniente Corregidor de esta villa, se ha mandado public</t>
  </si>
  <si>
    <t>Josef Beer</t>
  </si>
  <si>
    <t>l Príncipe de Auersberg. S. M. el Emperador ha nombrado para la plaza de Oculista de los po~ bres á Mr. Josef Beer, Médico bien conocido por su habilidad en este importante ramo del arte de curar. Se le han asignado 400 florines anuales, con la obligación de asistir de balde á los pobres.__ Lo</t>
  </si>
  <si>
    <t>Josef Bejar</t>
  </si>
  <si>
    <t>D. Pedro Vived, de los ácidos: D. Francisco Orduña, del agua: Dé Francisco Perez, de las sales;’ y D. Josef Bejar, de la luz. _ Después acreditaron en sus respuestas el roa</t>
  </si>
  <si>
    <t>Josef Bejarano</t>
  </si>
  <si>
    <t>ilicias provinciales de Sevilla ha conferido el Rey Compañía de fusileros al Teniente de granaderos D. Josef Bejarano ; y en el de Laredo de la propia clase la Subtenencia de granaderos al Subteniente de fusileros D. León de Villota. S. M. se ha servido nombrar para la Vara de Alcalde mayor de Ci</t>
  </si>
  <si>
    <t>Josef Belen Zamora</t>
  </si>
  <si>
    <t>ballería de la villa de Santo Espíritu ai Subteniente D. Gabriel Menéses: la Subtenencia al Alférez D. Josef Belen Zamora; y esta resuira ai Sargento D. Pedro Luís Quintanilia. __ Hn ei Regimiento de. dragonea Provinciales de Puebla, en el Reyno de Nueva-España , se ha servido el Rey promover á C2pit</t>
  </si>
  <si>
    <t>Josef Belvitges</t>
  </si>
  <si>
    <t>res Agonizantes, calle de Fuehcarral. Diccionario-Catalan-Castellánó-Latino; por D. Joaquín Estebe, D. Josef Belvitges y D. Antonio Jiíglá: tomo 2.° y último. Se hallará con el i.° en la libreríá de Qúiroga,, calle de )ás Carretas; y en Barcelona en la de la viuda de Pía.__ La necesidad de uri diccion</t>
  </si>
  <si>
    <t>Josef Benavente, Pedro</t>
  </si>
  <si>
    <t>Pedro Josef Benavente</t>
  </si>
  <si>
    <t>e Amaya, Sargento mayor del mismo Cuerpo; y esta resulta al Capitán , graduado de Teniente Coronel, D. Pedro Josef Benavente. También se ha servido S. M. promover en el Batallón de Milicias disciplinadas de Granada de Nicaragua á Capitán de granaderos al de fusileros D. Pablo Payan, y de fusileros á los</t>
  </si>
  <si>
    <t>Josef Benito Camban</t>
  </si>
  <si>
    <t>al de la Catedral de Santiago : para la Ración vacante en la .Catedral .de Mondoñedo, por muerte de D. Josef Benito Camban i D. Miguel Febrer, ¡Capellán del nú ¿aero de la Real'Ar^ mada: para el Beneficio titulado Arciprestazgo de la Parroquial de Villasandino, Diócesi de Burgos, vacante por fallecimi</t>
  </si>
  <si>
    <t>Josef Berdonces</t>
  </si>
  <si>
    <t>Courten: para otra Canongía, vacante en la Catedral de Valladolid por muerte de D. Manuel Junco, á D. Josef Berdonces, Bibliotecario primero de la Biblioteca Real de aquella ciudad: para una Media-Ración, afecta á la voz de Tenor en la Capilla de la Catedral de Málaga, vacante por fallecimiento d</t>
  </si>
  <si>
    <t>Josef Bernardo Astiguieta</t>
  </si>
  <si>
    <t>vacante en la Audiencia de Guatemala por promoción de D. Manuel Castillo Negrete á la dé México, á D. Josef Bernardo Astiguieta: para la plaza de Oidor de Caracas, que este dexa, á D. Antonio Julián Alvarez, Abogado de los Rea</t>
  </si>
  <si>
    <t>Josef Bernardo de Echague</t>
  </si>
  <si>
    <t>de Tribies.,-Arcipréstazgo deíValdés, Diócesi de Oviedo, vacante por muerte,de D. Juan ¡Martméz, á D. Josef Bernardo de Echague. r En los Regimientos de Dragones dé la Rey na* y Pavía ¡se ha ^servido el Rp y.conceder ¡empleos. de Alférez á los Portaguiones ¡D. Ramón Mana Fornier y D. Joaquín Magallon: :én</t>
  </si>
  <si>
    <t>Josef Bernier</t>
  </si>
  <si>
    <t>quial de Sta. María de las Llosas , de la misma Diócesi, baxo la in= vocación de nuestra Señora : á D. Josef Bernier para otro de la Parroquial de la villa de Agramunt, Diócesi de Urgel: á D. Jacinto de Antillon para una Canongía de la Colegiata de Mora, Diócesi de ‘Teruel; y á D. Ignacio Torres</t>
  </si>
  <si>
    <t>Josef Berzabal</t>
  </si>
  <si>
    <t>o el Rey promover á Capitán de granaderos al de fusileros D*.Antonio Salazar; á Capitán al Ayudante D. Josef Berzabal; á Ayudante al Teniente D. Manuel Bonilla; á Teniente al Subteniente de granaderos D. Francisco Farias; á Subteniente de granaderos al de fa</t>
  </si>
  <si>
    <t>Josef Blanco</t>
  </si>
  <si>
    <t>66¿ en el del Infante Ayudantía al Teniente D. Josef López, y esta resulta al Alférez D. Josef Blanco: en el de Bembón empleo de Portaestandarte al Sargento primero D, Baltasar Fernandez: en el de Santiago empleo de Alférez al Portaestandarte D. Josef Ximenez; y en el de cazadores</t>
  </si>
  <si>
    <t>Josef Bocalan</t>
  </si>
  <si>
    <t>uan Ramírez: las Subtenencias de granaderos de los de Toro y Burgos á los Subtenientes de fusileros D. Josef Bocalan y D. Ramón. Gas trillo; y las Subtenencias de bandera de los de Laredo, Sevilla, Ecija y, Orense á D. Josef de Vivanco y Barco, ■Dí Cayetano García Limones, D.-Antonio Alvarez Guerrer</t>
  </si>
  <si>
    <t>Josef Bonet</t>
  </si>
  <si>
    <t>s; y en el de Voluntarios de la Corona Tenencia al Subteniente de granaderos, graduado de Teniente, D. Josef Bonet. S. M. se ha servido promover á Teniente Coronel del Regimiento de caballería de Calatrava al Teniente Coronel D. Pedro Josef Gamez, Sargento mayor del de Borbon. También se ha se</t>
  </si>
  <si>
    <t>Josef Bravo y Heredia</t>
  </si>
  <si>
    <t>cementerio para enterrar ios cadáveres de los fieles; por lo qual, y excitado el actual Corregidor D. Josef Bravo y Heredia, con providencias del limo. Sr. D. Josef Antonio Fita, Ministro del Consejo y Cámara, y encargado por S. M. de activar tales establecimientos en esta Diócesi, se dedicó constantem</t>
  </si>
  <si>
    <t>Josef Bueno</t>
  </si>
  <si>
    <t>eliquias del Castillo de la villa de Alburquerque , en la Diócesi de Badajoz: para este Beneficio á D. Josef Bueno, Capellán del Hospital militar de la plaza de Badajoz; y para el Beneficio servidero de la Parroquia de Sta. María de la referida villa de Moya, vacante por fallecimiento de D. Bl</t>
  </si>
  <si>
    <t>Josef Burel</t>
  </si>
  <si>
    <t>de la Reyna se ha servido el Rey conceder Subtenencia de bandera al Sargento primero de granaderos D. Josef Burel!. ' El Rey ha promovido á Capitán en el Regimiento de Muidas provinciales de Cuenca á D. Josef Ruiz Albornoz , Teniente de granaderos del mismo Cuerpo: á Tenientes de fusileros en</t>
  </si>
  <si>
    <t>Josef Caballero</t>
  </si>
  <si>
    <t>e ‘la PrincEsA* nuestra Señora DofiacM&amp;RiAi Antonia de Borbon, se avisó inmediatameñtéal Excmo. Sr. D. Josef Caballero, Secretario del Despacho de Gracia y Ju$-&gt;:' tiela-.,; paraique aseguarada&gt;dei lalmuerre diese fe dé ella,' vdeSptífcs^de reconocida: pasó á tomar las-: órdenésrde. SSi: MM. parar</t>
  </si>
  <si>
    <t>Josef Cabrera y Surga</t>
  </si>
  <si>
    <t>te de granaderos D. Olaguer de León: á Subteniente de bandera en el de Jaén al Cadete del dé Africa D. Josef Cabrera y Surga; y en el batallón de infantería ligera de Voluntarios de Tarragona á Subteniente de bandera al Cadete D. Josef Fontanilia. Atendiendo el Rey á los servicios, méritos y circunstanc</t>
  </si>
  <si>
    <t>Josef Calvillo</t>
  </si>
  <si>
    <t>lférez D. Ildefonso Villar: en los del Príncipe y Montesa empleos de Alférez á los Portaestandartes D. Josef Calvillo y D. Rafael de Fuentes; y en el de Húsares de María Luisa Compañía al Teniente Don Fernando Manuel de Villena. En América. En el Regimiento de infantería de Puerto-Rico se ha dignado</t>
  </si>
  <si>
    <t>Josef Camarón</t>
  </si>
  <si>
    <t>^hi . r { . Continuación de los frages de España, i.° tomo, .quaderno 2.°, dibuxados y grabados por D. Josef Camarón,pintor de Cámara de S. M. Se hallaran, con los anteriores del primer tomo.,| en la Calcografía establecida en la Imprenta Real, iluminados y sjnJlomipaf.. ? • o?: ‘ '~rrr rEa virt</t>
  </si>
  <si>
    <t>les por un media tan poco gravoso.Continuación-de; los trages deL Ticianoy dibuxados*y grabados por D. Josef Camarón, Pintor de Cámara de: S. M. : quaderno 3.0 del tomo» a.°r Se: hallará con •los 23 anteriores , iluminados y sin.iluminar,en. la¿ Calcografíale: S; M.-,, establecida en ia. Imprent</t>
  </si>
  <si>
    <t>ctor de las Artes, se ha dignado aprobar el pensamiento, y ha elegido y dotado ásu Pintor de Cámara D. Josef Camarón, individuo de mérito de la Real Academia de S. Fernando, para que corra con el encargo de dibuxar las obras que hayan de grabarse. Este Profesor ha comenzado su comisión por el di</t>
  </si>
  <si>
    <t>Josef Cano</t>
  </si>
  <si>
    <t>tí, y á Subtenientes de bandera aí Cadete D. Francisco Canseco, y al Sargento primero de granaderos D. Josef Cano: se ha dignado conferir el Regimiento de infantería de la Luisiana al Coronel D. Carlos Howar, Teniente Coronel del mismo cuerpo;la Tenencia Coronela al Coronel D. Francisco Maxim</t>
  </si>
  <si>
    <t>Josef Cano, Manuel</t>
  </si>
  <si>
    <t>Manuel Josef Cano</t>
  </si>
  <si>
    <t>isco de Llanos y S. Gines, Conde de Torre Alegre, y mtiger en segundas nupcias del Capitán retirado D. Manuel Josef Cano, para que en el término de 40 dias contados desde el de la publicación de este anuncio, comparezcan por sí ó sus apoderados, con los legítimos documentos de sus créditos, á deduci</t>
  </si>
  <si>
    <t>Josef Capilla</t>
  </si>
  <si>
    <t>go marzal ó tremesino, y probó su utilidad en las circunstancias de una mala sementera de invierno: D. Josef Capilla sobre los olivos, determinando el clima, calidad , situación , y exposición natural y astronómica del terreno en que se ha de plantar un olivar , de quántas maneras puede propagar</t>
  </si>
  <si>
    <t>ancias absolutas están en razón directa de la freqiiencia de los retornos de su capital circulante: D. Josef Capilla, de primero, las ventajas que logra un ramo particular de industria por la prohibición de los mismos géneros extrangeros, no compensan las pérdidas que experimentan toda la indust</t>
  </si>
  <si>
    <t>Josef Carreño y Ramírez</t>
  </si>
  <si>
    <t>Sánchez, D. Josef Ranero y Santelices, D. Lorenzo Villegas y Coronel, D. Juan del Rio y Noguerido, D. Josef Carreño y Ramírez, D. Juan VanHalen y Sarti, D. Josef González de Argandoña, D. Manuel de Umendia y Foronda, D. Quirico de Aristizaval y Sequeyra, D. Josef Yustiniani y Cabrera, D. Rafael de Elisa</t>
  </si>
  <si>
    <t>Josef Caturla</t>
  </si>
  <si>
    <t>anada Tenencia al Subteniente de granaderos D. Josef de la Peña; y Subtenencia de bandera al Cadete D. Josef Caturla: en el Regimiento Suizo de Reding, cuín. 3.°j se ha servido S. M. promover á Capitán segundo al Teniente de granaderos D. Josef Vorster: esta resulta ai Teniente Don Inocencio Taí</t>
  </si>
  <si>
    <t>Josef Cayetano Salcedo</t>
  </si>
  <si>
    <t>Iturribarría: para la Ración que este dexa á D. Fernando Cortés; y para la Media al Cura de Arispe D. Josef Cayetano Salcedo: para la Chantría de la Iglesia de Comayagua, vacante por fallecimiento de D. Francisco Manuel López, al Maestrescuela D. Josef María S. Martin; y para su resulta al Penitenciario</t>
  </si>
  <si>
    <t>Josef Cc</t>
  </si>
  <si>
    <t>académica de cobre en la Junta general de 19 del corriente á su individuo actual de número el Lie. D. Josef Cc',4"'yGali, por el particular mérito, aplicación y talento que ha manifestado en el discurso del presente año. En la extracción de la Real lotería, executada ejlúnes 18 del corrient</t>
  </si>
  <si>
    <t>Josef Cevallos</t>
  </si>
  <si>
    <t>ido conferir- en el Regimiento de infantería de la Reyna Compañía al Teniente, graduado de Capitán, D. Josef Cevallos, y Tenencia al Subteniente D. Ramón Aymerick: en los de Ultonia, América y Extremadura Tenencias á los Subtenientes D. Pedro Sprackmans, Don Fausto de Chozas y D. Pedro Bernaldes:</t>
  </si>
  <si>
    <t>Joséf Chaix</t>
  </si>
  <si>
    <t>r la meridiana de Mrs. Delambre y Mechain hasta las islas Baleares , acompañados de dos Españoles , D. Joséf Chaix y D. toséf Rodríguez. ¡; ^ El Emperador ha mandado que la.plaza principal de Maguncia tenga en»</t>
  </si>
  <si>
    <t>Josef Chaqué</t>
  </si>
  <si>
    <t>icolás Fiwatz; y en el de Reding núm. 2.0 el empleo de Teniente Coronel ai Sargento mayor del mismo D. Josef Chaqué , graduado de Teniente Coronel. Teniendo el RErén consideración los dilatados-buenos servicios del Teniente General de su Real Armada y Capitán General honorario de Departamento D</t>
  </si>
  <si>
    <t>Josef Chavaloyes</t>
  </si>
  <si>
    <t>enes en las clases siguientes: de Aritmética,;D. Ramón Aragonés y D. Ignacio Alvares: de Geometría, D. Josef Chavaloyes, Don Rafael Alcaráz y D. Miguel Bayona: de Trigonometría plana, D. León Selva, D. Josef Marcell, D. Josef Chavalóyes, D. Rafael Alcaráz y Don Miguel Bayona: de.'Trigondmetpasesfér</t>
  </si>
  <si>
    <t>Josef Chavarría</t>
  </si>
  <si>
    <t>plinadas de caballería de Ferreñafe, en el Reyno del Perú, se ha dignado el Rey conceder Compañía á D. Josef Chavarría, Teniente del mismo,Cuerpo. Desde el dia i.° de Abril hasta el último de Mayo próximos se renovarán en la Tesorería de la Real Caxa de Consolidación los Vales-dinero de 6oo y 300</t>
  </si>
  <si>
    <t>Josef Chueca y Mezquita</t>
  </si>
  <si>
    <t>y Misa de la festividad del Santísimo Sacramento y su octava según el Breviario y Misal Romano, por D. Josef Chueca y Mezquita, Doctor en Derechos &amp;c&gt;: un tomo en 8.° con dos láminas, á 11 rs. en pasta. = Entretenimientos del Corazón devoto con el Santísimo Corazón de Jesús, y obsequios en actos de desagr</t>
  </si>
  <si>
    <t>Josef Clá, Blas</t>
  </si>
  <si>
    <t>Blas Josef Clá</t>
  </si>
  <si>
    <t>de Goatemala á D. Antonio Carbonell: para la Maestrescolía á D. Antonio García: para la Tesorería á D. Blas Josef Clá; y para la Canongía que este dexa á D. Bernardo Martínez, Cura .mas antiguo de la misma Catedral. Para Canónigo de la de la Paz á D. Mariano Perez Uriondo: para la Ración que este</t>
  </si>
  <si>
    <t>Josef Clavijo Faxardo</t>
  </si>
  <si>
    <t>n francés por su discípulo el Conde de la Cépede, de varias Academias y Sociedades, y traducida por D. Josef Clavijo Faxardo, del Consejo de S. M. en el de Hacienda, Director jubilado del Real Gabinete de Historia natural, y miembro de las Academias de Historia natural de Berlín y de Copenhague*. tomo 2</t>
  </si>
  <si>
    <t>Josef Cleto Gamboa</t>
  </si>
  <si>
    <t>de Chantre de la Catedral de Truxillo, en el Perú, vacante por muerte de D. Agustín de Simancas, á D. Josef Cleto Gamboa, Doctoral de la misma: para Canónigo de la de ValladoLid de Mechoacan á D. Sebastian Betancourt: para la Ración que dexa á D. Josef Florez Estrada; y para la Media-Ración que resu</t>
  </si>
  <si>
    <t>Josef Climent</t>
  </si>
  <si>
    <t>hallarán en la librería de Burguillos, frente al cementerio de S. Sebastian. Sermones del limo. Sr. D. Josef Climent, Obispo de Barcelona: 2 tomos en 4® Se hallarán en la librería de la viuda de Quiroga, calle de las Carretas; y en Barcelona en casa de la viuda de Plá._En las mismas librerías se</t>
  </si>
  <si>
    <t>Josef Cobos</t>
  </si>
  <si>
    <t>hacer postura acuda ante dicho Juez Comisionado Real, por la escribanía de la comisión al cargo de D. Josef Cobos, dentro del término de 30 dias contados desde el 18 del corriente. Por providencia dél Sr. D. Torquato Antonio Collado, Teniente Corregidor de esta villa, se ha mandado volver á s</t>
  </si>
  <si>
    <t>Josef Corneiio Guerrero</t>
  </si>
  <si>
    <t>lo; á Teniente de granaderos al,de fusileros D. Joaquín Chamorro; y de fusileros á los Subtenientes D. Josef Corneiio Guerrero, de granaderos, D. Faustino Bermudez y D. Hermenegildo ligarte ; á Subteniente de granaderos al de fusileros D. Josef Rosario Rodriguez, y de fusileros á D. Juan Cerda y D. Josef</t>
  </si>
  <si>
    <t>Josef Corona, Nicolás</t>
  </si>
  <si>
    <t>Nicolás Josef Corona</t>
  </si>
  <si>
    <t>Sonsonate á D. Bernardo Domínguez, electo para el de Contador de las de Omoa; y para esta resulta á D. Nicolás Josef Corona, Oficial quarto de la Contaduría de exército de Goatemala. Por decreto del Real Consejo de las Ordenes de 20 de Mayo próximo pasado se halla aprobado el remate celebrado en esta C</t>
  </si>
  <si>
    <t>Josef Correa</t>
  </si>
  <si>
    <t>nada á los Subtenientes D. Juan Obregon, D. Antonio Conde, D. Josef Herrera, D. Antonio Villaarnil, D. Josef Correa y D. Pedro Martinez Coronado: á Subtenientes de granaderos de los de Guadix, Santiago y Tuy á los de fusileros D. Juan de Isla, D. Antonio Miranda y D. Josef Benito Barbeyto; y á Subt</t>
  </si>
  <si>
    <t>Josef Cortés, Antonio</t>
  </si>
  <si>
    <t>Antonio Josef Cortés</t>
  </si>
  <si>
    <t>Rey se ha.idignado nombrar para f la Vara de Alcalde mayor dé la ciudad de Xerez de la Rro.nte.ra á D. Antonio Josef Cortés; y para lá de la villa de Tobarra á D. Juan Pedro Navarro Arbizu. En América. -En el Batallón-auxiliar del Nuevo Reyno de Granada se -ha dignado S. M. conferir Compañía de granade</t>
  </si>
  <si>
    <t>Josef Cotos</t>
  </si>
  <si>
    <t>o Juez Comisionado Real, dentro de 30 días contados desde el 18 del corriente, por la escribanía de D. Josef Cotos, donde se informará del por menor, circunstancias y precio de cada uua de las expresadas fincas. Se halla vacante la plaza de Médico titular de la villa de Villamayor de Santiago,</t>
  </si>
  <si>
    <t>Josef Covos</t>
  </si>
  <si>
    <t>postura á dichas tres suertes juntas 6 separadas, acuda á la escribanía de la comisión, que exerce D. Josef Covos, dentro de 30 dias contados desde el 16 del corriente. Por providencias del Sr. D. Torquato Antonio Collado, Teniente Corregidor de esta villa, executoriadas por el Consejo, y par</t>
  </si>
  <si>
    <t>érmino de 15 dias contados desde el 15 del corriente, por la escribanía de la comisión, al cargo de D. Josef Covos, donde se informará á los licitadores de las circunstancias y precio de cada una de las expresadas fincas. El Sr. D. Antonio Cano Manuel, del Consejo de S. M., su Alcalde en la Re</t>
  </si>
  <si>
    <t>ciado en 725,332 rs. Quien quisiere hacer postura acuda á la escribanía de la comisión, al cargo de D. Josef Covos, dentro del término de 15 dias contados desde el 30 del corriente. El Sr. Intendente de esta Provincia, por su decreto de 16 del corriente, ha aprobado el remate de una casa sita</t>
  </si>
  <si>
    <t>rs. 25 mrs. Quien quisiere hacer postura acuda á la escribanía de la comisión, que está al cargo de D. Josef Covos, dentro del término de 30 dias contados desde el 14 de Setiembre próximo pasado. A la dehesa nombrada de Quemad illas, situada en la ribera del rio Guadalquivir, término de la ciu</t>
  </si>
  <si>
    <t>Estéban de la Madrid, Juez Comisionado Real en Toledo, por la escribanía de la comisión ál cargo de D. Josef Covos;en la inteligencia de que el dia 20 del corriente se ha de celebrar dicho remate. Por providencia de D. Estéban de la Madrid, Juez Comisionado Real en la ciudad de Toledo, se saca</t>
  </si>
  <si>
    <t>Josef Coyes</t>
  </si>
  <si>
    <t>postura á dichas dos yugadas juntas ó separadas acuda por la escribanía de la comisión , que exerce D. Josef Coyes, dentro de 30 dias contados desde el 15 de Mayo próximo pasado. El Corregidor de la ciudad de Ciudad-Real ha mandado subastar un molino harinero y una dehesa intitulada del Empera</t>
  </si>
  <si>
    <t>Josef Cutoli</t>
  </si>
  <si>
    <t>asase á aquel parage un destacamento de 36 hombres dei Regimiento de Navarra, al mando del Teniente D. Josef Cutoli, el qual llegó con tanta diligencia y oportunidad, que sorprehendida y atacada la poca gente que quedó custodiando las lanchas, tuviéron que dar la vela precipitadamente, sufriend</t>
  </si>
  <si>
    <t>Josef de Abreu y del Moral</t>
  </si>
  <si>
    <t>. Los profesores que aspiren á dicha plaza dirigirán sus memoriales al Alcalde mayor de dicha villa D. Josef de Abreu y del Moral, expresivos de sus méritos, práctica y estudios, para que se puedan tomar los informes debidos hasta el día 2 de Noviembre próximo, en que ha de proveerse en el mas benemérito. D.</t>
  </si>
  <si>
    <t>Josef de Albert</t>
  </si>
  <si>
    <t>ontados desde el 20 del presente, al Tribunal de la Visita 'eclesiástica dé éáW Córfe¡¡ y oficio de D. Josef de Albert , Notario may or de él. A voluntad de su dueño se vende ú“na casa sita en la calle de S. Lúeas, barrios del Barquillo, núm. 10, manz‘-3:24.. Quien quisiere tratar de su ajuste acu</t>
  </si>
  <si>
    <t>Josef de Alfaro, Juan</t>
  </si>
  <si>
    <t>Juan Josef de Alfaro</t>
  </si>
  <si>
    <t>: para el de la ciudad dé Baza á D. Manuel Antonio Beyan Escudero: para el de la ciudad de Alfaro á D. Juan Josef de Alfaro: para el Corrigimiento político de la ciudad de León á D. Rafael Márquez y Fleuriot; y para lá Vara de Alcalde mayor de la ciudad de Sigiienza á D. Juan Josef de Llovés y Rapela.</t>
  </si>
  <si>
    <t>Josef de Anduiga</t>
  </si>
  <si>
    <t>an para zarpar que el viento cayese mas al Este, i HOLANDA. Haya 24 de Noviembre. El 23 el Exc. Sr. D. Josef de Anduiga há presentado á S. M. sus credenciales, como Enviado extraordinario y Ministro Plenipotenciario de S. M. Católica; y en seguida presentó á S. M. al Exc. Sr. D. Eugenio Izquierdo ,</t>
  </si>
  <si>
    <t>Josef de Aranda</t>
  </si>
  <si>
    <t>miento de caballería de la Reyna se ha dignado S. M. conceder empleo, de Alférez al Portaestandarte D. Josef de Aranda : en el de Santiago Tenencia al Alférez D. Josef Iñigo ; y empleos de Portaestandartes en el referido de, Santiago y en el de Montesa al Sargento primero Don Josef de Silva y al C</t>
  </si>
  <si>
    <t>Josef de Arias</t>
  </si>
  <si>
    <t>go al de fusileros D. Fermín Ramírez Pizarro; y de Subteniente de bandera en el de Guadix al Cadete D. Josef de Arias. t . El Rey ha nombrado Maestro Armero de Artillería de la plaza de Zamora á Vicente Herrarte. S. M. se ha servido nombrar para una plaza de Oidor de la Real Audiencia de Aragón,</t>
  </si>
  <si>
    <t>Josef de Asso</t>
  </si>
  <si>
    <t>aca el Aguila que llevaba, y se la dio á Mr. Obercamp. ESPAÑA. Madrid 15 de Julio. Por promoción de D. Josef de Asso á la Dignidad de Dean de íá Catedral de Jaca se ha servido S. M. nombrar para la Canongia que obtenía en</t>
  </si>
  <si>
    <t>Josef de Biedma</t>
  </si>
  <si>
    <t>la utilidad y necesidad de esta ciencia con un elegante discurso. _ A continuación los examinadores D. Josef de Biedma, Capellán de Honor de S. M. en la Real Capilla de esta capital, el Marques del Cerro de la Cabeza y D. Juan Bautista Salazar exercitáron en varios ramos de las Matemáticas á los d</t>
  </si>
  <si>
    <t>Josef de Bustamañte</t>
  </si>
  <si>
    <t>de Generales, nombrada por S.M.para exáminar las operaciones'del Gefe de Esqúadra de la Real Armada D. Josef dé Bustamañte f</t>
  </si>
  <si>
    <t>Josef de Bustamante</t>
  </si>
  <si>
    <t>a acertada derrota de la navegación, y en el encuentro y combate con las fragatas Inglesas procedió D. Josef de Bustamante con todo el pulso que se requería para evitar el insulto iptentado, y quando fué inevitable la acción trabó el combate, y le sostuvo hasta donde lo permitieron las circunstancias</t>
  </si>
  <si>
    <t>Josef de Cárdenas</t>
  </si>
  <si>
    <t>Ayudantes, graduados de Capitán, D. Diego Aguirre y D. Manuel Samaniego: Ayudantías á los Tenientes D. Josef de Cárdenas y D. Lu is Rey: Tenencias á los Alféreces D. Cristóbal Perez, D. Lúeas de ~la Peña y D. Josef Alberch ¿empleos de Alférez á los Portaestandartes Don **Pablo Solana, D. Josef de Torres</t>
  </si>
  <si>
    <t>Josef de Careaga Xibaje y Ballesteros</t>
  </si>
  <si>
    <t>Voluntarios de Aragón ai Cadete D. Josef Villalon. En atención á la calidad, enlaces y servicios de D. Josef de Careaga Xibaje y Ballesteros, Regidor preeminente y Alférez mayor perpetuo de la ciudad de Almería, y de sus ascendientes, ha venido ei Rey en hacerle merced de Título de Castilla para sí, sus hijos y sucesor</t>
  </si>
  <si>
    <t>Josef de Castro</t>
  </si>
  <si>
    <t>D. Sebastian Gorvea y D. Ramón de Zuloaga: los gefes de trozo D. Pedro Tavira, D. Manuel Ferrando, D. Josef de Castro, Cadete de Reales Guardias Walonas, Don Josef Fernandez, D. Josef Martínez , D. Manuel Cámara y D. Faustino Vitorica; y los Seminaristas D. Pedro Cendeja, D. Manuel Abbad, D. Carl</t>
  </si>
  <si>
    <t>a, D. Ramón Carrillo y D. Manuel Fernandez: los Gefes de trozo D. Pedro Tavira, D. Manuel Ferrando, D. Josef de Castro, Cadete de Reales Guardias Walonas, Don Josef Fernandez, D. Josef Martínez, D. Manuel Cámara y D. Manuel Abbad: y los Seminaristas D. Ceferino Carrillo, D. Toribio Olalde, Don Ped</t>
  </si>
  <si>
    <t>Josef de Covos</t>
  </si>
  <si>
    <t>r ante el citado Sr. Intendente de Toledo, por la escribanía numeraria y de Intendencia, que exerce D. Josef de Covos; en lá inteligencia dé que'</t>
  </si>
  <si>
    <t>Josef de Coyos</t>
  </si>
  <si>
    <t>isiere hacer postura 4 dicha finca comparezca á hacerla ante dicho Intendente, por la escribanía de Don Josef de Coyos, ,dentro del término de 30 dias contados desde el 6 del presente. T°r providencia del Sr. D. León de Sagasíta, Teniente Corregidor de esta villa, y a instancia de los Síndicos nom</t>
  </si>
  <si>
    <t>Josef de Espejo</t>
  </si>
  <si>
    <t>Juan Bautista de Cerda y Belda; y ha conferido el empleo de segundo Teniente de la misme Compañía á D. Josef de Espejo, Exento del Real cuerpo de Guardias de Corps. S. M. se ha servido conceder Ayudantía en el Regimiento de infantería del Príncipe al Teniente, graduado de Capitán, D. Juan Ximenez:</t>
  </si>
  <si>
    <t>Josef de Esquivel</t>
  </si>
  <si>
    <t>raordinario de instrucción religiosa los Caballeros Gefe de sala D. Alonso Alvarado, Gefes de trozo D. Josef de Esquivel, D. Manuel Cámara y D. Faustino Vitori• ca, y Seminaristas D. Gerónimo y D. Juan Maza, y D. Sebastian Fernandez Navarrete, quienes diéron por sentado que la Religión Cristiana es</t>
  </si>
  <si>
    <t>Josef de Falla y la Fuente</t>
  </si>
  <si>
    <t>aenz y Angulo y D. Diego Magnes: á Teniente de fusileros del de Laredo al Subteniente de granaderos D. Josef de Falla y la Fuente; y á Subteniente de bandera del de Sevilla á D. Cayetano de la Escalera. El Rey ha conferido empleo de Comisario de Guerra de sus:Exércitosá D. Ignacio García Malo, ¿ . S. M. ha n</t>
  </si>
  <si>
    <t>Josef de Francia, Príncipe</t>
  </si>
  <si>
    <t>Príncipe Josef de Francia</t>
  </si>
  <si>
    <t>el exemplo de la Corte de las DosSicilias, y se ha embarcado igualmente. Florencia 24 de Enero. El Príncipe Josef de Francia llegó aquí el martes último á las 5 de la tarde, y se apeó en la fonda del Aguila Negra. Luego que S.M. la Reyna Regente tuvo noticia de su arribo, hizo cumplimentar á S. A. I. po</t>
  </si>
  <si>
    <t>n aquella dudad las órdenes de S. M. I. sobre el particular. ITALIA. Roma 2 6 de Enero. S. A. I. el Príncipe Josef de Francia ha salido de esta capital para Albano, en donde se halla el quartel general. Los Mariscales Ney y Soult hacen parte de la numerosa comitiva ae aquel Príncipe. El Mariscal Massena,</t>
  </si>
  <si>
    <t>Josef de Gard</t>
  </si>
  <si>
    <t>Teniente Coronel del mismo: para esta resulta á D. Josef Bay, y para el empleo de Sargento mayor á D. Josef de Gard, ámbos Capitanes dei propio Cuerpo: para las dos Subtenencias de bandera de nueva creación á D. Pedro Antonio de Preux y á D. Josef Melchor de Montheys; Subteniente de granaderos</t>
  </si>
  <si>
    <t>Josef de Guevara Vasconcelos</t>
  </si>
  <si>
    <t>uan: para otro igual de la Parroquia de S. Andrés de la ciudad de Murcia , vacante por promoción de D. Josef de Guevara Vasconcelos á Canongía de la Catedral de Zaragoza, á D. Francisco Baltar y Acedo : para el Beneficio simple de Bascones, en la Diócesi de Palencia, vacante por promoción de D. Gaspar Beltran</t>
  </si>
  <si>
    <t>Josef de Heredia</t>
  </si>
  <si>
    <t>mbre. S. M. se ha servido nombrar para una Canongía vacante en la Catedral de Oviedo, por muerte de D. Josef de Heredia, á D. Alonso de Castro, Cura Párroco de ja villa del Ferrol; para el Beneficio servidero de Sta. María del Castillo de la villa de Alburquerque en la Diócesi de* Badajoz , vacante</t>
  </si>
  <si>
    <t>Josef de Herrera</t>
  </si>
  <si>
    <t>a del Tribunal del Consulado de Cádiz, de 13 de Oc- tubre próximo pasado, en autos de acreedores de D. Josef de Herrera y: su tesra- ' mentaría,^ nú ni* 8, del año de 1791, se manda emplazar á todo el'que sé estime . con derecho á loe bienes de.dicha dependencia, para que acuda á formalizarlo en ei p</t>
  </si>
  <si>
    <t>Josef de Ibarra</t>
  </si>
  <si>
    <t>a conjunción por la del fin, en la que tengo bastante seguridad, y estuvimos muy acordes el Caoitan D. Josef de Ibarra y yo, que observamos con anteojos de igual. fuerza----- La latitud de dicho Observatorio, deducida de algunas alturas de Sol y Estrellas es de 40o 25' oo/;,ó , y la hora en que se per</t>
  </si>
  <si>
    <t>Josef de Iturrígaray</t>
  </si>
  <si>
    <t>ncisco Céspedes, Alférez del Regimiento de caballería delPríncrpe;y ha nombrado para esta resulta á Don Josef de Iturrígaray, Carabinero de distinción de dicha Real Brigada. En América. §. M. se ha dignado conceder Ayudantías veteranas en los Esquadrones de dragones de Milicias disciplinadas de S. Salva</t>
  </si>
  <si>
    <t>Josef de la Alcázar</t>
  </si>
  <si>
    <t>aza y Don Agustín Manuel de Borricón : de ios^ Caballerizos de Campo D. Fernando María de la Cueva, D. Josef de la Alcázar, D. Joaquin Bermejo y D. Rafael Mateo; y de 8 Pages del Rey, D. Joaquin de la Cueva, D. Manuel Pando, D. Juan de Yanguas, D. Joset María de face, J). Tomas Peñaran</t>
  </si>
  <si>
    <t>Josef de la Baliina</t>
  </si>
  <si>
    <t>por otra casa sita en esta Corte. El que quiera tratar de compra ó de permuta, acuda al Arquitecto D. Josef de la Baliina , plazuela de las Descalzas Reales. A voluntad de su dueño so vende una casa sita en esta Corte en la calle de la • Cruz del Espíritu Santo, que vuelve haciendo esquina á la corre</t>
  </si>
  <si>
    <t>Josef de la Peña</t>
  </si>
  <si>
    <t>dera al Cadete D. Josef Menendez Cornellana: en el de Granada Tenencia al Subteniente de granaderos D. Josef de la Peña; y Subtenencia de bandera al Cadete D. Josef Caturla: en el Regimiento Suizo de Reding, cuín. 3.°j se ha servido S. M. promover á Capitán segundo al Teniente de granaderos D. Jose</t>
  </si>
  <si>
    <t>Josef de la Pipa</t>
  </si>
  <si>
    <t>jar el nombre augusto de su benéfico Monarca. Agricultura. Seiscientos reales á Josef de la Pipa, vecino delJugar de Nie-* ves, Parroquia de Santiago de Bueres, Concejo de Caso, por. haber seni¿ brado 13 dias de bueyes de nabos gallegos éntre el niaiz, quando se trabajaba de arredond</t>
  </si>
  <si>
    <t>Josef de la Torre</t>
  </si>
  <si>
    <t>ámara de Indias, departamento del Reyno de Nueva-España, vacante por muerte de D. Francisco Soto, á D. Josef de la Torre, Oficial segundo; declarando al mismo tiempo los ascensos á los demas, y confiriendo la última de número á D. Baltasar Santos Maldonado. D. Ramón Antonio Moreno, del comercio de G</t>
  </si>
  <si>
    <t>Josef de la Valle, Juan</t>
  </si>
  <si>
    <t>Juan Josef de la Valle</t>
  </si>
  <si>
    <t>á esta resulta al Subte-r niente D. Domingo de Castro; á Subteniente de granaderos al de fusileros D. Juan Josef de la Valle; y á Subteniente de bandera al Sargento primero JO. Frapcisco Rodríguez. Rn Ja extracción extraordinaria de la Real lotería, ejecutada el Iúnes 31 de Marzo, salieron los números 5</t>
  </si>
  <si>
    <t>Josef de las Heras</t>
  </si>
  <si>
    <t>acante en la Colegial de Alfaro, Diócesi de Tarazona, por fallecimiento de D. Manuel de Orturbia, á D. Josef de las Heras, Beneficiado de la Iglesia de nuestra Señora del Burgo de la expresada ciudad; para otra en la Colegial del Sacromonte de Granada, vacante por promoción de D. Agustín Diez de Lara</t>
  </si>
  <si>
    <t>Josef de Llovés y Rapela, Juan</t>
  </si>
  <si>
    <t>Juan Josef de Llovés y Rapela</t>
  </si>
  <si>
    <t>de León á D. Rafael Márquez y Fleuriot; y para lá Vara de Alcalde mayor de la ciudad de Sigiienza á D. Juan Josef de Llovés y Rapela. S. M. se ha servido conferir la Comandancia general de la costa1 de Asturias y Santander al Brigadier D. Juan Crisóstomo de la Llave, Coronel del Regimiento de infanteria.de Vale</t>
  </si>
  <si>
    <t>Josef de los Reyes</t>
  </si>
  <si>
    <t>aíez,Nogoña yDoiij josef Ca?amitj:ina, y á Alféreces ai Sargento D. Lorenzo .Boniq.uet y al? Cadete D. Josef de los Reyes: en el esquadron de dragones de América^ también ñxo de la misma plaza, á Teniente al graduado D. Eugenio Fer-, nandez, Alférez del propio cuerpo ;á Alférez ai Portaestandarte D.</t>
  </si>
  <si>
    <t>Josef de los Ríos y Gamez</t>
  </si>
  <si>
    <t>a Colegial deS- Hipólito de la ciudad de Córdoba ppr fallecimiento de D. Tosef Francisco Camacho, á D. Josef de los Ríos y Gamez: para otras dos Canoncías de la Colegial de Sfa. María de Alcázar y S. Andrés de la ciudad de Baeza, Diócesi de Jaén, vacantes per muerte de D. Miguel Rodríguez y D. Antonio Joaqu</t>
  </si>
  <si>
    <t>Josef de Marcoleta, Pedro</t>
  </si>
  <si>
    <t>Pedro Josef de Marcoleta</t>
  </si>
  <si>
    <t>de Arsú, D. Pedro Ladrón de Guevara, D. Juan de Xaramillo, D. Carlos Brasé, D. Josef García Aleson, Don Pedro Josef de Marcoleta, D. Dionisio Hurtado de Mendoza y D. Josef Navarro del Dosal: de los Monteros de Guarda y Cámara de S. M. Don Josef Solana, D. Ignacio García de Diego, D. César Madrazo, D. Félix</t>
  </si>
  <si>
    <t>Josef de Mazarrcdo</t>
  </si>
  <si>
    <t>rio de Cádiz 2i7/,j de tiempo. En Pamplona lo observó también el Teniente General de la Real Armada D. Josef de Mazarrcdo, en la calle de la Pellegería, 300 varas al SO£ S de la medianía del palacio del Sr. Virey. La latitud de esta casa es de 42* 49' 50": esta observación fué hecha con un anteojo de</t>
  </si>
  <si>
    <t>Josef de Molina y Muñoz, Pedro</t>
  </si>
  <si>
    <t>Pedro Josef de Molina y Muñoz</t>
  </si>
  <si>
    <t>dignado nombrar para la plaza de Regente de la Real Audiencia de Extremadura, por fallecimiento de D. Pedro Josef de Molina y Muñoz, á D. Francisco Ibañez de Leyva, Oidor de la misma: para la de Oidor que este dexa, á D. Josef López de Vinuesa, Alcalde del Crimen mas antiguo de la misma: para esta resulta, á D</t>
  </si>
  <si>
    <t>Josef de Murga y Aguirre</t>
  </si>
  <si>
    <t>niente en el mismo Cuerpo al Alférez D. Josef. Molina. . # En atención á los méritos y servicios de D. Josef de Murga y Aguirre, del Comercio de Madrid, se ha servido el Rey concederle los honores de la Junta' de Comercio y Moneda. • i: En América. En el Regimiento de dragones de Buenos-Ayres sé ha servido</t>
  </si>
  <si>
    <t>Josef de Nueros</t>
  </si>
  <si>
    <t>Catedral de Toledo. El Rey se ha servido promover á Mariscal dé Campó de sus Exdrcitós al Brigadier D. Josef de Nueros, Coronel del Regimiento de caballería de Algarbe. S. M. se ha servido conceder Tenencia en el Regimiento de infantería de Toledo al Subteniente de granaderos D. Pedro Morell; y Su</t>
  </si>
  <si>
    <t>Josef de Planasj la Ayudantía</t>
  </si>
  <si>
    <t>Márquez, Sargento mayor del.de Córdoba ; Compañía en aquel Cuerpo al Ayudante, graduado de Capitán, D. Josef de Planasj la Ayudantía que est^fdexa al</t>
  </si>
  <si>
    <t>Josef de Santiago Concha</t>
  </si>
  <si>
    <t>ue este dexa al Alcalde del Crimen de ella D. Josef Baquixano : para esta resulta al Oidor de Chile D. Josef de Santiago Concha; y para esta plaza á D. Josef Acevedo y Salazar. El Mercurio de España de 30 de Junio, núm. 12, se hallará en el despacho de la Imprenta Real; en el Real Sitio de S..Ildefonso en</t>
  </si>
  <si>
    <t>Josef de Santos</t>
  </si>
  <si>
    <t>a Historia Eclesiástica, en verso, por el P. Francisco de Isla, concluido hasta el año presente por D. Josef de Santos, á que sigue el Sumario de la Historia de España. Se hallará, con las demas obras del autor, en la librería de Villa y puesto del Diario, plazuela de Santo Domingo. El año mas mem</t>
  </si>
  <si>
    <t>Josef de Silva</t>
  </si>
  <si>
    <t>; y empleos de Portaestandartes en el referido de, Santiago y en el de Montesa al Sargento primero Don Josef de Silva y al Cadete D. Manuel de Castro. • En América. S. M. se ha dignado conceder la Sargentía mayor de la plaza de la Havar.a á D. Josef Ovando,’ Teniente Coronel agregado al Regimiento</t>
  </si>
  <si>
    <t>Josef de Soria</t>
  </si>
  <si>
    <t>e por fallecimiento de D. Lorenzo Vérges , habiendo causado otra en este inte*medio la promoción de D. Josef de Soria á Médico de Cámara de S. M., fe ha conformado dicho Sr. Mayordomo mayor, árepresentación de la Real Junta superior gubernativa de Medicina, en prorogar .él término de dicho concur</t>
  </si>
  <si>
    <t>Josef de Torres</t>
  </si>
  <si>
    <t>Lúeas de ~la Peña y D. Josef Alberch ¿empleos de Alférez á los Portaestandartes Don **Pablo Solana, D. Josef de Torres y D. Juan de Cuellar, y el de Portaestandartes á los Cadetes D. Vicente Requesens y D. Ignacio Foxa, y al Sargento primero D. Cristóbal Blasco. También se ha servido el Rey conferir e</t>
  </si>
  <si>
    <t>Josef de Vey, Antonio</t>
  </si>
  <si>
    <t>Antonio Josef de Vey</t>
  </si>
  <si>
    <t>cisco Menocal: esta resulta al de fusileros D. Pedro Armenteros, y Subtenencia de bandera al Cadete D. Antonio Josef de Vey.tia: Compañía en eFRatallon de las, Quatro Villas á D. Antonio Josef Madrigal, Subteniente del mismo; y Subtenencia de bandera al Cadete D. Esteban Pérez Jusfiniani: empleo de Alf</t>
  </si>
  <si>
    <t>Josef de Viv'anco</t>
  </si>
  <si>
    <t>ado S. M. promover á Subinspector del departamento de Cartagena al Gefe de Escuela del de la Coruña D. Josef de Viv'anco; á Gefe de Escuela al Coronel D. Luis de Villava; á Coronel al Teniente Coronel, graduado de Coronel, D. Martin García de Loygorri, y á Teniente Coronel al Gefe de Brigada, gradua</t>
  </si>
  <si>
    <t>Josef de Vivanco y Barco</t>
  </si>
  <si>
    <t>y D. Ramón. Gas trillo; y las Subtenencias de bandera de los de Laredo, Sevilla, Ecija y, Orense á D. Josef de Vivanco y Barco, ■Dí Cayetano García Limones, D.-Antonio Alvarez Guerrero y D. Josef Gallego. • En América. En el Regimiento de Milicias disciplinadas de Infantería de Puerto-Rico se ha servido e</t>
  </si>
  <si>
    <t>Josef de Vivar</t>
  </si>
  <si>
    <t>f Andrés VUlaseñor, Subteniente de granaderos del de Alcázar de ^ S. Juan, Tenencia de fusileros; á D. Josef de Vivar, Subteniente del de Granada, la Subtenencia de granaderos del mismo, y á D. Víctor Fernán- , dez Alexo la Subtenencia de bandera del de Cuenca. El Rey se ha dignado conferir el em</t>
  </si>
  <si>
    <t>Josef de Zayas</t>
  </si>
  <si>
    <t>ústica y 136 en pasta. Nuevo método del solfeo práctico en 132 lecciones, compuestas por el difunto D. Josef de Zayas y por D. Josef Lidon, Maestro de la Real Capilla, y Rector del Colegio de niños cantores de S. M* —En el tomo i.° se enseña el solfeo por las siete llaves naturales, y en el 2.0 se</t>
  </si>
  <si>
    <t>Josef del Barrio</t>
  </si>
  <si>
    <t>l año de 1776 se tasó en 21,230 rs. Quien quisiere tratar de ajuste acuda á la tienda de lienzos de D. Josef del Barrio, en la calle de Postas, esquina á la de la Sal, en donde informarán de las condiciones de la venta. Se halla vacante la plaza de Maestro de Gramática latina de la villa del Casar</t>
  </si>
  <si>
    <t>Josef del Trell</t>
  </si>
  <si>
    <t>ases. En el Regimiento de infantería de Zamora se ha servido S. M. conceder Tenencia al Subteniente D. Josef del Trell, y Subtenencia de bandera al Sargento primero D. Pedro Bonilla. En los Regimientos de Milicias Provinciales ha promovido S. M* á Tenientes de granaderos dé los de Logroño y Alcáza</t>
  </si>
  <si>
    <t>Josef Díaz Pedregal y Peón</t>
  </si>
  <si>
    <t>bienhechora, y empeñando más y mas su amor al trabajo. __^$iguió otro discurso del socio de mérito Don Josef Díaz Pedregal y Peón, Vice-Secretario, en el que, deSpues de felicitar al Cuerpo patriótico por el júbilo con que celebraba los dias de su Ca-i tólico Monarca, su padre y protector, manifestó la perfe</t>
  </si>
  <si>
    <t>Josef Domingo Cortavarría</t>
  </si>
  <si>
    <t>ropia Colegiata: para tres Medias-Raciones, vacantes en la» Iglesia de la Puebla de los Angeles , á D. Josef Domingo Cortavarría, Cura en el Obispado de Oaxaca; á D. Mariano Josef Cabo-Franco, Presbítero del Arzobispado de México, y á D. Ignacio de Garnica. Asimismo se ha servido S. M. nombrar para la plaza</t>
  </si>
  <si>
    <t>Josef Duaso</t>
  </si>
  <si>
    <t>Don Juan Guillen, D. Agustín Librero, D. Nicolás Esterripa, D. Manuel Gallardo, D. Vicente Navarro, D. Josef Duaso, y D. Blas de Toro, Maestro de Ceremonias de la Real Capilla, de los Gentileshombres de Boca y Casa D. Vicente Lanz, D. Manuel Salazar, D. Manuel Pascual y Oto, D. Benito de Prado</t>
  </si>
  <si>
    <t>Josef Duran</t>
  </si>
  <si>
    <t>nceder Ayudantía Veterana en el Regimiento de Milicias disciplinadas de caballería de Puerto-Rico á D. Josef Duran, Alférez del de caballería del'Príncipe. En los cuerpos de Milicias disciplinadas de la isla de Cuba se ha dignado S. M. conceder Tenencia Veterana en el Batallón de Cuba y Bayamo</t>
  </si>
  <si>
    <t>Josef Echagaray, Luis</t>
  </si>
  <si>
    <t>Luis Josef Echagaray</t>
  </si>
  <si>
    <t>s,en América, vacante por ascenso de D.Luis Josef Pimienta á la Dignidad de Tesorero de la misma, á D. Luis Josef Echagaray; y para la Doctoral de la propia Iglesia á D. Vicente Marimon y Henriquez, Promotor Fiscal de aquel Obispado. S. M. se ha dignado conferir el Gobierno Militar y Político de Popaya</t>
  </si>
  <si>
    <t>Josef Eligió</t>
  </si>
  <si>
    <t>ba á Capitán al Teniente de granaderos D. Gil Josef Pacot; á Teniente de granaderos al de fusileros D. Josef Eligió; á Teniente de fusileros al Subteniente de granaderos D. Joaquín de la Torre y Duarte; á esta resulta al Subteniente de fusileros D. Domingo Gallegos, á Subteniente de fusileros a</t>
  </si>
  <si>
    <t>Josef Escher</t>
  </si>
  <si>
    <t>M. se ha servido conceder en el Regimiento Suizo de Preux empleos de Capitanes segundos al Ayudante D. Josef Escher y ai Teniente de granaderos D. Francisco de Preux, y estas resultas á los Tenientes D. Juan Baptista Duc y D. Mauricio Zenkfusen: en el de Wimpífen Subtenencia de bandera al Cadete</t>
  </si>
  <si>
    <t>Josef Esparter</t>
  </si>
  <si>
    <t>eneficio residencial de Sta. María del Mar de la ciudad de Barcelona , vacante por fallecimiento de D. Josef Esparter, á D. Pedro Ferres y Parella; y para otros dos Beneficios residenciales de la Catedral de Gerona, vacantes por promoción de D. Josef Ferrer á Canongía de la Colegiata de S. Feliu,</t>
  </si>
  <si>
    <t>Josef Espinosa</t>
  </si>
  <si>
    <t>éreces á ios Sargentos primeros D. Agustín Perez y D. Manuel Antonio Aldaco, y á Portaestandartes á D. Josef Espinosa y D. Antonio Velasco, también Sargentos primeros del mismo Cuerpo. En las Compañías de</t>
  </si>
  <si>
    <t>o próximo, si precede postor, en las casas consistoriales de la referida ciudad. Por providencia de D. Josef Espinosa, Juez Real Comisionado en el Arzobis-' pado de Toledo y provincia de la Mancha para la venta de bienes eclesiásticos, re-1 aidetite en Ciudad-Real, se está subastando la dehesa de</t>
  </si>
  <si>
    <t>e mismo juzgado en las especies dichas de dinero metálico sonante, con, exclusión de todo papeh Por D. Josef Espinosa, Juez comisionado para la venta de bienes eclesiásticos en la Diócesi de Ciudad-Real, y otros pertenecientes á obras pías, se ha rematado Ja dehesa intitulada de Marta, sita en lo</t>
  </si>
  <si>
    <t>inteligencia .de que está señalado el dia 22 de Octubre próximo para su remate. Por providencia de D. Josef Espinosa, Juez Comisionado Regio para la venta de bienes eclesiásticos de la Provincia de la Mancha, se está subastando la dehesa del Retazo, sita en el término dc-la villa de la Calzada,</t>
  </si>
  <si>
    <t>Josef Espitios</t>
  </si>
  <si>
    <t>rvido nombrar para una Canongía de la Colegiata de Santa Ana de Barcelona, vacante por promoción de D. Josef Espitios á otra de aquella Catedral, á D. Ramón Basart: para un Beneficio de la Parroquia de Cardedeu, Diócesi de Barcelona , vacante por promoción de D. Francisco Roquer al Curato de Valc</t>
  </si>
  <si>
    <t>Josef Eugenio de Elias</t>
  </si>
  <si>
    <t>Garnica. Asimismo se ha servido S. M. nombrar para la plaza de Asesor del Gobierno de Montevideo á D. Josef Eugenio de Elias, Abogado de la Audiencia de Charcas; y para la Administración del Hospital de Naturales de México á D. Manuel Francisco de Noriega. En el Regimiento de infantería de México se ha</t>
  </si>
  <si>
    <t>Josef Febrero</t>
  </si>
  <si>
    <t>o Fernandez. Tercera edición del Febrero reformado y anotado, ó Librería de Escribanos, que compuso D. Josef Febrero, Escribano Real, y ha reformado en su lenguage, estilo, método y muchas de sus doctrinas, ilustrándola y enriqueciéndola con varias notas y adiciones, para que se han tenido prese</t>
  </si>
  <si>
    <t>Josef Fernández</t>
  </si>
  <si>
    <t>e trozo D. Pedro Tavira, D. Manuel Ferrando, D. Josef de Castro, Cadete de Reales Guardias Walonas, Don Josef Fernandez, D. Josef Martínez , D. Manuel Cámara y D. Faustino Vitorica; y los Seminaristas D. Pedro Cendeja, D. Manuel Abbad, D. Carlos Van-Zoelen, D. Juan Ortiz de Zarate, D. Sebastian de</t>
  </si>
  <si>
    <t>nsulado de Cádiz, de 30 de Junio de este año,, se manda citar á todos los acreedores al concurso de D. Josef Fernandez de</t>
  </si>
  <si>
    <t>e trozo D. Pedro Tavira, D. Manuel Ferrando, D. Josef de Castro, Cadete de Reales Guardias Walonas, Don Josef Fernandez, D. Josef Martínez, D. Manuel Cámara y D. Manuel Abbad: y los Seminaristas D. Ceferino Carrillo, D. Toribio Olalde, Don Pedro Sánchez Pavón, D. Juan Ortiz de Zárate, D. Antonio Al</t>
  </si>
  <si>
    <t>Josef Fernández y Garrida</t>
  </si>
  <si>
    <t>r esta lotería, á que no pierdan tiempo en acudir por los billetes que deseen tomar en esta Corte á D. Josef Fernandez y Garrida, Agente de Negocios, que vive plazuela de Truxillos, barrios de S. Martin, núm. 3, y D. Josef Izquierdo, calle Mayor, tienda contigua á la fábrica de Guadalaxara; en Santander los</t>
  </si>
  <si>
    <t>Ja venta de les billetes que quedan todavía para su enagenacion. Se distribuirán en esta Corte por D. Josef Fernandez y Garrida, Agente de Negocios, plazuela de los Truxillos, barrios de S. Martin, núm. 3, &gt; D. Josef Izquierdo, calle Mayor, tienda contigua á Ja Real fábrica de Guabalaxara; en Santander Jos</t>
  </si>
  <si>
    <t>Josef Ferrer</t>
  </si>
  <si>
    <t>ella; y para otros dos Beneficios residenciales de la Catedral de Gerona, vacantes por promoción de D. Josef Ferrer á Canongía de la Colegiata de S. Feliu, y por ascenso de D. Antonio Garrofa, á D. Josef Ros y Pía y á D. Simón Azols: para otro Beneficio, vacante en la Parroquia de País, Diócesi</t>
  </si>
  <si>
    <t>Josef Florez</t>
  </si>
  <si>
    <t>de la Catedral de Durango, en las Provincias internas de Nueva-España, vacante por fallecimiento de D. Josef Florez, á D. Josef Manuel Esquivel, Magistral de ella: para Canongía de la misma, vacante por muerte de D. Julián Valero de Vicente, á D. Pedro Ignacio de Iturribarría: para la Ración qu</t>
  </si>
  <si>
    <t>Josef Florez Estrada</t>
  </si>
  <si>
    <t>para Canónigo de la de ValladoLid de Mechoacan á D. Sebastian Betancourt: para la Ración que dexa á D. Josef Florez Estrada; y para la Media-Ración que resulta á D. Francisco Hilario de Silva, Cura en ía propia Diócesi: para otra Canongía de la Iglesia de Puerto Rico, vacante por fallecimiento de D. Fe</t>
  </si>
  <si>
    <t>Josef Fontanilia</t>
  </si>
  <si>
    <t>en el batallón de infantería ligera de Voluntarios de Tarragona á Subteniente de bandera al Cadete D. Josef Fontanilia. Atendiendo el Rey á los servicios, méritos y circunstancias de D. Francisco de Theran, Subdelegado interino de Rentas en la nueva provincia de Sanlucar de Barrameda, ha venido en</t>
  </si>
  <si>
    <t>Josef Fr</t>
  </si>
  <si>
    <t>tro Beneficio, vacante en la Parroquia de País, Diócesi de Gerona, por muerte de D. Pedro Dalmau, á D. Josef Fr i gol a: para una Ración de la Colegial de Daroca, Diócesi do Zaragoza, á D. Bernabé Sancho; y para un Beneficio de residencia de la Iglesia Parroquial de la villa de Cardona, Dió</t>
  </si>
  <si>
    <t>Josef Francisco Chamorro</t>
  </si>
  <si>
    <t>lo y D. Vicente Castilla, vecinos de la jurisdicción de dicho Cuerpo; y á Subtenientes de bandera á D. Josef Francisco Chamorro y D. Cieto_Avendaño, también vecinos de la propia jurisdicción. ~Con Real permiso en la calle del Caballero de Gracia, níim. 9, quarto segundo, establece D. Miguel Dolz del Castellar,</t>
  </si>
  <si>
    <t>Josef Francisco de Másdevall</t>
  </si>
  <si>
    <t>de Oidor de la Real Audiencia de Cataluña", vacante por fallecimiento" dé D. Buenaventura Ferran, á D. Josef Francisco de Másdevall ; y para la de Alcalde del Crimen que resulta-vacante en la misma Audiencia, á D. Josef Joaquín Ortiz y Galvez, En América. S. M. se ha dignado conceder;Tenencia veterana en la pl</t>
  </si>
  <si>
    <t>Josef Francisco Ortiz</t>
  </si>
  <si>
    <t>mero 283, sobre cuya dependencia se ha establecido cierto convenio entre os acreedores y el Síndico D. Josef Francisco Ortiz, mediante ei qual han sido cedidos á este todos los bienes, fincas, créditos y demas, baxo fianza hipotecaria suficiente, que ha proporcionado; y para que llegue el caso de poders</t>
  </si>
  <si>
    <t>Josef Francisco Suárez</t>
  </si>
  <si>
    <t>de Tesorero de la de Puebla de los Angeles, vacante por fallecimiento de D. Juan Vicente Bernal, ¿ D. Josef Francisco Suarez: para la Canongía de este al Racionero D. Francisco Angel del Camino: para esta Prebenda á D. Gregorio Fernanes; y para la Media-Ración que este dexa al Cura de ia Parroquia de Sa</t>
  </si>
  <si>
    <t>Josef Frayre, Manuel</t>
  </si>
  <si>
    <t>Manuel Josef Frayre</t>
  </si>
  <si>
    <t>20 8 ha dignado el Rey promover á Capitán al Subteniente de granaderos Don Manuel Josef Frayre; á esta resulta ai Subteniente de fusileros D. Manuel Mendez, y á Subteniente de bandera al Cadete D. Josef Simón Ortega. En el Cuerpo de caballería de Blandengues de la frontera</t>
  </si>
  <si>
    <t>Josef Frías y Avilés</t>
  </si>
  <si>
    <t>sta el día i.° de Abril próximo: su dirección debe ser al Escribano del Ayuntamiento de dicho lugar D. Josef Frías y Avilés. Entre las responsabilidades que manifestó D. Juan Josef Baquero, vecino y del comercio de Cádiz, en un papel de comunicato, que está agregado á los autos de testamentaría, pendie</t>
  </si>
  <si>
    <t>Josef Frigola y Fort</t>
  </si>
  <si>
    <t>dencia de la Colegial de Mantesa,, .Diócesi de Vique, vacante por muerte de D.i Jayme Oliveras; y á D. Josef Frigola y Fort para la Capellanía mayor de la Parroquia de. Llaneras, Diócesi de Gerona, vacante, por fallecimiento de D. Julián Ferran... . El Mercurio de España de 15 de Agosto, num. 15, se ha</t>
  </si>
  <si>
    <t>Josef FuentesGonzález Bastillo</t>
  </si>
  <si>
    <t>do relevar de la Regencia de la Audiencia de Quito i D. Pedro Antonio Cernadas, y la ha conferido á D. Josef FuentesGonzález Bastillo, y la plaza de Oidor del Cuzco, que dexa, á D. Pedro Mariano Goyeneche. En cumplimiento de la Real cédula de S. M. de 13 de Agosto de 179J se recibirán en la Tesorería mayor y en</t>
  </si>
  <si>
    <t>Josef Fuster Mayorgas</t>
  </si>
  <si>
    <t>ase todo lo que se les propuso.__ Fuéron examinados de Dinámica, Hidrodinámica, Optica y Astronomía D. Josef Fuster Mayorgas, el que explicó la construcción y usos del termómetro, barómetro , telescopio y máquina neumática, con la que executd varias operaciones ; D. Francisco Xavier Márquez y D. Josef P</t>
  </si>
  <si>
    <t>Josef Ga</t>
  </si>
  <si>
    <t>eble ; Tenencia al Subteniente .dé.glanadHrbs'D.' Aléxkidró^Stegéi; y está resulta’ aLSubtenien* te D. Josef Ga jibán f'y en el de; Tráxler Tenencias de granaderos á los Tenientes de fusileros D. Francisco Zellger y D‘. Víctor Akermam En el Regimiento de caballería de la Reyna se ha dignado</t>
  </si>
  <si>
    <t>Josef Gabriel de los Ríos</t>
  </si>
  <si>
    <t>ente, á las doce de su mañana, en la escribanía de D. Miguel García de la Madrid. Por el juzgado de D. Josef Gabriel de los Ríos, Alcaide mayor de la ciudad de Búrgos, y escribanía del número de D. Antonio Celestino Alvarez, se han mandado subastar en el dia 30 de este mes varios efectos raíces, y son los s</t>
  </si>
  <si>
    <t>Josef Galindo</t>
  </si>
  <si>
    <t>niente de granaderos al de fusileros D. Francisco González; á Teniente al Subteniente de granaderos D. Josef Galindo; a Subteniente de granaderos, al de fusileros D. Tadeo Martí, y á Subtenientes de bandera aí Cadete D. Francisco Canseco, y al Sargento primero de granaderos D. Josef Cano: se ha</t>
  </si>
  <si>
    <t>Josef Gallego</t>
  </si>
  <si>
    <t>y, Orense á D. Josef de Vivanco y Barco, ■Dí Cayetano García Limones, D.-Antonio Alvarez Guerrero y D. Josef Gallego. • En América. En el Regimiento de Milicias disciplinadas de Infantería de Puerto-Rico se ha servido el Rey promover á Capitanes de granaderos á los de fusileros D. Pedro de la To</t>
  </si>
  <si>
    <t>Josef Garcen de San Yust</t>
  </si>
  <si>
    <t>af Subr teniente de granaderos D. Josef Ordoñez, y Subtenencia de bandera en el de Africa al Cadete D. Josef Garcen de San Yust. En el Regimiento de caballería de Borbon se ha servido S. M. conceder empleo de Alférez al Portaestandarte B. Antonio Gamez: en el de Algarbe la Sargentía mayor al Teniente Coron</t>
  </si>
  <si>
    <t>Josef García</t>
  </si>
  <si>
    <t>y Subtenencias de bandera en los de Zamora y Voluntarios'de Castilla á los Cadetes D.Pedro Gómez y D. Josef García* de da Chicad S. M. se ha servido conferir el Gobierno militar y político de la Plaza de Cartagena ai Capitán General de. la Real Armada D. Francisco de Borja. El Rey se ha servid</t>
  </si>
  <si>
    <t>Plaza, Capitán segundo de granaderos del Provincial de Soria; Tenencia al Subteniente de granaderos D. Josef García, y Subtenencia de bandera á D. Antonio Martínez, Cadete de la Compañía de caballería de la plaza de Ceuta. En consideración al mérito que contraxo D. Manuel García del Barrio, Ten</t>
  </si>
  <si>
    <t>Josef García Aleson</t>
  </si>
  <si>
    <t>e Prado Ulloa, D. Tomas de Arsú, D. Pedro Ladrón de Guevara, D. Juan de Xaramillo, D. Carlos Brasé, D. Josef García Aleson, Don Pedro Josef de Marcoleta, D. Dionisio Hurtado de Mendoza y D. Josef Navarro del Dosal: de los Monteros de Guarda y Cámara de S. M. Don Josef Solana, D. Ignacio García de Dieg</t>
  </si>
  <si>
    <t>Josef García de la Madrid, Miguel</t>
  </si>
  <si>
    <t>Miguel Josef García de la Madrid</t>
  </si>
  <si>
    <t>onas que quisieren rematarlas acudan en los respectivos dias ante dicho Sr. Alcalde y escribanía de Don Miguel Josef García de la Madrid. Habiéndose hecho la mejora del quarto á una casa sita en la calle de Cantarais, núm. 3, manz. 232 , tasada en 76,652 rs., y rematada en las dos terceras partes de su tasación á v</t>
  </si>
  <si>
    <t>. Quien quisiere hacerla acuda ante el Sr. Alcalde de Corte D. Mariano Alonso, por la escribanía de D. Miguel Josef García de la Madrid. Por providencia del Sr. D. Torquato Antonio Collado, Teniente i Corregidor de esta villa, y escribanía de D. Ramón de. Milla Cuellar, se ha mandado sacar á pública subasta, por t</t>
  </si>
  <si>
    <t>ek^ núm. 6, manz. 185, tasada en 299,564 rs. Quien quisiere liacer postura acuda á la escribanía de D. Miguel Josef García de la Madrid. * : ¡ . : En el juzgado dél SivD. Diego GilFerhandez, dél Consejo dé S. M., Alcalde en su Real Casa y Corte, se están subastando dos casas sitas en la calle del Lobo* núms. 10 y</t>
  </si>
  <si>
    <t>Quien quisiere hacerla acuda ante el Sr. Alcalde de Corte D. Mariano Alonso', por la escribanía de D. Miguel Josef García de la Madrid. En virtud de providencia dei Sr. D. Torquato Antonio Collado, Teniente Corregidor de esta villa, se ha mandado sacar á pública subasta una casa sita en la calle de Silva, núm. 13</t>
  </si>
  <si>
    <t>n quisiere hacer postura acuda ante el Sr. Alcalde de Corte D. Mariano Alonso, por la escribanía de D. Miguel Josef García de la Madrid. Para pago de acreedores se vende Judicialmente una casa sita en el lugar de Vallecas, en la-calle que llaman de los Pajeros, comprehensiva de 6804 pies superficiales de fondo, co</t>
  </si>
  <si>
    <t>. Quien quisiere hacerla acuda ante el Sr. Alcalde de Corte D. Mariano Alonso, por la escribanía de D. Miguel Josef García de la Madrid. - , , Quien quisiereTiacer postura á un solar ó sitio, con muy poca y mala fábrica, situado en la calle alta de la Magdalena, núm. r 2, manz. 470, tasado según se halla en 16,202</t>
  </si>
  <si>
    <t>Josef Garcini de Queralt</t>
  </si>
  <si>
    <t>es; en la inteligencia que está señalado para su remate el dia 27 del corriente. Por providencia de D. Josef Garcini de Queralt , Comisionado Real para la venta de bienes, eclesiásticos de la Diócesi de Granada, se han mandada sacar á subasta , por término de 30 dias contados desde zo de Octubre último, la</t>
  </si>
  <si>
    <t>Josef Garciny de Queralr</t>
  </si>
  <si>
    <t>ehendidos en ella, y se presenten á ser.matriculados, se publica por este medio. Por providencia de D. Josef Garciny de Queralr, Comisionado Regio para la venta de bienes eclesiásticos de la ciiidaa de Granada y su Diócesi , se están subastando las fincas que se sirven por el Convento de Monjas Carmelitas</t>
  </si>
  <si>
    <t>Josef Garciny de Queralt</t>
  </si>
  <si>
    <t>Por providencia de D. Josef Garciny de Queralt, Comisionado Regio para la, venta de bienes eclesiásticos de la ciudad de Granada y su Diócesi , se han man-, dado sacar á pública subasta, por término de 30 dias contados desde e</t>
  </si>
  <si>
    <t>nción de que su remate está señalado para el dia 6 del próximo mes de Noviembre. Por providencia de D, Josef Garciny de Queralt, Comisionado Regio para la venta de bienes eclesiásticos de la Diócesi de Granada, de 7 del presente, se haá mandado sacar á pública subasta, por término de 30 dias, las fincas si</t>
  </si>
  <si>
    <t>ere hacer postura acuda al juzgado de la comisión, calle de Bordadores, níun. 1. Por providencia de D. Josef Garciny de Queralt, Comisionado Real para la enagenacion de bienes eclesiásticos de la Diócesis de Granada, ha señalado el día 13 de Enero próximo’, en las casas de Ayuntamiento, á la hora de las n</t>
  </si>
  <si>
    <t>Josef Garric</t>
  </si>
  <si>
    <t>án de Milicias D. Josei Prieto* y aí Subteniente veterano ae las Compañías de Milicias de Chontales D. Josef Garric;y esta resulta á D. Juan Antonio Alcalá, Sargento primero veterano del referido Batallón de Olancho. 5 Desde el dia i.° de Abril hasta el último de Mayo próximos se renovarán en l</t>
  </si>
  <si>
    <t>Josef Garriga</t>
  </si>
  <si>
    <t>ivas al año pasado de 1805, y algunas otras délos anteriores, dispuesto según el plan del autor por D. Josef Garriga, Abogado de los Reales Consejos, y uno de los del Ilustre Colegio de esta Corte. Se, hallará, con los demas tomos anteriores y quadernos separados, en la librería de Francés, fren</t>
  </si>
  <si>
    <t>$. M. á D. Josef Arago y Fita, Alcalde mayor del Crimen mas antiguo de ella; y para esta resulta á D. Josef Garriga, Abogado de los Reales Consejos. En atención á lo que han representado los Mariscales de Campo Don Juan Bútler, Gobernador Militar y Político del Puerto de Santa María, y IX Franc</t>
  </si>
  <si>
    <t>Josef Gil</t>
  </si>
  <si>
    <t>, el empleo de Capitán primero en el segundo Batallón de Voluntarios de Cataluña al Capitán segundo D. Josef Gil: igual empleo en d de Voluntarios de Navarra al primer Ayudante D. Jorsef Pirez: está resulta al Capitán segundo D. Antonio Pirez: el empleo de segundo Ayudante en el Batallón de</t>
  </si>
  <si>
    <t>Josef Gil de Jaz</t>
  </si>
  <si>
    <t>6 libras, 14 sueldos y 5 dineros en venta, y'^ libras, 16 sueldos y 9 dineros en renta: la otra por D. Josef Gil de Jaz, Maestrescuela que fué de la referida Catedral, comprehensiva por una parte de 13!? tahullas, 20 brazas de tierra blanca huerta, sitas en la de la propia ciudad , partido de Carta</t>
  </si>
  <si>
    <t>Josef Gil de Sagredo y Moreno</t>
  </si>
  <si>
    <t>azgo de Alcaraz, en el Arzobispado de Toledo, vacante por fallecimiento de D. Francisco Sandoval, á D. Josef Gil de Sagredo y Moreno, Racionero de la Catedral de Almería, con dimisión de la Ración que obtiene. En América. El Rey se ha dignado conceder Subtenencias de bandera en el batallón de Milicias disciplin</t>
  </si>
  <si>
    <t>Josef Gómez</t>
  </si>
  <si>
    <t>imiento de infantería de Saboya. Quien supiese de su paradero se servirá entregarle en esta Corte á D. Josef Gómez, Oficial mayor de Correos, en dicha casa, ó en la sombrerería de Nicolás Blanco, calle de Fuencarral. Habiéndose aprobado por el Real Consejo de las Ordenes el remate celebrado en</t>
  </si>
  <si>
    <t>Josef González</t>
  </si>
  <si>
    <t>.......................................... 4h 5' Idem en el Depósito Hidrográfico por el cálculo de D. Josef González.................................................. ................ . 4 5 56 ,29 Diferencia de meridianos................................ ................... 1 ,71 Hora verdadera d</t>
  </si>
  <si>
    <t>Josef González de Anguisólea</t>
  </si>
  <si>
    <t>D. Josef Ventura Duro y Solano, electo Arcediano titular y Canónigo de la Catedral de Calahorra, á D. Josef González de Anguisólea. El Rey se ha servido conferir- en el Regimiento de infantería de la Reyna Compañía al Teniente, graduado de Capitán, D. Josef Cevallos, y Tenencia al Subteniente D. Ramón Aymeric</t>
  </si>
  <si>
    <t>Josef González de Argandoña</t>
  </si>
  <si>
    <t>legas y Coronel, D. Juan del Rio y Noguerido, D. Josef Carreño y Ramírez, D. Juan VanHalen y Sarti, D. Josef González de Argandoña, D. Manuel de Umendia y Foronda, D. Quirico de Aristizaval y Sequeyra, D. Josef Yustiniani y Cabrera, D. Rafael de Elisa y Caamaño, D. Julio Ponce de León y Morejon, D. Domingo de</t>
  </si>
  <si>
    <t>Josef González Ortiz</t>
  </si>
  <si>
    <t>36' 6»,7 5} t! verdadero. La observación difl Depósito la calculó desde luego el Capitán de Fragata D. Josef González Ortiz, empleando las tablas de Sol de Delambre y Las de la Luna de fiurg,corrigiendo la inflexioné irradiación, y hallóla hora de la conjunción en dicho Depósito... Por el principio....</t>
  </si>
  <si>
    <t>un acromático de 5 pies y 8 pulgadas de focus, con un ocular que amplificaba 120 veces. El referido D Josef González Ortiz ha calculado esta observación baxo la hipótesis de ser el error de las tablas de Burg de latitud de la Luna mas to//,44, como resultó por ú cálculo de la observación completa de M</t>
  </si>
  <si>
    <t>omedio del que han encontrado por la observación del Depósito Hidrográfico los Capitanes de Fragata D. Josef González Ortiz y D. Juan de Tiscar, bien conocidos por sus trabajos astronómicos, he. hallado* Hora verdadera de la conjunción verdadera en el Observatorio...........................................</t>
  </si>
  <si>
    <t>Josef Gregorio de Castilla</t>
  </si>
  <si>
    <t>isco Escribas y D. Josef María Chenard; á Subtenientes de fusileros los de bandera D. Antonio Boza, D, Josef Gregorio de Castilla, D. Andrés Perez y D. Josef Cayetano de Sastre, y á Subtenientes de bandera al Sargento primero D. Nicolás Naranjo, y á los Cadetes D. Antonio Arango, D. Miguel Ferrery Don Rafael</t>
  </si>
  <si>
    <t>Josef Guardabrazo de Zarzosa</t>
  </si>
  <si>
    <t>rigó, vacante por ¡promoción dé Don Agustín Diez de, Eara áGahon jía. de la¡ Catedral de Granada, á D. Josef Guardabrazo dé Zarzosa : paca: el Benefició, simple .serviderods |a Parroquia de S. Nicolás de la villa de Madrigal, en el Obispado de Avila, vacante por fallecimiento de D. Francisco Alonso, á D. Teodo</t>
  </si>
  <si>
    <t>Josef Guarrero</t>
  </si>
  <si>
    <t>Jos,Hela Reyna y Príncipe empleos de Portaestandarte á los Sargentos primeros Doik Pascual Ariza y D. Josef Guarrero: en el de Alga‘be emplgo de, Alférez áí Portaestandarte D. Vicente Reo deseos: en elde Aíontesave hipido rde. Portaestandarte ai Sargento primevo D. jManuel de Pineda ; iy.dii ’lp</t>
  </si>
  <si>
    <t>Josef Guiordanengo</t>
  </si>
  <si>
    <t>orre y D. Vicente Llopiz; á Capitanes Jos Tenientes D. Josef María Ramírez, D. Francisco Rodríguez, D. Josef Guiordanengo, D. Bernardo Zeno y D. Francisco Fernandez; los tres primeros de granaderos ; á Tenientes de granaderos los de fusileros D- Francisco Díaz, D. Miguel Augusto y D. Alonso Velez; á</t>
  </si>
  <si>
    <t>Josef Gutiérrez</t>
  </si>
  <si>
    <t>Satostegui, D. Miguel González Cárdenas, D. Juan Ignacio Arespacochaga, D. Manuel Rodríguez Sotelo, D. Josef Gutiérrez, D. Juan María Maestre y Maestre, y el Dr. D. Manuel Céspedes. Los tres primeros fuéron examinados de Aritmética, Algebra, Geometría y Trigonometría, y recibiéron cada uno en prem</t>
  </si>
  <si>
    <t>Josef Hermenegildo Hernández de Ubago</t>
  </si>
  <si>
    <t>ión vacante en la Colegial de Taíavera, Diócesi de Toledo, por fallecimiento de D. Vicente Parra, á D. Josef Hermenegildo Hernández de Ubago i para el Beneficio residencial de Palacios, de Goda, Obispado de Avila-, vacante por muerte de D. Juan Mas, á D. Josef Pascaste Figueroa, y para el Beneficio simple de la Parroqu</t>
  </si>
  <si>
    <t>Josef Hernández Agero</t>
  </si>
  <si>
    <t>lia de Bejar, Diócesis de Plasencia, por muerte de D. Domingo de Hoya, á D. Josef Hernández Agero: para otro también servidero en dicha Iglesia con el título de S. Pedro, vacante por fallecimiento de D. Antonio Castaño, á D. Eugenio Lorenzo Vidal; y para otro igual titulado de</t>
  </si>
  <si>
    <t>Josef Herrera</t>
  </si>
  <si>
    <t>go, Toro, Burgos, Plasencia, Guadix y Granada á los Subtenientes D. Juan Obregon, D. Antonio Conde, D. Josef Herrera, D. Antonio Villaarnil, D. Josef Correa y D. Pedro Martinez Coronado: á Subtenientes de granaderos de los de Guadix, Santiago y Tuy á los de fusileros D. Juan de Isla, D. Antonio</t>
  </si>
  <si>
    <t>Josef Hidalgo</t>
  </si>
  <si>
    <t>anuel Martínez , Ayudante del Regimiento de Milicias de infantería de Santa Marta, y ésta resulta á D. Josef Hidalgo, Subteniente veterano de infantería suelto en el mismo Reyno. También se ha dignado S. M. nombrar para la plaza de Oficial mayor de la Secretaría del Consejo y Cámara de Indias, d</t>
  </si>
  <si>
    <t>Josef Hurtado de Mendoza, Juan</t>
  </si>
  <si>
    <t>Juan Josef Hurtado de Mendoza</t>
  </si>
  <si>
    <t>íaz, del Orden de Santo Domingo: para la Canongía Magistral de la Catedral de Mérida de Maracaybo á D. Juan Josef Hurtado de Mendoza: para una Ración de la Metropolitana de México , vacante por fallecimiento de D.^ Ignacio Josef Pico, á D, Josef Mariano iRamirek: de la Torre ;&lt; y par a la Médi^rJRacjón quej est</t>
  </si>
  <si>
    <t>Josef Huser</t>
  </si>
  <si>
    <t>graduado de Capitán: en el de Traxler Subtenencias7 á los Cadetes D. Josef Huser j D. Nicolás de Flue y D. Alfonso Josef Mayr : en él de Reding número 3.0 Tenencia al Subteniente de granaderos D. Nicolás Fiwatz; y en el de Reding núm. 2.0 el empleo de Teniente</t>
  </si>
  <si>
    <t>Josef Ignacio Duran</t>
  </si>
  <si>
    <t>ha servido S. M. promover á Ayudante al Teniente D. Mariano de Campo; y á Tenientes á los Alféreces D. Josef Ignacio Duran, D. Antonio Cabello, D. Estéban Benedet y D. Antonio Videras. Asimismo en ei Regimiento de infantería Provincial de México se ha dignado el REYpromover á Teniente al Subteniente D</t>
  </si>
  <si>
    <t>Josef Iñigo</t>
  </si>
  <si>
    <t>er empleo, de Alférez al Portaestandarte D. Josef de Aranda : en el de Santiago Tenencia al Alférez D. Josef Iñigo ; y empleos de Portaestandartes en el referido de, Santiago y en el de Montesa al Sargento primero Don Josef de Silva y al Cadete D. Manuel de Castro. • En América. S. M. se ha di</t>
  </si>
  <si>
    <t>Josef Isidoro’Morales</t>
  </si>
  <si>
    <t>etropolitana de Sevilla, vacante por fallecimiento de D. Lorenzo Melgarejo, á D.Josef Isidoro’Morales, Racionero de la propia Iglesia : para la Ración que este dexa^a D. Ignacio María del Mármol: á D. Antonio Soler y Planas para un Beneficio de la Colegial de S. Juan de las Abadesas, Diócesi</t>
  </si>
  <si>
    <t>Josef Izquierdo</t>
  </si>
  <si>
    <t>ndez y Garrida, Agente de Negocios, que vive plazuela de Truxillos, barrios de S. Martin, núm. 3, y D. Josef Izquierdo, calle Mayor, tienda contigua á la fábrica de Guadalaxara; en Santander los Sres. Vial é hijo y compañía, en la Corufía los Sres. López y .Sagastizabal, en Bilbao D. Juan Bautista</t>
  </si>
  <si>
    <t>Fernandez y Garrida, Agente de Negocios, plazuela de los Truxillos, barrios de S. Martin, núm. 3, &gt; D. Josef Izquierdo, calle Mayor, tienda contigua á Ja Real fábrica de Guabalaxara; en Santander Jos Sres. Vial é hijo y compañía, en la Coruña los Sres. López, .Sagas tizabal é hijo, en Bilbao D. Ju</t>
  </si>
  <si>
    <t>Josef JDomenichini</t>
  </si>
  <si>
    <t>po de Amiens sobre lá colección de las obras de Voltaire, y una discreción de Ferney, traducido por D. Josef JDomenichini: un tomo en 8.° Se hallarán en la librería de Castillo, frente á las gradas de S. Felipe, y en la de Millana, frente al parte. Tratado de las operaciones de la boca, y modo de con</t>
  </si>
  <si>
    <t>Josef Joaauin Delgado</t>
  </si>
  <si>
    <t>el Regimiento de infantería de la Corona se lia servido el Rey promover d Teniente al Subteniente' D. Josef Joaauin Delgado. S. M. se ha servido conceder Tenencia en el Regimiento'Suizo de Reding, núm.^dj.á D. J^sef Gayrnan, Subteniente de granaderos dei mismo. ' En el Regimiento.de caballería: de la R</t>
  </si>
  <si>
    <t>Josef Joaquín</t>
  </si>
  <si>
    <t>que en partida de fnayor suma .se ha# declarado por el misnao Supremo Tribunal tocar y pertenecer a D. Josef Joaquín de 0$oro, vecino de la?,v‘Ha de Etr goibar, por sí y sus menores hijos, en parte del principal.y réditos de un -crédito de 4© ducados, que en el Consulado de Sevilla úñRuso D. Juan d</t>
  </si>
  <si>
    <t>Josef Joaquín de Virues</t>
  </si>
  <si>
    <t>iscal deCampo D. Francisco de Vargas, Gobernador de Lucar de Barrameda : este¿Gobierno al Brigadier D. Josef Joaquín de Virues; Gobernador de Motril ; y&gt; este empleo al Coronel D. Josef Juncar, Teniente Coronel del Real Cuérpo de Artillería. En América. El Rey se ha servido nombrar para la Dignidad de Dea</t>
  </si>
  <si>
    <t>Josef Joaquín del Moral</t>
  </si>
  <si>
    <t>gía de merced de la Metropolitana de México, vacante por fallecimiento de D. Juan Pablo de Chaves á D. Josef Joaquín del Moral, Prelado doméstico del Santo Padre.</t>
  </si>
  <si>
    <t>Josef Joaquín Ortiz y Galvez</t>
  </si>
  <si>
    <t>ancisco de Másdevall ; y para la de Alcalde del Crimen que resulta-vacante en la misma Audiencia, á D. Josef Joaquín Ortiz y Galvez, En América. S. M. se ha dignado conceder;Tenencia veterana en la plana mayor de Blancos, agregada al batallon de Milicias disciplinadas de Pardes de Lima , á D&gt; .Andrés Ximenez,S</t>
  </si>
  <si>
    <t>Josef Joaquín Power</t>
  </si>
  <si>
    <t>eniente de granaderos, graduado de Capitán , D. Daniel O-Sullivany Subtenencia de bandera al Cadete D. Josef Joaquín Power: en el de GuadalaxaraTenencia al Subteniente D. Angel Manzano; y Subtenencia de bandera al Cadete D. Josef Menendez Cornellana: en el de Granada Tenencia al Subteniente de granade</t>
  </si>
  <si>
    <t>Josef Joaquín Santa María</t>
  </si>
  <si>
    <t>os para la de la ciudad de Málaga : á D. Ramón Macía de Lleopart para la de la ciudad de Ecija; y á Don Josef Joaquín Santa María para el Corregimiento de Letras de la ciudad de Toledo. En América. S. M. se ha servido nombrar para el Beanato de la Catedral de Popayan, vacante por fallecimiento de D. Francisc</t>
  </si>
  <si>
    <t>Josef Jorge del Molino y Torres</t>
  </si>
  <si>
    <t>é ha servido nombrar á D. Ignacio Perez para la Vara de Daimiel, y para la de Almonacid de Zurita á D. Josef Jorge del Molino y Torres, ámbasde segunda clase , en el territorio de la Orden de Calatrava; y para la del Gobierno de Villanueva de la Serena, en el de la de Alcántara , á D. LiborioTudela y Ramos: para</t>
  </si>
  <si>
    <t>Josef Julián</t>
  </si>
  <si>
    <t>entre la misma fragata y el bergantin Vigilante y otros 4 faluchos, del mando del Teniente de Navio D. Josef Julián , en el fondeadero de Lugar nuevo, retirándose al fin el enemigo visiblemente escarmentado del fuego de nuestros buques. El dia 8 de Marzo del año pasado de 1805 falleció en la ci</t>
  </si>
  <si>
    <t>Josef Juncar</t>
  </si>
  <si>
    <t>D. Josef Joaquín de Virues; Gobernador de Motril ; y&gt; este empleo al Coronel D. Josef Juncar, Teniente Coronel del Real Cuérpo de Artillería. En América. El Rey se ha servido nombrar para la Dignidad de Dean de la Metropolitana de ¿Charcas á D. Juan Manuel Berdeja: para la Ghantría</t>
  </si>
  <si>
    <t>Josef Justis, Francisco</t>
  </si>
  <si>
    <t>Francisco Josef Justis</t>
  </si>
  <si>
    <t>ef Sánchez Tagle, D. Francisco Xaramillo, D. Dionisio López Pinto, D. Mariano Carrillo de Albornoz, Don Francisco Josef Justis, D. Bernardo Landaburu, D. Diego Rejón de Silva, D. Mariano Genaro Sentmanat, D. Luis Landaburu, D. Antonio y D. Pedro Romero de Tejada, D. Domingo de la Iglesia, D. Juan Oromi,D.</t>
  </si>
  <si>
    <t>Josef Justo</t>
  </si>
  <si>
    <t>cante por fallecimiento de D. Antonio Morgado. : Él Comandante general de la- esquadra de Cartagena D. Josef Justo de</t>
  </si>
  <si>
    <t>Josef Kalbermaten y Di Ludovico Quartery</t>
  </si>
  <si>
    <t>gimiento Suizo de Preux se ha servido el Rey ¡conceder Te¿ nencias á los Subtenientes de granaderos D. Josef Kalbermaten y Di Ludovico Quartery: en el de Betschart Compañía de granaderos á D. Agustiit Amstutz; el empleo de Capitán primero á D. Julio Ghristen; el de Capir* tan segundo á D. Bonifacio: Koppenban ;&gt; Tenencia</t>
  </si>
  <si>
    <t>Josef Krause, Juan</t>
  </si>
  <si>
    <t>Juan Josef Krause</t>
  </si>
  <si>
    <t>eutmeritz y Reyno de Bohemia, se hace saber lo siguiente: Habiendo fallecido en 29 de Julio dé 1805 D. Juan Josef Krause, .comerciante y dueño de dos posesiones eníitéuticas en Joegersdórf ,. y habiendo nombrado en su testamento, entre sus demas hijos, también á su hijo menor Antonio Ignacio Krause,</t>
  </si>
  <si>
    <t>Josef la Cruz</t>
  </si>
  <si>
    <t>e, y se puede exigir renta de él, hora esté refundido en un buen sitio, hora se halle en numerario: D. Josef la Cruz, de primero, las máquinas indemnizan abundantemente á la sociedad de los perjuicios momentáneos qué causan al tiempo de su invención, por dexar sin empleo á los que estanán ocupad</t>
  </si>
  <si>
    <t>Josef Lanzarote</t>
  </si>
  <si>
    <t>ballería: de la Reyna se ha servido S. M. conferir Compañías á los Ayudantes, graduados de Capitaa, D. Josef Lanzarote y D. Antonio Abaurre: en el de dragones del Rey Tenencia al Alférez D. Andrés Martinez: en el de Lusitania empleo de Portaguión al Cadete D. Pedro 'Virraeí; y en e! de húsáies' de Mar</t>
  </si>
  <si>
    <t>Josef Laso de la Vega, Antonio</t>
  </si>
  <si>
    <t>Antonio Josef Laso de la Vega</t>
  </si>
  <si>
    <t>ho, en el Reyno de Goatemala, á D. Francisco Julián Bernal; de fusileros á D. Juan Manuel Gallardo, D. Antonio Josef Laso de la Vega , D. Vicente Perez Idiaquez, D. Mateo de Soto, D. Sixto Carrera, D. Remigio.Diaz y D. Mauricio Zelaya; y de bandera á D. Pedro Luque y D. Juan Miguel Morazan, todos vecinos de la</t>
  </si>
  <si>
    <t>Josef Latorre</t>
  </si>
  <si>
    <t>fincas pertenecientes á obras pías; á saber: la una del limo. Sr. Obispo que fué de aquella ciudad D. Josef Latorre, comprehensiva de una heredad, con su casa de habitación, compuesta de 121 f vainillas, 18 brazas de tierra huerta, plantada en parte de moreral, huerto de naranjos, limoneros y f</t>
  </si>
  <si>
    <t>Josef Lidon</t>
  </si>
  <si>
    <t>uevo método del solfeo práctico en 132 lecciones, compuestas por el difunto D. Josef de Zayas y por D. Josef Lidon, Maestro de la Real Capilla, y Rector del Colegio de niños cantores de S. M* —En el tomo i.° se enseña el solfeo por las siete llaves naturales, y en el 2.0 se muestra el uso de l</t>
  </si>
  <si>
    <t>Josef Ligero</t>
  </si>
  <si>
    <t>. D. Francisco Peyroloa y compañía* En Valladolid...... D. Francisco Durango. En Zamora............ D. Josef Ligero. En Zaragoza....... D. Tornas de la Madrid. En Zcuta.............. D. Pedro Huguet, comisionado subalterno del de Cádiz. Se ha señalado el día a o de este roes, de doce á una de s</t>
  </si>
  <si>
    <t>sco Peyrolon y compañía. En Valladolid...... D. Francisco Durango é hijo mayor. En Zamora.......... D. Josef Ligero. En Zaragoza........ D. Tomas de la Madrid. En Zenta.............. D. Pedro Huguet, comisionado subalterno del de Cádiz. En la extracción de la Real lotería, executada. el lunes 1</t>
  </si>
  <si>
    <t>Josef Linares</t>
  </si>
  <si>
    <t>onel D. Josef de Yebra/ Teniente Coronel del de Calatrava; y en el del Príncipe Tenencia al Alférez D. Josef Linares. También se ha dignado S. M. conceder empleos de Portaguión en los Regimientos de dragones de la Reyna y Sagunto á D. Juan María Vacas y D.F rancisco de Paula Gutiérrez de los Río</t>
  </si>
  <si>
    <t>Josef Lino Rengel Alinuzara</t>
  </si>
  <si>
    <t>laipor promoción de*D. Bartolomé Rodríguez Bereriguer al Beneficio de Lebrija en propia Diócesi , á D. Josef Lino Rengel Alinuzara: para el •Beneficio simple de la Parroquial de Arganin en el Obispado.de Zamora, vacante por haber contraido matrimonio D. Demetrio Ortiz, á D. Matías Arrate, Salmista de la Coleg</t>
  </si>
  <si>
    <t>Josef López</t>
  </si>
  <si>
    <t>Jaén, 400*. á la casa Lañerera, en Jaén, 500: á D. Pedro Estefanía de Tejada, en Sevilla, 860; y á D. Josef López, en Granada, 320. Las personas interesadas acudirán en Madrid á D. Rafael Antonino Diez y Tovar, Agente de negocios, que vive en la calle de Cantaranas, núm. 6, quien dará las not</t>
  </si>
  <si>
    <t>66¿ en el del Infante Ayudantía al Teniente D. Josef López, y esta resulta al Alférez D. Josef Blanco: en el de Bembón empleo de Portaestandarte al Sargento primero D, Baltasar Fernandez: en el de Santiago empleo de Alférez al Portaestand</t>
  </si>
  <si>
    <t>Josef López de Vinuesa</t>
  </si>
  <si>
    <t>olina y Muñoz, á D. Francisco Ibañez de Leyva, Oidor de la misma: para la de Oidor que este dexa, á D. Josef López de Vinuesa, Alcalde del Crimen mas antiguo de la misma: para esta resulta, á D. Josef Arjona; y para el Corregimiento de Letras de la ciudad de Carmona á D. Benito Saiz de Villegas. Por el M</t>
  </si>
  <si>
    <t>Josef Loredo</t>
  </si>
  <si>
    <t>Xerez.de,Ja JFrontera,, Diócesi .de Sevilla, vacante por fallecimiento de D.Ma~ nji&amp;l X.itjienez, á D. Josef Loredo y:- Guendica, PresbíteroSacristán mayor de la Parroquia de la villa del .£ocprro, en el .Reyno dé Santa .Pe de Bogotá ¿n. América. , • El Rey se ha servido conferir el empleo de Cor</t>
  </si>
  <si>
    <t>Josef Loreto de Torres</t>
  </si>
  <si>
    <t>vido el Rey promover á Capitán de granaderos al de fusileros D. Mariano Calonge, y á esta resulta á D. Josef Loreto de Torres, Teniente agregado al mismo Cuerpo. En el Regimiento de Milicias urbanas de Dragones de Palma, en el Rey no del Perú, se ha dignado S. M. promover á Co «andante de Esquadron y á S</t>
  </si>
  <si>
    <t>Josef Lostao</t>
  </si>
  <si>
    <t>aquel Obispado; y para un Beneficio de la Parroquial de la villa de Epila, Diócesi de Zaragoza , á Don Josef Lostao. El Rey se ha servido conferir el empleo de Teniente Coronel del Regimiento de infantería de Voluntarios de Castilla al Comandante del tercer batallón del mismo Cuerpo D. Antonio</t>
  </si>
  <si>
    <t>Josef Lucas Labrada</t>
  </si>
  <si>
    <t>n casa del autor,'calle dedos Jardines; y en Málaga en la ideíGariera.i ? •\ ‘ Discurso formado.por D. Josef Lucas Labrada, .Sociorliterato.y deimérito de da Real’ Saciedad Vascongada ;ry Secretario por S. M. del Real Consulado de: laCo*ruña,¿para leerle ren el -día en que se haga públícá abertiira de</t>
  </si>
  <si>
    <t>Josef Luís de Miñano</t>
  </si>
  <si>
    <t>Madrid 4 de Febrero. S. M. se ha servido promover á Mariscal de Campo de sus Exércitos al Brigadier D. Josef Luís de Miñano * Coronel del Regimiento de dragones de Villaviciosa. S. M. se ha servido conceder Tenencia eñ el Regimiento de infantería de Borbon al Subteniente D. Pedro Terrene; y Subtenencia</t>
  </si>
  <si>
    <t>Josef Madera</t>
  </si>
  <si>
    <t>D, Antonio Ruiz, graduado de Teniente , y D. Pablo Andeyr©; y Subtenencias de bandera á ios Cadetes D. Josef Madera y D. Juan Muñoz, este del de Saboya, También ha conferido S, M, el empleo de Capitán primero en el segundo Batallón de Voluntarios de Cataluña al Capitán segundo D. Josef Gil: igual e</t>
  </si>
  <si>
    <t>Josef Madrigal, Antonio</t>
  </si>
  <si>
    <t>Antonio Josef Madrigal</t>
  </si>
  <si>
    <t>ia de bandera al Cadete D. Antonio Josef de Vey.tia: Compañía en eFRatallon de las, Quatro Villas á D. Antonio Josef Madrigal, Subteniente del mismo; y Subtenencia de bandera al Cadete D. Esteban Pérez Jusfiniani: empleo de Alférez en el Regimiento, de caballería de la Ha vana si Portaestandarte D. Franc</t>
  </si>
  <si>
    <t>Josef Maestre</t>
  </si>
  <si>
    <t>de Portaguión al Cadete D. Pedro 'Virraeí; y en e! de húsáies' de María Liíisa Tenencia al Alférez D. Josef Maestre. ' ‘ ’ • ”'*••• • o • En el Real Cuerpo de Trigemeros del Ejército lia promovido . S. M. a Teniente Coronel efectivo á E). Luis María Moreno y Godoy, Capitán del Regimiento de inf</t>
  </si>
  <si>
    <t>Josef Mallen</t>
  </si>
  <si>
    <t>ento de caballería del Rey se ha servido S. M. conferí* Compañía ai Ayudante, gradeado ,de Chitan., D. Josef Mallen; emplea de Alférez al Portaestandarte E&gt;, Antonio Cortés ; y el de Portaestandarte: ai Sargento^priqiero í) Ildefonso Ramírez; en el ae la Reyna Ayudantía al Teniente D. Francisco</t>
  </si>
  <si>
    <t>Josef Mandri</t>
  </si>
  <si>
    <t>e .Real de 600 pesos de la creación de i.°de Enero, núm. 368241 , con el último endoso ét favor del Dr. D Josef Mandri. Quien supiere de su paradero se servirá avisar, en. Barcelona á D. Francisco,Mercader, en Mataró al; referido Dr. D. Josef ¡Mandri,, y.en, Madrid á D. Antonio. Maudri y Camip. '</t>
  </si>
  <si>
    <t>Josef Mangino Fernández de Lima, Fernando</t>
  </si>
  <si>
    <t>Fernando Josef Mangino Fernández de Lima</t>
  </si>
  <si>
    <t>día i.° de Mayo próximo pasado falleció en esta Corte,á los 78 años y 7 meses de edad, el limo. Sr. D. Fernando Josef Mangino Fernandez de Lima, Ministro de Capa y Espada del Supremo Consejo y Cámara de Indias, Intendente de los Reales Exércitos, y Caballero pensionado déla Real y distinguida Orden Española de Carlos m. E</t>
  </si>
  <si>
    <t>Josef Mantecón, Julián</t>
  </si>
  <si>
    <t>Julián Josef Mantecón</t>
  </si>
  <si>
    <t>de la misma Iglesia; y para una Ración de la Parroquial de la villa de Pina, Diócesi de Zaragoza, á D. Julián Josef Mantecón.</t>
  </si>
  <si>
    <t>Josef Manuel de Inchaurraga</t>
  </si>
  <si>
    <t>del Real Tribunal de Cádiz de 30 de Setiembre próximo pasado en autos de concurso de acreedores de D. Josef Manuel de Inchaurraga, núm. 115, del año de 1803, se cita y emplaza á qualqurera que se estime con derecho á los bienes de la indicada quiebra , para que en el pr;ciso y perentorio término de un año co</t>
  </si>
  <si>
    <t>Josef Manuel de Losada</t>
  </si>
  <si>
    <t>de la Metropolitana de Santiago, vacante por fallecimiento de D. Pedro Antonio Sánchez Baamonde, á D. Josef Manuel de Losada: para una Ración de la Catedral de Barbastro, por muerte de D. Antonio Franco, á D. Isidro Gastan. A LOS AMANTES DB LAS NOBLES ARTES. La Real Calcografía, que considera como uno d</t>
  </si>
  <si>
    <t>Josef Manuel de Porras</t>
  </si>
  <si>
    <t>al Teniente Don Josef Mariano Arias; á Teniente al Alférez D. Jostf Duran; á Alférez al Portaguión D. Josef Manuel de Porras, y á Portaguión á D. Mariano lia» niirez de la Cuesta, vecino de ia demarcación del Regimiento,</t>
  </si>
  <si>
    <t>Josef Manuel Esquivel</t>
  </si>
  <si>
    <t>urango, en las Provincias internas de Nueva-España, vacante por fallecimiento de D. Josef Florez, á D. Josef Manuel Esquivel, Magistral de ella: para Canongía de la misma, vacante por muerte de D. Julián Valero de Vicente, á D. Pedro Ignacio de Iturribarría: para la Ración que este dexa á D. Fernando Co</t>
  </si>
  <si>
    <t>Josef Manuel Fernández Vallejo</t>
  </si>
  <si>
    <t>eales Estudios. Nuevo uso del arado común para labores profundas, por el Dr. D. Josef Manuel Fernandez Vallejo, Presbítero, Socio de mérito de las Sociedades Cantábrica, de Valencia y Madrid. Suele buscarse léjos lo que está mas cerca. Es una máxima de agricultura la utilidad de labores profundas. A e</t>
  </si>
  <si>
    <t>Josef Manuel Sánchez</t>
  </si>
  <si>
    <t>ío último, se mandó citar á qualesquicra- acreedores que tuviesen derecho á Iosbienes en quiebra de D. Josef Manuel Sánchez “de la Sega-, cuyo* concurso pende en dicho Tribunal y su: escribanía , para que concurran á deducir su'derecho en eí preciso y perentorio término de 6 mesescon apercibimiento que</t>
  </si>
  <si>
    <t>Josef Marcell</t>
  </si>
  <si>
    <t>D. Josef Chavaloyes, Don Rafael Alcaráz y D. Miguel Bayona: de Trigonometría plana, D. León Selva, D. Josef Marcell, D. Josef Chavalóyes, D. Rafael Alcaráz y Don Miguel Bayona: de.'Trigondmetpasesféríca^ D. León Selva, D. Josef MarceLÍy D. Josef Ghavalóyes,.D. Rafael Alcaráz y D. Miguel Bayona;</t>
  </si>
  <si>
    <t>Josef Marco y Espejo</t>
  </si>
  <si>
    <t>Morejon, D. Domingo del Barco yMoron, D. Manuel Paulin y Cotiella, Don Francisco Pareja y Cameros, D. Josef Marco y Espejo, D. Ramón Arias y Toubes, D. Ignacio Chacón, D. Angel Valdes y Diaz Canalizo, D. Julián Morales y Sánchez, D. Flaminio Agacini y Bilbao, D. Tomas de Torres y Zapata, y D. Manuel C</t>
  </si>
  <si>
    <t>Josef Marcos Gutiérrez</t>
  </si>
  <si>
    <t>scripciones para Madrid y todas partes. Práctica criminal de España*, tomo 3.0 y último: dale á luz D. Josef Marcos Gutiérrez, autor de! Fé¡ ero deformado, y anotado para complementó de esta obra, que carecía de tratado criminal. Se habla en él de los delitos y penas, con arreglo á nuestra legislación y</t>
  </si>
  <si>
    <t>con varias notas y adiciones, para que se han tenido presentes las Reales órdenes modernas, el Lie. D. Josef Marcos Gutiérrez. En esta impresión y en los lugares oportunos se da noticia de las últimas órdenes Reales que se han publicado después de la primera t segunda ediciones, y son relativas á las mat</t>
  </si>
  <si>
    <t>Josef María</t>
  </si>
  <si>
    <t>el Rey no de Nueva-España , se ha servido el Rey promover á Capitán de granaderos ají de fusileros D. Josef María ide Castro ; á Capitanes á los Tenientes de grar nádenos D. Diego Fernandez Peredo y D. Francisco Arandía; á Tenientes de granaderos á los de fusileros D. Juan de Dios Ortega y D.</t>
  </si>
  <si>
    <t>Josef María Alcalá</t>
  </si>
  <si>
    <t>servido nombrar para Ja Canongía Magistral de la Metropolitana de México al Medio-Racionero de ella D. Josef María Alcalá: para una Media-Ración de la Catedral de Charcas, vacante por as?</t>
  </si>
  <si>
    <t>Andrés Marcelino Perez: para la Media-Ración de la Metropolitana de México, que vaco por ascenso de D. Josef María Alcalá á Magistral de ella, á D. Pedro González Aran jo, Cura en la misma Diócesi; y para otra Media-Ración de la Iglesia de Buenos-Ayres, vacante por muerte de D. Juan Antonio Gómez, á</t>
  </si>
  <si>
    <t>Josef María Artiga</t>
  </si>
  <si>
    <t>y Ayudantía mayor á los Tenientes D. Pedro Lagos y 1&gt;. Manuel Alvarez; y Tenencias á los Alféreces D. Josef María Artiga y D. Francisco del Rio. Asimismo ha conferido el Gobierno militar y político, con la Intendencia de la provincia de Córdoba del Tucuman, en el Vireynato de Buenos-Ayres, á D. Juan Gut</t>
  </si>
  <si>
    <t>Josef María Azpiazu</t>
  </si>
  <si>
    <t>usan al tiempo de su invención, por dexar sin empleo á los que estanán ocupados en aquel artefacto: D. Josef María Azpiazu, de primero, aunque seria muy ventajosa para la prosperidad general la libertad absoluta en él comercio externo de granos, con todo exige la seguridad de cada pais se proceda en e</t>
  </si>
  <si>
    <t>Josef María Bermudez</t>
  </si>
  <si>
    <t>l examen de los mas distinguidos alumnos, de ia clase de Humanidades, y lo fuéron D. Juan de Arias, D. Josef María Bermudez, D. Jqsef Antonio Arespacochaga y D. Josef'María Tenorio. El primero arengó á la Sociedad, y el segundo leyó una oda. Después fuéron preguntados cada uno de ellos con separación,</t>
  </si>
  <si>
    <t>Josef María Blanco</t>
  </si>
  <si>
    <t>n sus respuestas causaron el mas vivo y agradable interes ai público. El socio Director de la clase D. Josef María Blanco leyó después una oda dirigida á sus alumnos sobre los placeres de la Poesía. A los quatro referidos se, les premió con igual número de exemplares de la traducción del Salustio por</t>
  </si>
  <si>
    <t>Josef María Bonifaz y Gabriel Rodríguez López</t>
  </si>
  <si>
    <t>plaza se. proveerá el domingo 7 de Setiembre próximo, remitiendo los memoriáles los pretendientes á D. Josef María Bonifaz y Don Gabriel Rodríguez López, Procuradores^Síndicos,y comisionados al efecto. • En la ciudad, de Almansa , Reyno de Murcia, se, halla vacante una de las dos plazas dé Médicos de su dotación, cuyo pueblo se co</t>
  </si>
  <si>
    <t>Josef María de Bassoco</t>
  </si>
  <si>
    <t>D. Juan Maza, D; Luis Berganza , D. Alexandro lagoa, D. Bernabé de Otalora, D. Eugenio de Zuloaga, D. Josef María de Bassoco y D. Vicente de Bassoco. Ganáron el premio extraordinario de instrucción religiosa ios Caballeros gefes de trozo D. Pedro Tavira y D. Manuel Cámara, y el Seminarista D. Juan Ortiz de</t>
  </si>
  <si>
    <t>Josef María de Homar</t>
  </si>
  <si>
    <t>D. Manuel Araujo y Don Luis Magid: Tenencia de granaderos, eñ el de Burgos al Teniente de fusileros D. Josef María de Homar *. Tenencia de fusileros en el de Ecija al Subteniente de granaderos D. Miguel Ruiz Jurado : Subtenencias de granaderos en los de Soria y Córdoba á los de fusileros D. Miguel Vela</t>
  </si>
  <si>
    <t>Josef María de la Cuesta</t>
  </si>
  <si>
    <t>o. En el Real Observatorio de Marina de la Isla de León observó este ¿elipse el Teniente de Fragata D. Josef María de la Cuesta con un acromático de primera suerte y tubo que amplificaba 5 5 veces los objetos. Principio á................................... 4h 18' 42/y,24 tiempo verdadero. Fin 1269815 No se</t>
  </si>
  <si>
    <t>Josef María de Xerez</t>
  </si>
  <si>
    <t>o González, Presbítero: para otra vacante en la de Granada, por muerteMe D. Juan Alonso Burrueso, á D. Josef María de Xerez, Cura de la Parroquial de Sta. Escolástica de aquella ciudad: para una Media-Ración en la Catedral de Cartagena, por fallecimiento de D. Juan Ciríaco de Arteaga, á D. Isidro del B</t>
  </si>
  <si>
    <t>Josef María del Villar</t>
  </si>
  <si>
    <t>infantería de Cartagena de Indias se ha servido el Rey promover á Capitán al Teniente de granaderos D. Josef María del Villar; á Teniente de granaderos al de fusileros Don Antonio Ignacio Navarro; á Tenientes de fusileros á los Subtenientes Don Vicente García Seijo, D. Josef María Herrera y D. Josef Marí</t>
  </si>
  <si>
    <t>Josef María Duran</t>
  </si>
  <si>
    <t>la Academia Real de Medicina de Madrid, de la de Ciencias dé Turin Scc., traducidos al español por D. Josef María Duran: tomo i.° La importancia y necesidad del estudio de la materia médica, ei abandono con que hasta ahora se ha cultivado, y los extravagantes errores que en ella se habían introduci</t>
  </si>
  <si>
    <t>cademia Real de Medicina de Madrid, de la de Ciencias de Turin &amp;c. &amp;c., y traducidos al español por Don Josef María Duran: tomo 2.0 En este tomo, así como en el primero, hallarán los principiantes un tratado elemental de materia médica, del qual carecían, fundado en las observaciones y doctrinas mas</t>
  </si>
  <si>
    <t>Josef María Gómez</t>
  </si>
  <si>
    <t>Vial é hijo y compañía. En Ségdvia........ . Sres. viuda de Ramiro yMárttit. En Sevilla............ D. Josef María Gómez. En Seria........ mí.... vD. AndresMaítfeiez deApaticio*</t>
  </si>
  <si>
    <t>é hijo y compañía. En Segovia............. Sres. viuda de Ramiro y Martin. En Sevilla...... ....... D. Josef María Gómez. En Soria................. D. Andrés Martinez de Aparicio. En Toledo.............. Sres. Chavarri y Posadillo. En Valencia Sres. D. Francisco Peyrolon y compañía. En Valladolid. S</t>
  </si>
  <si>
    <t>l é hijo y compañía. En Segovia........... Sres. viuda de Ramiro y Martin. . En Sevilla............ D. Josef María Gómez. En Soria............... D. Andrés Martínez de Aparicio. En Toledo............. Sres. Chavarri y Posadillo. En Valencia..... . Sres. D. Francisco Peyrolon y compañía. En Valladoli</t>
  </si>
  <si>
    <t>Josef María Guerrero</t>
  </si>
  <si>
    <t>graduados de Teniente, D. Juan Mendivil y Don Mariano González, y Subtenencia de bandera al Cadete D. Josef María Guerrero. .......... En el Regimiento de infantería de Voluntarios de Castilla se ha servido S. M. conceder Tenencia al Subteniente de granaderos D. Antonio Soto. El REY.se ha servido conc</t>
  </si>
  <si>
    <t>Josef María Herrera</t>
  </si>
  <si>
    <t>Don Antonio Ignacio Navarro; á Tenientes de fusileros á los Subtenientes Don Vicente García Seijo, D. Josef María Herrera y D. Josef María del Castillo, el primero de granaderos y el tercero de bandera; á Subteniente de granaderos á D. Francisco Alonso Moran; de fusileros á D. Francisco Xavier de Llamas,</t>
  </si>
  <si>
    <t>Josef María Iñiguez</t>
  </si>
  <si>
    <t>tas, en la de Malacuera, calle del Carmen; y en Barcelona en la de Suarez. Doña Blanca, tragedia de D. Josef María Iñiguez. Se hallará en la librería de Castillo. ^ La colección de los gritos de Madrid, o los revendedores de por las calles: son 7 láminas de 4 figuras, iluminadas á 3 rs. cada 4. Se ven</t>
  </si>
  <si>
    <t>as, y en la de Montero, calle de la Concepción, á 4 rs. ; y puede ir en carta. Viriato, tragedia de D. Josef María Iñiguez. Esta y Doña Blanca, tragedia del mismo autor, se hallarán en la librería de Castillo, á 6 rs. sueltas, y juntas y en pasta á 1 2. Octavas sobre la construcción de cementerios á b</t>
  </si>
  <si>
    <t>Josef María Maldonado</t>
  </si>
  <si>
    <t>allego y Perez y D. Francisco Fernandez Valdivia; y el de Subteniente'de bandera del de Salamanca á D. Josef María Maldonado. ' Don Francisco Antonio de Pando, del comercio de esta Corte,dirigió en 9 da Octubre próximo pasado á D. Fidel Fernandez Bretón, vecino de Hornillos, un vale Real de goo pesos, d</t>
  </si>
  <si>
    <t>Josef María Morcillo</t>
  </si>
  <si>
    <t>xent, Comandante del tercer batallón; esta resulta al Sargento mayor, graduado de Teniente Coronel, D. Josef María Morcillo; y la Sargentía mayor al Capitán, graduado de Teniente Coronel, D. Francisco Coliell. El Rey se ha servido conferir el empleo de Coronel del Regimiento de Milicias urbanas de caba</t>
  </si>
  <si>
    <t>Josef María Pérez Valiente</t>
  </si>
  <si>
    <t>para la plaza del referido Consejo de las Ordenes, que resulta vacante por ascenso de Villagomez, á Don Josef María Perez Valiente, decano de la citada Sala de Alcaldes de Casa y Corre: para la Regencia de la expresada Audiencia de Sevilla, por ascenso de Duque Estrada, á D. Francisco Díaz Bermudo, Oidor de l</t>
  </si>
  <si>
    <t>Josef María Piñol</t>
  </si>
  <si>
    <t>de Milicias disciplinadas de S. Salvador y deYoio, en el Reyno de Goatemala, al Capitán de Milicias D. Josef María Piñol y al Sargento primero veterano D. Juan, Fernandez Negrillo ; iguales emplees en los Batallones de Olancho y Cartago al Capitán de Milicias D. Josei Prieto* y aí Subteniente veterano</t>
  </si>
  <si>
    <t>Josef María Pinto</t>
  </si>
  <si>
    <t>ompañía en el batallón de Milicias disciplinadas de Chiquimula en el Reyno de Guatemala al Teniente D. Josef María Pinto ; esta resulta al Subteniente D; Santiago Valle; y Subtenencia de bandera al Sargento segundo D. Miguel Sandoval. El Virey del Perú en oficio de 8 de Noviembre deL año pasado ha d</t>
  </si>
  <si>
    <t>Josef María Puig de Samper</t>
  </si>
  <si>
    <t>nstruyan cementerios fuera de las poblaciones» ha erigido uno jñrmy capaz, baxo las órdenes del Sr. D. Josef María Puig de Samper, Ministro del Consejo Real, y Comisionado en aquel Obispado, que bendixa solemnemente dicho Párroco el dia 26 de Setiembre de 1805, y en seguida predicó un discurso en que hizo ve</t>
  </si>
  <si>
    <t>Josef María Ramírez</t>
  </si>
  <si>
    <t>e granaderos á los de fusileros D. Pedro de la Torre y D. Vicente Llopiz; á Capitanes Jos Tenientes D. Josef María Ramírez, D. Francisco Rodríguez, D. Josef Guiordanengo, D. Bernardo Zeno y D. Francisco Fernandez; los tres primeros de granaderos ; á Tenientes de granaderos los de fusileros D- Francisc</t>
  </si>
  <si>
    <t>Josef María Suárez</t>
  </si>
  <si>
    <t>uno, estableéidos: por la referida Junta para estimularlo^ al estudió de tan interesante facultad, D. Josef María Suárez, D. Vicente Osete y Olier y D. Josef Al;varado: mas como los Sres. Comisionados de acuerdo con los Jueces Censores propusieron á la Junta que podría extenderse á consignar á D. Ma</t>
  </si>
  <si>
    <t>Josef Mariano</t>
  </si>
  <si>
    <t>a una Ración de la Metropolitana de México , vacante por fallecimiento de D.^ Ignacio Josef Pico, á D, Josef Mariano iRamirek: de la Torre ;&lt; y par a la Médi^rJRacjón quej este dexa á Don •Manuel Agüero v¡Cura de la villa y partido’de Yauteplec,,;en aquella Diócesi. r..;;J i En cumplimiento de l</t>
  </si>
  <si>
    <t>Josef Mariano Alarcon</t>
  </si>
  <si>
    <t>i115 legiata de Guadalupe de México, vacante por muerte de D. Josef Antonio de Uría, á D. Josef Mariano Alarcon, Capellán Penitenciario de la propia Colegiata: para tres Medias-Raciones, vacantes en la» Iglesia de la Puebla de los Angeles , á D. Josef Domingo Cortavarría, Cura en el Obispad</t>
  </si>
  <si>
    <t>Josef Mariano Andux</t>
  </si>
  <si>
    <t>án reformado de los hospitales nacionales españoles de Santiago y Monserratde la Corte de Roma; y á D. Josef Mariano Andux, Presbítero, Coadjutor y Regente que fue de la Parroquial de S. Miguel de los Navarros de la ciudad de Zaragoza, para una Ración de la Colegial de Daroca , en aquella Diócesi, vac</t>
  </si>
  <si>
    <t>Josef Mariano Arias</t>
  </si>
  <si>
    <t>ciales de Puebla, en el Reyno de Nueva-España , se ha servido el Rey promover á C2pitan al Teniente Don Josef Mariano Arias; á Teniente al Alférez D. Jostf Duran; á Alférez al Portaguión D. Josef Manuel de Porras, y á Portaguión á D. Mariano lia» niirez de la Cuesta, vecino de ia demarcación del Regimi</t>
  </si>
  <si>
    <t>Josef Mariano del Pulgar y Varo</t>
  </si>
  <si>
    <t>Antonio Sequera y Carrafa, D. Josef Rodríguez Zambrano y Portocarrero, D. Pedro de la Llave y Coca, D. Josef Mariano del Pulgar y Varo, D. Francisco del BarcoGordon, D. Mariano Narvaez y Narvaez, D. Gerónimo Piáeyro y las Casas, D. Josef Arias de Saavedra Caro y Tavera, D. Antonio Moscoso y Vázquez,,D. Salvador M</t>
  </si>
  <si>
    <t>Josef Mariano Muntaner</t>
  </si>
  <si>
    <t>za se ha servido el Rey promover á Capitán ai:Teniente de granaderos, graduado de Teniente Coronel, D. Josef Mariano Muntaner; y, á Teniente en el primer batallón de Voluntarios de Barcelona al Subteniente D. Bernardina ¿Fivaller: -en el de las Ordenes Militares’Ayudantía al Teniente, graduado de Capitán</t>
  </si>
  <si>
    <t>Josef Mariano Vailejo</t>
  </si>
  <si>
    <t>e á lodá especie de lienzos y telas, por Mr. Hermbstaedt; reflexiones acerca del juicio formado por D. Josef Mariano Vailejo de la obra intitulada la Lengua de los cálculos; noticias acerca del significado y origen de la voz Legión; carta en contestación al juicio formado por los editore' de las composiciones</t>
  </si>
  <si>
    <t>Josef Marques</t>
  </si>
  <si>
    <t>ata urta Ración ó Cóménsalía de la Catedral de Tortoja., vacante por muerte de D. Domingo Cartes: á Don Josef Marques para un Beneficio Subdiaconil de la misma Catedral, vacante por fallecimiento de D. Juan Cartes; y á D. Juan Olives para una Canongíá de ia Colegiata de Liado, Obispado de Gerona.</t>
  </si>
  <si>
    <t>Josef Marta Linares</t>
  </si>
  <si>
    <t>istribuido otros dos de igual cantidad, ofrecidos generosamente por los Sres. D. Pascual Valle jo y D. Josef Marta Linares, actual segundo Director, que uno y otros los franquean á las ninas pobres que á juicio.de los curadores de escuelas .sobresalen mas en apütionca y conducta, —En la escuela de pri</t>
  </si>
  <si>
    <t>Josef Martínez</t>
  </si>
  <si>
    <t>ra, D. Manuel Ferrando, D. Josef de Castro, Cadete de Reales Guardias Walonas, Don Josef Fernandez, D. Josef Martínez , D. Manuel Cámara y D. Faustino Vitorica; y los Seminaristas D. Pedro Cendeja, D. Manuel Abbad, D. Carlos Van-Zoelen, D. Juan Ortiz de Zarate, D. Sebastian de Navarrete, Don Geró</t>
  </si>
  <si>
    <t>ra, D. Manuel Ferrando, D. Josef de Castro, Cadete de Reales Guardias Walonas, Don Josef Fernandez, D. Josef Martínez, D. Manuel Cámara y D. Manuel Abbad: y los Seminaristas D. Ceferino Carrillo, D. Toribio Olalde, Don Pedro Sánchez Pavón, D. Juan Ortiz de Zárate, D. Antonio Albuerne, D. Pablo Un</t>
  </si>
  <si>
    <t>nietos, uno de los mas preciosos que existen en dicha galería, dibuxado por el Profesor de Pintura D. Josef Martínez, se está también grabando por D. Rafael Este ve, Grabador de Cámara de S. M., y bien conocido por su mérito en esta Corte. _ A fin de conciliar en este proyecto la rapidez de la p</t>
  </si>
  <si>
    <t>Josef Martínez, Juan</t>
  </si>
  <si>
    <t>Juan Josef Martínez</t>
  </si>
  <si>
    <t>e Maestrescuela de ta Catedral de Panamá , vacante por fallecimiento de D. Pedro Juan de Batista, á D. Juan Josef Martínez; y para la Tesorería que este dexa al Magistral. D. Jua». Josef CabarCas. El remate dé la casa sita én la calle del Amor de Dios, nimí. 1, manz. 237, tasada en 614,891 xs., se ha</t>
  </si>
  <si>
    <t>Josef Medrano</t>
  </si>
  <si>
    <t>Subtenientes D. Josef Sánchez Boado, graduado de Teniente, Don Francisco Mena, D. Luis Lardizabal, D. Josef Medrano, D. Joaquín Escario y D. Joaquín Vivanco. En la extracción de la Real lotería executada él lunes 19 del corriente salíéron los números 84, 32, 52, 50 y 11; y con ellos han ganado</t>
  </si>
  <si>
    <t>Josef Melchor de Montheys</t>
  </si>
  <si>
    <t>opio Cuerpo: para las dos Subtenencias de bandera de nueva creación á D. Pedro Antonio de Preux y á D. Josef Melchor de Montheys; Subteniente de granaderos al de fusileros D. Josef Teodosio Kalbermaten, y Subteniente de fusileros al Cadete D. Federico Guerraty: en el de Traxler Teniente de granaderos al de</t>
  </si>
  <si>
    <t>Josef Meliton de Navas</t>
  </si>
  <si>
    <t>ad de Barbastro á D. Andrés Santolaria; y para la Vara de Alcalde mayor de la ciudad de S. Felipe á D. Josef Meliton de Navas. En América. En el Regimiento de Milicias urbanas de caballería de Huanuco,en elReyno del Perú, se ha dignado el Rey promover á Sargento mayor al Capitán D. Toríbio Acebal, á Teni</t>
  </si>
  <si>
    <t>Josef Mendez, Pedro</t>
  </si>
  <si>
    <t>Pedro Josef Mendez</t>
  </si>
  <si>
    <t>tonio de Areta: para la. Canongía á D. Juan Miguel de Amezaga; y para la Ración, al Medio-Racionero D. Pedro Josef Mendez. Para el Arcedianato de la de Goatemala á D. Antonio Carbonell: para la Maestrescolía á D. Antonio García: para la Tesorería á D. Blas Josef Clá; y para la Canongía que este dexa</t>
  </si>
  <si>
    <t>Josef Menendez Cornellana</t>
  </si>
  <si>
    <t>r: en el de GuadalaxaraTenencia al Subteniente D. Angel Manzano; y Subtenencia de bandera al Cadete D. Josef Menendez Cornellana: en el de Granada Tenencia al Subteniente de granaderos D. Josef de la Peña; y Subtenencia de bandera al Cadete D. Josef Caturla: en el Regimiento Suizo de Reding, cuín. 3.°j se h</t>
  </si>
  <si>
    <t>Josef Meneses</t>
  </si>
  <si>
    <t>qiiencía de la aprobación que mereció a S. E., en 4 del mismo , la propuesta del Capitán de Fragata D. Josef Meneses , Comandante de las fuerzas sutiles de aquel puerto, de que se íe permitiese invertir 2® pesos fuertes de sus propios haberes en vestir los individuos que tripulan dichas fuerzas,</t>
  </si>
  <si>
    <t>Josef Miguel de Mendioroz</t>
  </si>
  <si>
    <t>M. se ha servido nombrar para la Capellanía de Reyes nuevos de Toledo, vacante por fallecimiento de D. Josef Miguel de Mendioroz, á D. Ramón Escriche, Racionero de aquella Sta. Iglesia : para la Ración vacante en la Catedral de Palencia, por muerte de D. Feliciano Martínez, á D. Angel Roxo Redondo, Presbíte</t>
  </si>
  <si>
    <t>Josef Miguel Ibáñez</t>
  </si>
  <si>
    <t>is para la Canongía Lectoral de la Catedral de Segorve., vacante por muerte de Don Pedro Ibarz; y á D. Josef Miguel Ibañez para una Capellanía de da Catedral de Orihueia, vacante por fallecimiento de D. Miguel Tbañez. S. M. se ha servido conceder en el Regimiento de infantería Inmemorial del Rey Ayuda</t>
  </si>
  <si>
    <t>Josef Miranda</t>
  </si>
  <si>
    <t>y D. Juan Víctor Glntz. - - ' , S. M. se ha servido nombrar Capitán delReal Cuerpo de Artillería á D. Josef Miranda. En la Gazeta del martes 5 del corriente, capítulo de Beriin, se copio del Monitor, núm. 199, del 18 de Julio, lo siguiente: Los negociantes de Silesia han conseguido la libre int</t>
  </si>
  <si>
    <t>Josef Miret y Sadaba, Juan</t>
  </si>
  <si>
    <t>Juan Josef Miret y Sadaba</t>
  </si>
  <si>
    <t>ra la Vara de Alcalde mayor de la villa de Manzanares, en el territorio de la Orden de Calatrava, á D. Juan Josef Miret y Sadaba. * En América. En el Regimiento de milicias de infantería de Cartagena de Indias se ha servido el Rey promover á Capitán al Teniente de granaderos D. Josef María del Villar; á Ten</t>
  </si>
  <si>
    <t>Josef Mor de Fuentes</t>
  </si>
  <si>
    <t>ctubre^, silva dedicada al Excmo. Sr. D. Antd-¡ nio Escaño, Teniente General de lá Real Armada, por D. Josef Mor de Fuentes: g.a edición, corregida y muy aumentada. Se*hallará en la librería de Ramos, carrera de S. Gerónimo, en la de Castillo/ frente á las gradas de S. Felipe; y en Valencia en la de Ma</t>
  </si>
  <si>
    <t>es, que comprehende la Germania, el, Agricola, y varios trozos sueltos de Tácito y de Salustio, por D. Josef Mor de Fuentes y D. Diego Cltmencin. En este Ensayo, hecho por via de muestra para emprender la traducción completa de las obras de Tácito, se ha puesto el mayor esmero en conservar puntualmente el</t>
  </si>
  <si>
    <t>driguez de Arellano; traducción literal en prosa de la Silva al combate na^n del 11 de Octubre, por D. Josef Mor dé Fuentes; extracto del poema intitulado la Agresión Británica; el vaticinio, oda; traducción de esra oda en francés por el Señor Maury; la timidez, romance; opinión de D. A. C. B. sobre el</t>
  </si>
  <si>
    <t>amino. Elogio, en prosa, del Excmo. Sr. D. Federico Gravina, Capitán General de la Real Armada, por D. Josef Mor de Fuentes. En este escrito se da noticia individual de las campañas de aquel General infatigable; se describen los sitios principales de sus acciones, y se hace una relación circunstanciada</t>
  </si>
  <si>
    <t>Josef Moya</t>
  </si>
  <si>
    <t>Mariano Negre, D. Alexandro Oiavarria, D* Pablo Iglesias, D* Francisco Guarro, D. Felipe Casalduc, D. Josef Moya, D* Domingo de los Santos, D. Marías Cruz, D. Josef Valenzueta, D. Cándido Turit, D* Nicolás Dehesa y D. Manuel Barba* El Rey nuestro Señor, á consulta del Supremo Consejo de Cast</t>
  </si>
  <si>
    <t>Josef Munarriz</t>
  </si>
  <si>
    <t>el número 2.0 de 15 de Enero de 1805 de las Variedades de.ciencias, literatura y artes, escrita por D. Josef Munarriz, traductor de las Lecciones de Retórica y Bellas Letras de Hugo Blair, en la qual se satisface á los reparo* de este. S$ hallará en la libre-ría de Baylo y en la de Castillo. En e</t>
  </si>
  <si>
    <t>Josef Muñoz</t>
  </si>
  <si>
    <t>, pág. 172, donde "dice que S. M. ha conferida Compañía en . el Regimiento de dragones de Sagunto á D. Josef Muñoz, léase 2&gt;. Juan Muñoz. D. Manuel Gil Santibañes, del comercio de esta Corte, remitió j&gt;or el correo de 15 de Enero próximo pasado á D. Diego Nuñez de Murcia, de Vtgo, seis vales R</t>
  </si>
  <si>
    <t>ano, Asesor interino de aquella Presidencia ; y los de Alcalde del Crimen de la Audiencia de Lima á D. Josef Muñoz , Asesor del Virejrnato del Perú* La Sociedad económica de Sanlucar de Barrameda ha escrito al Sr. Ge~ neralísimo Príncipe de la Paz, su Director, el oficio siguiente: Excmo. Sr.:</t>
  </si>
  <si>
    <t>Josef Nadal</t>
  </si>
  <si>
    <t>con todo exige la seguridad de cada pais se proceda en este ramo de comercio con alguna limitación: D. Josef Nadal, de segundo, conviene á la industria de todo pais que el oro y la plata sean declarados artículos de libre comercio externo: D. Josef Olloqui, de primero, deben ser mantenidos á e</t>
  </si>
  <si>
    <t>Josef Narciso Dongo</t>
  </si>
  <si>
    <t>uzco á D. Mariano Paz y Pozo: para la Chantría á D. Patricio Gabriel Melendez : para la Tesorería á D. Josef Narciso Dongo: para la Canongía que dexa Melendez á D. Pedro Agustín Cabrera: para la de Dongo á D. Manuel Ocampo; y para la Ración de Cabrera á D. Mariano Pacheco, Cura en el Obispado de Arequ</t>
  </si>
  <si>
    <t>Josef Navarro</t>
  </si>
  <si>
    <t>e ;á Subteniente de compañía aí de bandera D. Onofre Valiente, y á Subteniente de bandera al Cadete D. Josef Navarro. El dia 29 de Agosto próximo pasado fatíecíó en esta Corte, á los 44 años y 4 meses de edad, la Excma. Sra. Doña Juana María Muñoz, Jofre de Lcaya &amp;c., Condesa viuda de Revillagig</t>
  </si>
  <si>
    <t>Josef Ntderberger</t>
  </si>
  <si>
    <t>Kayser y D. Josef Ntderberger, Subtenencia al Sargento D. Antonio Thury; y en el de Reding número 2.0 Subtenencia de bandera al Cadete Don Francisco Conrado Anderwertr en el' Regimiento de infantería de león T</t>
  </si>
  <si>
    <t>Josef Olano</t>
  </si>
  <si>
    <t>a , Ordenes Militares y Voluntarios de Estado Tenencias á los Subtenientes D. Marcos Gómez Flores,- D. Josef Olano y D. Josef Elizaíde; y Subtenencias de bandera en el de Asturias al Cadete D. Vicente Camaño: en el de la Princesa al Sargento primero D. Jayme Pes : en el de Murcia Ayudantía al Teni</t>
  </si>
  <si>
    <t>Josef Oliva</t>
  </si>
  <si>
    <t>de Oviedo, vacante por muerte de D..Félix María Martínez, á D. Francisco Xavier García Suarez; y á D. Josef Oliva para un Beneficio residencial de la Metropolitana de Tarragona, vacante por promoción de D. Antonio Pastor á una Ración de la misma Iglesia. S. M. se ha servido conferir la Tenenc</t>
  </si>
  <si>
    <t>Josef Oliveera y Machado</t>
  </si>
  <si>
    <t>e con otro título se consideren con acción y derecho £ los bienes que quedaron por fallecimiento de D. Josef Oliveera y Machado, Abogado y Fiscal que fué de Guerra en dicha plaza, para que comparezcan á deducir las acciones que les competan en ios autos de testamentaría que se hallan pendientes en la Capit</t>
  </si>
  <si>
    <t>Josef Olloqui</t>
  </si>
  <si>
    <t>a industria de todo pais que el oro y la plata sean declarados artículos de libre comercio externo: D. Josef Olloqui, de primero, deben ser mantenidos á expensas de la sociedad todos aquellos que se dedicaron á enriquecerla con su trabajo, durante el tiempo que gozáron de salud y robustez: D. Eu</t>
  </si>
  <si>
    <t>Josef Oquendo</t>
  </si>
  <si>
    <t>rtunos; y no habiendo conseguido ningún alivio, murió á las 1,6 horas. En este apuro se dispuso que D. Josef Oquendo, Cirujano también titular, hiciese la operación cesárea, la que executó con la destreza y pericia que tiene bien acreditada, y extraxo una nina, que la bautizó Don Juan Antonio Go</t>
  </si>
  <si>
    <t>Josef Ordoñez</t>
  </si>
  <si>
    <t>ismo cuerpo D. Eugenio Mac-crohon; Tenencia en el Inmemorial del Rey af Subr teniente de granaderos D. Josef Ordoñez, y Subtenencia de bandera en el de Africa al Cadete D. Josef Garcen de San Yust. En el Regimiento de caballería de Borbon se ha servido S. M. conceder empleo de Alférez al Portaes</t>
  </si>
  <si>
    <t>desde Málaga á esta Corte un vale de 300 pesos, creación de Mayo, núm. 472895,, endosado á favor de D Josef Ordoñez, Subteniente del Regimiento de infantería de Saboya. Quien supiese de su paradero se servirá entregarle en esta Corte á D. Josef Gómez, Oficial mayor de Correos, en dicha casa, ó</t>
  </si>
  <si>
    <t>Josef Orozco</t>
  </si>
  <si>
    <t>e Ceuta se ha servido S. M. conceder Subtenem cia de bandera al Sargento, graduado de Subteniente, .D. Josef Orozco: en el de Reding numero 3.0 Ayudantía al Teniente D. Juan Brosey * Tenencia al Subteniente de granaderos D. Ignacio'Bauman: en el de Traxler empleos de Capitanes segundos á los Te</t>
  </si>
  <si>
    <t>Josef Ovando</t>
  </si>
  <si>
    <t>e Castro. • En América. S. M. se ha dignado conceder la Sargentía mayor de la plaza de la Havar.a á D. Josef Ovando,’ Teniente Coronel agregado al Regimiento de Milicias de caballería de la misma. También se ha servido el Rey conceder la Tenencia de la Compañía fixa del Castillo de Omoa al Subt</t>
  </si>
  <si>
    <t>Josef Padilla</t>
  </si>
  <si>
    <t>entaría, pendientes ante el Sr. Oidor Juez de ló Civil de la misma ciudad, y escribanía pública de. D. Josef Padilla, es una la de 7© pesos fuertes en favor de O. Cristóbal de Loide, que fué creado Teniente de Navio en el año de 1740, después ascendió á Capitán de Fragata en 754, y falleció en C</t>
  </si>
  <si>
    <t>Josef Padouani</t>
  </si>
  <si>
    <t>y de las principales qualidades que distinguen al que acaba de conducir á esta Corte desde el Asia D. Josef Padouani. Véndese en las librerías de Castillo, frente á las gradas de S. Felipe, y de Villareal, calle de las Carretas: puede ir en carta. La obra de los 6 tomos en 4.0 de todos los retra</t>
  </si>
  <si>
    <t>Josef Paez y Mesa</t>
  </si>
  <si>
    <t>y Martínez, D. Antonio Godoy y Castro, D. Pedro López de Carrizosa , D. Antonio Ribera y Vázquez , D. Josef Paez y Mesa, D. Carlos Soubiran y Mantelan, D. Miguel Quesada y Tarriba, D. Toribio Pasalagua y Martinez, D. Vicente Fernandez de Mesa, D. Francisco de Nava y Rodríguez, D. Antonio Diaz de He</t>
  </si>
  <si>
    <t>Josef Pascasió de Figueroa</t>
  </si>
  <si>
    <t>roquia'de la villa de Oropesa, Diócesi de Avila, vacante por muerte de D. Francisco Gómez Lozano, á Don Josef Pascasió de Figueroa: para el Beneficio servidero de la Parroquial de S. Pedro de ía ciudad de Cuenca, vacante por fallecimiento de D. Manuel Duque Xinienez, á D. Juan Saavedra, Cura de la 'yilla de P</t>
  </si>
  <si>
    <t>Josef Pascaste Figueroa</t>
  </si>
  <si>
    <t>eneficio residencial de Palacios, de Goda, Obispado de Avila-, vacante por muerte de D. Juan Mas, á D. Josef Pascaste Figueroa, y para el Beneficio simple de la Parroquia de S. Juan, dé Tremanes, en el Arciprestazgo de Gijon, Diócesi de Oviedo, á. D.. Lorenzx). Nielfa. En atención á los méritos y servicio</t>
  </si>
  <si>
    <t>Josef Pauton</t>
  </si>
  <si>
    <t>baxo, y todas las oficinas correspondientes á un labrador. Quien quisiere tratar de ajuste acuda á Don Josef Pauton, empleado en la Real fábrica de aguardientes junto al portillo de Embaxadores, y en Leganes á D. Juan Martin Aguado, Escribano del número de dicha villa. Ramón Gallo, natural del</t>
  </si>
  <si>
    <t>Josef Pavón</t>
  </si>
  <si>
    <t>reconocer los subscriptores q jando se anuncie su recibo en Madrid, y en casa del Botánico de S. M. D Josef Pavón, antiguo correspondiente del autor, y comisionado por él para recibir las subscripciones, cuyo importe no se satisfará sino al tiempo del recibo de los exemplares. Por último, sie</t>
  </si>
  <si>
    <t>Josef Pellicer de Tovar y Abarca</t>
  </si>
  <si>
    <t>rial y augustísima Casa, con la justificación de su muerte, sacada de los mas fieles originales por D. Josef Pellicer de Tovar y Abarca, Señor de la casa de Pellicer, y Cronista de las Coronas de Castilla, León y Aragón: segunda edición. La mayor recomendación de esta obra es la que la da el nombre de su autor, ta</t>
  </si>
  <si>
    <t>Josef Pereyra</t>
  </si>
  <si>
    <t>a, Diócesi de Jaén, vacantes per muerte de D. Miguel Rodríguez y D. Antonio Joaquín de los Reyes, á D. Josef Pereyra y á D. Francisco Pefiche: para otra en la misma Colegial, vacante por promoción de D. Ma-* nuel Guarnan y Texera á la Dignidad de Arcipreste de ella, á D. Mariano de Atienza: para d</t>
  </si>
  <si>
    <t>Josef Pérez Armendariz</t>
  </si>
  <si>
    <t>Daymiel. /f ; r En América. S. M. se ha servido nombrar para el Obispado del ¿uzeo, en el Perú , á D. Josef Perez Armendariz r Axcediano - de la misma Iglesia: para igual Dignidad de Arcediano de la de ^ Córdoba del Tucuman a Don Juan Ju to Rodríguez : para la Chantría que .este dexa al Canónigo .pon Fr</t>
  </si>
  <si>
    <t>Josef Pérez del Notario, Juan</t>
  </si>
  <si>
    <t>Juan Josef Pérez del Notario</t>
  </si>
  <si>
    <t>o de Sto. Domingo de México: para el de Nicaragua', en' elReyno dé Guatemala, vacante por muerte de D. Juan Josef Perez del Notario, á Fr. Nicolás García, támhien Prior: del Convento de Dominicos de la ciudad de Cartagena de llevante : para la Canongía Penitenciaria de la Metropolitana de Cuba al Racionero de</t>
  </si>
  <si>
    <t>Josef Piguerás Gómez</t>
  </si>
  <si>
    <t>los comisionados siguientes: En Alicante......;.. D. Juan Casou jr eómpafiía. En Amia,*............ D. Josef Piguerás Gómez. En Badajoz.......... D. Francisco Fernandez de la 'Peña y 5. Miguel. En Barcelona....... D. Ramón de Liordeíla é hijo. En Btírgos.......... D. Andrés Fraylfe. En Cádiz...........</t>
  </si>
  <si>
    <t>Josef Pineda</t>
  </si>
  <si>
    <t>de Aritmética, Geometría y Geografía j D. Manuel y D. Bernabé Portillo de Aritmética y Geometría; y D. Josef Pineda de todas las partes de la Aritmética.__ Concluidos los exámenes pronunció D. Joaquín Duran, Fiscal de esta Real Maestranza, una oración sobre los principios de las ciencias exáctas e</t>
  </si>
  <si>
    <t>Josef Pinto, Juan</t>
  </si>
  <si>
    <t>Juan Josef Pinto</t>
  </si>
  <si>
    <t>de fusileros D. Juan de Dios Ortega y D. Josef Arechavala; á Tenientes al Subteniente de granaderos D. Juan Josef Pinto, y á los de fusileros D. Juan Bautista Mscali y D; Antonio Laveria; á Subteniente de granaderos al de fusileros D. Luis García de Aguirre ; y á Subtenientes de Compañía á lós de B</t>
  </si>
  <si>
    <t>Josef Pinzano</t>
  </si>
  <si>
    <t>blanco con pinturas chinescas, que se rifaba á beneficio de los pobres enfermos, y cupo la suerte á D. Josef Pinzano, vecino de la villa de Monzon, en el Reyno de Aragón. Se inserta este aviso para inteligencia del público y noticia del interesado. En el juzgado del Alcalde mayor de la ciudad de</t>
  </si>
  <si>
    <t>Josef Piqueras Gómez</t>
  </si>
  <si>
    <t>los comisionados siguientes: En Alicante.*....... D. Juan Casou y compañía. En Avila............... D. Josef Piqueras Gómez. En Badajoz......... D. Francisco Fernandez de la Peña y S. Miguel. En Barcelona....... D. Ramón de Llordella é hijo. En Btirgos.......... D. Andrés Frayíc.</t>
  </si>
  <si>
    <t>s comisionaaos siguientes: ^ En Alicante.......... D. Juan Casou y compañía. En Avila.............. D. Josef Piqueras Gómez. En Badajoz.......... D. Francisco Fernandez de lJ*Peña y S. Miguel. En Barcelona....... D. Ramón de Llordella é hijo. En Burgos............ D. Andrés Frayle. En Cádiz............</t>
  </si>
  <si>
    <t>Josef Plácido Orozco y de León</t>
  </si>
  <si>
    <t>illa, vacante por fallecimiento del limo. Sr. D. Manuel Abad y la Sierra, Arzobispo de Selimbria, á D. Josef Plácido Orozco y de León, del Orden de Santiago: para otro simple servidero de la villa de la Motilla del Palancar, en el Obispado dé Cuenca , vacante por muerte de D. Bartolomé Ramos, á D. Antonio María</t>
  </si>
  <si>
    <t>Josef Policarpo Saname</t>
  </si>
  <si>
    <t>edral de la Puebla de los Angeles á D. Gaspar de Mexías; y para la MediaRación de la de la Havana á D. Josef Policarpo Saname, Cura en esta Diócesi. En el Regimiento de infantería Provincial de Toluca, en el Rey no de Nueva-España , se ha servido el Rey promover á Capitán de granaderos ají de fusileros D</t>
  </si>
  <si>
    <t>Josef Portillo</t>
  </si>
  <si>
    <t>. Martin García de Loygorri, y á Teniente Coronel al Gefe de Brigada, graduado de Teniente Coronel, D. Josef Portillo. Él Rey se ha servido nombrar Conductores de Artillería á los Sargentos primeros D. Josef Sousa, D. Juan Alaminos y D. Josef Roxo. S. M. se ha servido conferir la Sargentía mayor</t>
  </si>
  <si>
    <t>Josef Postius</t>
  </si>
  <si>
    <t>a invocación de nuestra Señora de- la Esperanza , vacante por fallecimiento de D. Antonio Subirá, á D. Josef Postius. S. M. se na servido conceder Tenencia en el Regimiento de infantería de Málaga al Subteniente D. Manuel García; y Subtenencias de bandera en los de Zamora y Voluntarios'de Castil</t>
  </si>
  <si>
    <t>Josef Prudencio Vaquero</t>
  </si>
  <si>
    <t>lla de Saimeroncillo, Diócesi de Cuenca, vacante por fallecimiento de Dol Juan Manuel de la Peña, á D. Josef Prudencio Vaquero, Presbítero.</t>
  </si>
  <si>
    <t>Josef Qaeypo Valdés</t>
  </si>
  <si>
    <t>Salta de nueva erección: para una Canongía de la Catedral de Guayana, vacante por fallecimiento de D. Josef Qaeypo Valdés, á D. Lucas Josef Alemán, Cura en la misma Di Scesis ; y para una Media-Ración de la Metropolitana ¡de Lima, que vacó por muerte de D. Manuel de la Puerta, á D. Mariano de Echever</t>
  </si>
  <si>
    <t>Josef Queraltó</t>
  </si>
  <si>
    <t>lias elásticas, y una medicina para las hernias, que tiene su correspondiente aprobación. Elogio de D. Josef Queraltó, por su discípulo D. Eugenio de la Peña. Se vende en la librería de Alonso, frente á las gradas de S. Felipe, á 4 rs. EN LA IMPRENTA REAL.</t>
  </si>
  <si>
    <t>Josef Quiñones</t>
  </si>
  <si>
    <t>ompañía Italiana del Real Cuerpo de Guardias de Corps ha promovido S. M. á Brigadier ai Subrigadier D. Josef Quiñones; á Subrigadier al Cadete D. Carlos Sexti; á Cadete de número al supernumerario D. Juan Gómez, y á supernumerario al Guardia D. Manuel Navas. En la Brigada de Carabineros Reales ha</t>
  </si>
  <si>
    <t>Josef Quintana, Manuel</t>
  </si>
  <si>
    <t>Manuel Josef Quintana</t>
  </si>
  <si>
    <t>ombate narval; dé la sombra de Nelson,. por Inafeo Celenro; de la oda á los marinos' Españoles, por D. Manuel Josef Quintana ; de la oda en elogio do la.marina Española, por Dona María Rosa de Galvez; extracto de las comedias intituladas el Sombrero que habla, el Molino de Ktber y aventuras de Tekely, y</t>
  </si>
  <si>
    <t>ea castellano. Se hallará en la librería de Ximenez ,caños del Peral, á 10 rs. en pasta. Poesías de D. Manuel Josef Quintana ; un tomo en 8&gt;° impreso con el mayor esmero en la imprenta Real. 'Contiene las odas, elegías, epístolas y otras composiciones sueltas del autor. Se hallará en la librería de Cast</t>
  </si>
  <si>
    <t>Josef Rafael Torquemada</t>
  </si>
  <si>
    <t>es de goo vecinos. Los pretendientes podrán dirigir sus memoriales , hasta el último de este mes, á D. Josef Rafael Torquemada, Escribano de Cabildo de la expresada villa; en Ma inteligencia de que se admitirán también memoriales de Cirujanos latinos de un mérito conocido. Se halla vacante una de las plaz</t>
  </si>
  <si>
    <t>Josef Ramón Fernández</t>
  </si>
  <si>
    <t>n subastando por el Dr. D. Salvador Vidal, Teniente tercero de Asistente de ella, ante el Escribano D. Josef Ramón Fernandez. Por el Tribunal del Corregidor de la ciudad de Toledo, y escribanía del número de D. Felipe Sánchez ,se está subastando una dehesa para pasto y labor, intitulada Inesa, propia de</t>
  </si>
  <si>
    <t>Josef Ramón Zelaya</t>
  </si>
  <si>
    <t>tallón 4e Mi}jcjas disciplinada de Goatemala se ha servido el Rest conferir Compañía,ai Subteniente D. Josef Ramón Zelaya, y Tenencias á D. Juan de Irís&amp;rrj y D, Rafael Montufar, vecinos de aquella ciudad. En el Batallón veterano de Castilla, fixo de Campeche, ?e ha dignado S. M. promover á Capitán a</t>
  </si>
  <si>
    <t>Josef Ranero y Santelices</t>
  </si>
  <si>
    <t>osef Villavicencio y Rodríguez de Arias, D. Fulgencio Anrich y Gómez,D. Francisco Sirera y Sánchez, D. Josef Ranero y Santelices, D. Lorenzo Villegas y Coronel, D. Juan del Rio y Noguerido, D. Josef Carreño y Ramírez, D. Juan VanHalen y Sarti, D. Josef González de Argandoña, D. Manuel de Umendia y Foronda,</t>
  </si>
  <si>
    <t>Josef Richenbach</t>
  </si>
  <si>
    <t>Teniente at Subteniente de granaderos D. Carlos Mullen en el de Betschart á Teniente al Subteniente D. Josef Richenbach; y en el de Preux á Subtenientes de granaderos á los de fusileros D. Agustín Bay y D. Federico Quartery. £n América. S. M. se ha servido nombrar para el empleo de Oficial Real Tes</t>
  </si>
  <si>
    <t>Josef Rivelles</t>
  </si>
  <si>
    <t>la Gorguera, V en la de Escribano, calle de las Carretas. • Retrato de Guillermo Pitt, dibuxado por D. Josef Rivelles, y grabado por D. Tomas López Enguídanos. Se hallará en la librería de Carsi, calle de la Paz, i 6 rs. Triduo sacro, ó colección de poesías sobre los misterios de la pasión y muer</t>
  </si>
  <si>
    <t>Josef Robis</t>
  </si>
  <si>
    <t>Vernedas para el Beneficio jbaxo la invocación ¡de S. Felipe y Santiago de la Catedral de Vique: á Don Josef Robis para otro Beneficio de la Parroquial de la villa de 5. Pedro Laxo la invocación de Sampedor, Diócesi de Vique; yá D. Pablo Larraz para otro Penitenciario de la Catedral de Jaca, v</t>
  </si>
  <si>
    <t>Josef Rodríguez Zambrano y Portocarrero</t>
  </si>
  <si>
    <t>á Subtenientes del mismo Real Cuerpo á D. Joaquín Villaba y Heredia, D. Antonio Sequera y Carrafa, D. Josef Rodríguez Zambrano y Portocarrero, D. Pedro de la Llave y Coca, D. Josef Mariano del Pulgar y Varo, D. Francisco del BarcoGordon, D. Mariano Narvaez y Narvaez, D. Gerónimo Piáeyro y las Casas, D. Josef Arias de Sa</t>
  </si>
  <si>
    <t>Josef Romero Franchis</t>
  </si>
  <si>
    <t>n en la Catedral de Canarias, vacante por promoción de D. Vicente Ramírez á Canongía de la misma, á D. Josef Romero Franchis, Capellán Real de la propia Iglesia : para ,urja Media-Ración, vacante en la Catedral de Segovia, por muerte de I&gt;. Gerónimo Ortega Barbolla, á D. Francisco Cortazar: para el Bene</t>
  </si>
  <si>
    <t>Josef Romero Soriano</t>
  </si>
  <si>
    <t>n, Cura Rector de ella. Para otra Canongía de la propia Iglesia á D. Nicolás Hore: para la Ración á Don Josef Romero Soriano; y para la Media que este dexa á D. Mariano Pacheco de Peñalosa, Cura en el Obispado de Arequipa. Para la Magistral de la Iglesia de Santiago de Chile á D. Miguel Rafael Palacios,</t>
  </si>
  <si>
    <t>Josef Ros y Pía</t>
  </si>
  <si>
    <t>n de D. Josef Ferrer á Canongía de la Colegiata de S. Feliu, y por ascenso de D. Antonio Garrofa, á D. Josef Ros y Pía y á D. Simón Azols: para otro Beneficio, vacante en la Parroquia de País, Diócesi de Gerona, por muerte de D. Pedro Dalmau, á D. Josef Fr i gol a: para una Ración de la Colegial de</t>
  </si>
  <si>
    <t>Josef Rosario Rodríguez</t>
  </si>
  <si>
    <t>deros, D. Faustino Bermudez y D. Hermenegildo ligarte ; á Subteniente de granaderos al de fusileros D. Josef Rosario Rodriguez, y de fusileros á D. Juan Cerda y D. Josef Vicente Solórzano, que lo eran de bandera, y á D. Felipe Argiiello y D. Vicente Castilla, vecinos de la jurisdicción de dicho Cuerpo; y</t>
  </si>
  <si>
    <t>Josef Rubio</t>
  </si>
  <si>
    <t>empleo de Alférez ál f ortaestandarte D&gt;. Antonio Govantes; y en el dé Santiago Tenencia al Alférez D. Josef Rubio, Igualmente sé ha servido el Rey conferir la Tenencia Coronela delRé~ cimiento dé dragones de VÜlaviciosá al Teniente Coronel D. Juan María Barrios , Sargento mayor del de Sagunto</t>
  </si>
  <si>
    <t>dos desde el 25 de Junio, en la escribanía de D. Casimiro Antonio Gómez, y acudan á liquidarlos con D. Josef Rubio; en inteligencia de que pasado dicho término Ies parará el perjuicio que haya lugar. Por providencia del Sr. D. Alfonso Duran y Barazabal, del Consejo de S. M., Alcalde de su Real</t>
  </si>
  <si>
    <t>Josef Ruiz Albornoz</t>
  </si>
  <si>
    <t>. Josef Burel!. ' El Rey ha promovido á Capitán en el Regimiento de Muidas provinciales de Cuenca á D. Josef Ruiz Albornoz , Teniente de granaderos del mismo Cuerpo: á Tenientes de fusileros en los de la misma clase de Salamanca y Logroño á ios Subtenientes de granaderos D. Valentín Gutierre* y D. Jos</t>
  </si>
  <si>
    <t>Josef Ruiz de Cabuérniga</t>
  </si>
  <si>
    <t>que empezaron en 9 del presente, diferentes fincas pertenecientes á la memoria de misas fundada por D, Josef Ruiz de Cabuérniga en el Convento de Santa Clara, extramuros de la citada villa de Aguilar de Campoó, tasadas en 51,851 rs. en venta, y 2843 en renta. A virtud de decreto del Sr. Intendente de esta Pr</t>
  </si>
  <si>
    <t>Joséf Ruiz de Celada</t>
  </si>
  <si>
    <t>r. D. Ramón Pingarron , Alcalde de Casa y Corte, por la escribanía de D. Valdomero Moraleda. El Sr. D. Joséf Ruiz de Celada, Comisionado Regio para la venta de fincas secularizadas de la Diócesi de Zaragoza, ha señalado el dia 4 de Noviembre próximo para el remate de las 7 siguientes, pertenecientes á</t>
  </si>
  <si>
    <t>Josef Ruiz de Celada</t>
  </si>
  <si>
    <t>a 4 del corriente, á las doce de su mañana, en ci juzgado de provincia que despacha dicho Sr. Juez. Don Josef Ruiz de Celada, Juez Comisionado Real para la execucion de la' ¡Real cédula^ de 1 5 de Octubre de 1805 , en la Diócesi de Zaragoza, ha señalado eí diá'i^del présente para el remate'de las fincas</t>
  </si>
  <si>
    <t>Josef Ruiz de da Peña</t>
  </si>
  <si>
    <t>n fécba de zgdelMayo próximo ¡pasado dirigió D. Simón SainzdeBaranda, del comercio de esta Corte, á D. Josef Ruiz de da Peña; de Santander, ün vajc Real de 1,59¡pesqs cx-pacion de Enero,, núm. 333774; y habiéndose extraviado, quien sepa de su paradero se servirá avisarlo al expresado Baranda en esta Cor</t>
  </si>
  <si>
    <t>Josef Ruiz de Líory</t>
  </si>
  <si>
    <t>to de infantería de Burgos se ha servido el Rey conferir Compañía al Capitán D, Josef Ruiz de Líory , Teniente del del Príncipe ; Tenencias á los Subtenientes de granaderos D, Antonio Ruiz, graduado de Teniente , y D. Pablo Andeyr©; y Subtenencias de bandera á ios Cadetes D. Josef Madera y</t>
  </si>
  <si>
    <t>Josef Ruiz Manzano</t>
  </si>
  <si>
    <t>primero del de cazadores: voluntarios de España D. Antonio Lanzuela. Ei Rey se ha servido nombrar á D. Josef Ruiz Manzano; para la Vara de Alcalde mayor de la villa de Arjona, territorio de la Oblen de Calatrava, de primera clase ó entrada.__________ _________________ ' El Mercurio de Espaíía de 31 d</t>
  </si>
  <si>
    <t>Josef Salinas</t>
  </si>
  <si>
    <t>Aguilera y Aguilera, Cadete del de Reales Guardias Españolas: en el de España al Sargento -primero Don Josef Salinas; y en el de Burgos al Cadete D. Matías Cantero. S. M. se ha servido nombrar para la Vara de Alcalde mayor del Gobierno de la Villa de Valencia de Alcántara, territeVio -de la mism</t>
  </si>
  <si>
    <t>Josef Sánchez Boado</t>
  </si>
  <si>
    <t>o CasteU. S. M. se ha dignado promover á Tenientes del Real Cuerpo de“Artillería á los Subtenientes D. Josef Sánchez Boado, graduado de Teniente, Don Francisco Mena, D. Luis Lardizabal, D. Josef Medrano, D. Joaquín Escario y D. Joaquín Vivanco. En la extracción de la Real lotería executada él lunes 19</t>
  </si>
  <si>
    <t>Josef Sánchez Tagle</t>
  </si>
  <si>
    <t>e Paula Gregorio, D. Tomas Aguirre y Castro, D. Juan Bautista Ponsinch, D. Felipe del Arco Agüero , D. Josef Sánchez Tagle, D. Francisco Xaramillo, D. Dionisio López Pinto, D. Mariano Carrillo de Albornoz, Don Francisco Josef Justis, D. Bernardo Landaburu, D. Diego Rejón de Silva, D. Mariano Genaro Se</t>
  </si>
  <si>
    <t>Josef Santiago Rosi</t>
  </si>
  <si>
    <t>o Pinol: la Tenencia Coronela del de S= Salvador al Capitán D. Josef Rosi; y empleo de Portaguión á D. Josef Santiago Rosi, vecino de la jurisdicción del mismo cuerpo. La Tunta de gobierno del Banco nacional de S. Carlos, en virtud del cap. I9*de la Real cédula de erección, y de lo que previene el i.°</t>
  </si>
  <si>
    <t>Josef Sanz Monroy</t>
  </si>
  <si>
    <t>la buprema y general inquisición: para la Canongía de la Catedral de Segovia, vacante por muerte de D. Josef Sanz Monroy, á D. Juan Benito, Cura de la Parroquial de la villa de Sepulveda en aquella Diócesi : para la Prestamera de la Parroquial de la villa de Zafra, Diócesi de Cuenca, vacante por faj</t>
  </si>
  <si>
    <t>Josef Saturio Ovejas</t>
  </si>
  <si>
    <t>s de la misma clase de Salamanca y Logroño á ios Subtenientes de granaderos D. Valentín Gutierre* y D. Josef Saturio Ovejas; y á Subteniente de bandera en el de Xerez á-D. Manúel Rodríguez de Toares, Cadete del mismo. -■ S. M. se ha servido ¡promover á Teniente Coronel de Artillería al Capítan del prop</t>
  </si>
  <si>
    <t>Josef Senekell</t>
  </si>
  <si>
    <t>de granaderos D# Fernando Cevallos; y Subtenencias de bandera en el de Ultonia al Sargento primero D. Josef Senekell y al Cadete D. Ramón Carpegna, y en el de Voluntarios de la Corona al Subteniente que fué del de Toledo Don Francisco Osuna y Cervera, y al Sargento primero de granaderos del dev in</t>
  </si>
  <si>
    <t>Josef Septien</t>
  </si>
  <si>
    <t>Juez Interventor nombrado por el Rey de los bienes y rentas de los Marqueses de Salas, se manda que D. Josef Septien, D. Miguel Llaguno, D. Fernando Romero de Leis, en unión de D. Francisco Sánchez Ruiz, D. Juan Antonio Yudicí, D. Ignacio Barrencchea, D. Francisco Arispfc* y qualquier otro de la</t>
  </si>
  <si>
    <t>Josef Silvan</t>
  </si>
  <si>
    <t>ribio Olalde, Don Pedro Sánchez Pavón, D. Juan Ortiz de Zárate, D. Antonio Albuerne, D. Pablo Unda, D. Josef Silvan, D. Pablo Ferrando, D.AIexandro Lagoa, D. Eugenio de Zuloaga, D. Josef Bassóco, D. Vicente Bas$óco,D. Matías de la Torre, D. Joaquín Ossés, D. Gerónimo Maza, D. Juan Maza, Don Ber</t>
  </si>
  <si>
    <t>Josef Simón Ortega</t>
  </si>
  <si>
    <t>; á esta resulta ai Subteniente de fusileros D. Manuel Mendez, y á Subteniente de bandera al Cadete D. Josef Simón Ortega. En el Cuerpo de caballería de Blandengues de la frontera de Buenos** Ayres se ha servido S.?M. promover á Capitán al Teniente D. Esteban Hernández; á Teniente al Alférez D. Rafae</t>
  </si>
  <si>
    <t>Josef Solana</t>
  </si>
  <si>
    <t>onisio Hurtado de Mendoza y D. Josef Navarro del Dosal: de los Monteros de Guarda y Cámara de S. M. Don Josef Solana, D. Ignacio García de Diego, D. César Madrazo, D. Félix Angulo, D. Angel Merino, D. Pedro Gómez, D. Manuel de la Maza y Don Agustín Manuel de Borricón : de ios^ Caballerizos de Ca</t>
  </si>
  <si>
    <t>Josef Solano</t>
  </si>
  <si>
    <t>s Antillas una esquadra de 33 navios Ingleses, al mando del General Rodney , cuyas esperanzas burló D. Josef Solano, tomando sobre sí la extraña resolución de variar la derrota que expresamente se le habia mandado seguir de Real orden , y el éxito feliz que tuvo semejante arresto, han hecho épo</t>
  </si>
  <si>
    <t>s'ebGeneral en variaí cam* pañas de observación. El Rey se dignó premiar estos servicios elevando i D. Josef Solano á la plaza de Consejero de Estado, y después á 'la dig^ nidad de Gapitan General de Marina en el año de 1802, en qüe tuvo ta 11bien la honra de ser elegido para pasar á Ñapóles, m</t>
  </si>
  <si>
    <t>Josef Soubirañ</t>
  </si>
  <si>
    <t>eneralísimo el parte qué.el ¿Rdé Enero le ha dado desde el puerto de Aguilas él Alférez de. Fragata D. Josef Soubirañ, Comandante de los faluchos de S. M. Bogador y número 12 , qUé en substancia dice así: ,, Encargado por el Comandante general de la esquadra de Cartagena D. josef Justo de Salcedo</t>
  </si>
  <si>
    <t>Josef Sousa</t>
  </si>
  <si>
    <t>D. Josef Portillo. Él Rey se ha servido nombrar Conductores de Artillería á los Sargentos primeros D. Josef Sousa, D. Juan Alaminos y D. Josef Roxo. S. M. se ha servido conferir la Sargentía mayor del Regimiento de caballería de Borbon al Teniente Coronel D. Fernando Fernandez Salvador, Capit</t>
  </si>
  <si>
    <t>Josef Suria</t>
  </si>
  <si>
    <t>de Voluntarios de Gerona se ha servido el Rey promover á Subteniente de bandera al Sargento primero Don Josef Suria. El dia 13 de Junio falleció en esta Corte, á los 66 años y 4 meses de edad, el limo. Sr. D. Miguel de Mendinueta y Muzquiz, Cabañero del hábito de Santiago. Después de haber sido</t>
  </si>
  <si>
    <t>Josef Taberner</t>
  </si>
  <si>
    <t>n el Regimiento de caballería de la Reyna se ha servido S.M. conferir el empleo de Sargento mayor á D. Josef Taberner, Capitán del mismo cuerpo: en el de Algarbe empleo de Portaestandarte á D. Manuel Perero, Guardia de la Compañía del Real cuerpo de Guardias de Corps: en el de Santiago empleo de</t>
  </si>
  <si>
    <t>Josef Teodosio Kalbermaten</t>
  </si>
  <si>
    <t>Pedro Antonio de Preux y á D. Josef Melchor de Montheys; Subteniente de granaderos al de fusileros D. Josef Teodosio Kalbermaten, y Subteniente de fusileros al Cadete D. Federico Guerraty: en el de Traxler Teniente de granaderos al de fusileros D. Remigio Kayser, y Subteniente de fusileros á D. Francisco Ze</t>
  </si>
  <si>
    <t>Josef TibUrcio</t>
  </si>
  <si>
    <t>l ide Galahorra, á D. Severo de la Fuente^Sastamante, Canónigo de la misma ; y para esta Canongía á D. Josef TibUrcio!de la Calleja, Cura Rector de la propia Colegial: para la Sacristía; Beneficio «simple de la villa de la Hinojosá :dé DueroDiócesi de ^Ciudad-Rodrigó, vacante por ¡promoción dé Do</t>
  </si>
  <si>
    <t>Josef Tinajero</t>
  </si>
  <si>
    <t>Alférez D. Francisco Amat; empleo de Alférez al Portaestandarte D. Narciso Carcer, y esta resulta á D. Josef Tinajero, Carabinero distinguido de los esquádrones ligeros de la Real brigada de Carabineros. . , \ En los Regimientos de Milicias Provinciales ha conferido el Rey las Tenencias de las Co</t>
  </si>
  <si>
    <t>Josef Tórrebianca</t>
  </si>
  <si>
    <t>egimiento Provincial de Chinchilla ha conferido S.,%/L. empleo de Capitán al Teniente de granaderos D. Josef Tórrebianca, y de Teniente al Subteniente D. Antonio López del Castillo; y en el de Sevilla, de la propia clase, la Subtenencia de granaderos al Subteniente de fusileros Don Cayetano Escalera</t>
  </si>
  <si>
    <t>Josef Torres y de Amat</t>
  </si>
  <si>
    <t>ParroquiadeS. Justo y Pastor de la ciudad de Barcelona, vacante por muerte dé D. Baudilio Valls, á D. Josef Torres y de Amat. En el Regimiento fixo de Ceuta se ha servido S. M. conceder Subtenem cia de bandera al Sargento, graduado de Subteniente, .D. Josef Orozco: en el de Reding numero 3.0 Ayudantía a</t>
  </si>
  <si>
    <t>Josef Traxler</t>
  </si>
  <si>
    <t>la del Regimiento de infantería Suizo de Traxler al Capitán primero, graduado de Teniente Coronel , D. Josef Traxler, y la Sargentía mayor del mismo Cuerpo al Capitán primero D. Francisco Wyrsch. El Rey ha conferido en los Regimientos Provinciales Compañía en el de Chinchilla al Teniente de gran</t>
  </si>
  <si>
    <t>Josef Tuquet y Puente</t>
  </si>
  <si>
    <t>989 misma en D. Josef Tuquet y Puente, por decrfeto de 17 de Febrero de 1805 , á D. Jacinto Climent y Blanch. El Re ir se ha*dignado conferir en el Regimiento de infantería de U1 tonta el empleo de Teniente Coronel al</t>
  </si>
  <si>
    <t>Jósef Uego, Príncipe</t>
  </si>
  <si>
    <t>Príncipe Jósef Uego</t>
  </si>
  <si>
    <t>ición, ó esten en sus cuerpos, serán juzgados por los tribunales Correccionales. . / . S. iA. I. el Príncipe Jósef Uego á-Rpina: incógnito. Se hallaba ya en el palacio de Francia, quando S. S. supo su arribo. Aquel Príncipe tué recibido por el Papa con el carácter y bondad que distingue su alustre</t>
  </si>
  <si>
    <t>Josef Ulloa</t>
  </si>
  <si>
    <t>tenencias de bandera en el batallón de Milicias disciplinadas deCartago,en el Reyno de Goatemala, á D. Josef Ulloa y D. Nicolás Carazo , vecinos de la jurisdicción de dicho cuerpo. S, M. á consulta de la Real Junta de Comercio y Moneda, se ha servido conceder á D. Carlos de la Sota y D. Carlos Sie</t>
  </si>
  <si>
    <t>Josef Urquizu</t>
  </si>
  <si>
    <t>o y D* Antonio Romeros y á Subtenientes el agregado de esta clase D. Raymundó dg Silva, los Cadetes D, Josef Urquizu, D, Fernando del Joro y D. Ildefonso del Toro, y los Sargentos primeros D. Manuel de Seda y Df Anastasio Díaz de granaderos, D. Dionisio López y D. Joaquín Martínez, El Brigadier</t>
  </si>
  <si>
    <t>Josef Urraca</t>
  </si>
  <si>
    <t>idad de Prior, vacante en la Catedral de Sigiienza por fallecimiento de D. Domingo Julián Fariza, á Don Josef Urraca, Cura del lugar de Escobosa en aquella Diócesi: para la Ración, vacante en la Catedral de Córdoba por muerte de D. Pedro Carrascal, á D. Juan Clari, Medio-Racionero de ella; y par</t>
  </si>
  <si>
    <t>ra la Canongía, vacante en la Catedral de Sigüenza por fallecimiento de D. Domingo Julián Fariza, á Don Josef Urraca, con retención de ja Dignidad de Prior de la misma, que le confirió S. M. por decreto de % del próximo pasado: para la Prebenda Magistral de la Real Colegial de Sta- María de Alab</t>
  </si>
  <si>
    <t>Josef Valderrago</t>
  </si>
  <si>
    <t>onzález; á Tenientes á los Alféreces D. Fernando Aragón, D. Adrián Caballero, D. Francisco Verdejo, D. Josef Valderrago, D. Pedro Mercado, y á los Portaguiones D. Santiago Borda y D. Bernardo Arroyo ; á Alférez al Sargento primero D. Clemente Zapata, yá Portaguiones al Sargento primero D. Gregorio</t>
  </si>
  <si>
    <t>Josef Valdivia, Luis</t>
  </si>
  <si>
    <t>Luis Josef Valdivia</t>
  </si>
  <si>
    <t>, en el de la de Alcántara , á D. LiborioTudela y Ramos: para la deTorreximeno, dél de Calatrava, á D. Luis Josef Valdivia ; y para la de Segura de León, en el de la de Santiago, á D. Jacinto Marzo y Torres, todas tres de primera clase ó entrada. En la Compañía Flamenca del Real Cuerpo de Guardias de</t>
  </si>
  <si>
    <t>Josef Valenzueta</t>
  </si>
  <si>
    <t>, D* Francisco Guarro, D. Felipe Casalduc, D. Josef Moya, D* Domingo de los Santos, D. Marías Cruz, D. Josef Valenzueta, D. Cándido Turit, D* Nicolás Dehesa y D. Manuel Barba* El Rey nuestro Señor, á consulta del Supremo Consejo de Castilla de 5 de Octubre de 1806, se ha dignado conceder licencia y</t>
  </si>
  <si>
    <t>Josef Valle</t>
  </si>
  <si>
    <t>ía de Borbon Tenencia al Subteniente D. Heririque Róger de Caux, y Subtenencia de bandera al Cadete D. Josef Valle. S. M. se ha servido conferir el empleo de Teniente Coronel del Regimiento de infantería de Hibernia al Comandante del tercer batallón del mismo Cuerpo D. Juan Brickdale. El Rey s</t>
  </si>
  <si>
    <t>Josef Vallejo y Alcedo</t>
  </si>
  <si>
    <t>alladolid: para la plaza de la de Valencia, por ascenso de D. Gerónimo Diez, al Alcalde mas antiguo D. Josef Vallejo y Alcedo: parada de la Chancillería de Granada, por ascenso del D. Antonio Alcalá Galiano, al Alcalde de la misma Chancillería D. Antonio Guaxardo y Faxardo: para la de la Audiencia de la</t>
  </si>
  <si>
    <t>Josef Vasco, Francisco</t>
  </si>
  <si>
    <t>Francisco Josef Vasco</t>
  </si>
  <si>
    <t>ue se halla en esta ciudad.-—En la noche del citado dia se sirvió en las Casas que tenia preparadas D. Francisco Josef Vasco, Teniente de S. A. R., un exquisito'y abundante refresco, concurriendo á él la nobleza de ambos sexos, Religiosos, Eclesiásticos y Oficialidad que existía, en esta ciudad. : T ' "</t>
  </si>
  <si>
    <t>los Reales retratos, que se retiraron con la misma pompa y forma á las casas del Teniente de S. A. D. Francisco Josef Vasco, y coiocadps baxo el competente dosel, se sirvió un espléndido refresco á la Nobleza de ambos sexós, Clero, Religiones, Cuerpos civiles, y todos los Militares existentes aquí, toc</t>
  </si>
  <si>
    <t>Josef Veles</t>
  </si>
  <si>
    <t>enientes á IosSubtenientes de granaderos D. Manuel Vilianueva y D. Josef Viya,»:y., al de fusileros D. Josef Veles ; á Subtenientes de granaderos á, los de fusileros D. Tuis de Vera y D. Domingo Urquizabaso; á Subtenientes dg ,com-, pama á ios de bandera D. Francisco Zosaya, D. Joaquín Árt-ach</t>
  </si>
  <si>
    <t>Josef Ventura</t>
  </si>
  <si>
    <t>rofesores modernos, Ilustrada con muchas observaciones prácticas, y con 24 láminas finas*, su autor D. Josef Ventura, Cirujano que fué del hospital general de la Pasión: 2 tomos ■ en 4.0 r=:Perfecto diario del cristiano, distribuido en los dias ríe la semana, con el orden que acostumbra la santa</t>
  </si>
  <si>
    <t>Josef Ventura Duro y Solano</t>
  </si>
  <si>
    <t>nato, vacante en la Catedral de Calahorra por fallecimiento de D. Víctor Pablo Aguiriano y Gómez, á D. Josef Ventura Duro y Solano, con retención de la Canongía que obtenia de la misma Iglesia: para la Canongía vacante en la Colegial de Sta. Fe, en el Arzobispado de Granada, por muerte de D. Josef Antonio de</t>
  </si>
  <si>
    <t>ara el Beneficio rural de Torrejon y Villalpando, en la Diócesis de Cuenca, vacante por dimisión de D. Josef Ventura Duro y Solano, electo Arcediano titular y Canónigo de la Catedral de Calahorra, á D. Josef González de Anguisólea. El Rey se ha servido conferir- en el Regimiento de infantería de la Reyna Comp</t>
  </si>
  <si>
    <t>Josef Vergára</t>
  </si>
  <si>
    <t>La misma á D. Juan Garcds; para la Cancngía á D. Sebastian Rodríguez Xaramillo, y para la Ración a D. Josef Vergára: para igual Dignidad de Tesorero de la Metropolitana de Guatemala á D. Manuel Angel Toledo: para la Penitenciaría de la Catedral de la Puebla de los Angeles á D. Gaspar de Mexías;</t>
  </si>
  <si>
    <t>Josef Vicente de Góngora</t>
  </si>
  <si>
    <t>e servidero de la Parroquia de Sta. María de Jaraíz, Diócesi de Plasencia, vacante por promoción de D. Josef Vicente de Góngora á Canongía de la Catedral de Almería, á D. Pedro Pavón Manzano, Cura de la Parroquial del lugar de Múñana , Obispado de Avifa. El Rey se ha servido nombrar para una Canongía de la</t>
  </si>
  <si>
    <t>Josef Viguer</t>
  </si>
  <si>
    <t>viaron en Barcelona un vale de 300 pesos, y dos de 150, endosados por D. Carlos Torrents á favor de D. Josef Viguer. Quien supiere de su paradero, «e servirá avisar en Barcelona á D. Pedro Antonio Viguer, en la calle de Basca ; y en Madrid á D. Gabriel de Zavala, en la calle: del Cármen, mira.</t>
  </si>
  <si>
    <t>Josef Villalon</t>
  </si>
  <si>
    <t>vido S. M. promover á Subteniente de bandera del primer batallón de Voluntarios de Aragón ai Cadete D. Josef Villalon. En atención á la calidad, enlaces y servicios de D. Josef de Careaga Xibaje y Ballesteros, Regidor preeminente y Alférez mayor perpetuo de la ciudad de Almería, y de sus ascendie</t>
  </si>
  <si>
    <t>Josef Villavicencio y Rodríguez de Arias</t>
  </si>
  <si>
    <t>D. Antonio Diaz de Herrera, D. Francisco Rodríguez López Guerrero, D. Juan Moro de Flores y Mendez, D. Josef Villavicencio y Rodríguez de Arias, D. Fulgencio Anrich y Gómez,D. Francisco Sirera y Sánchez, D. Josef Ranero y Santelices, D. Lorenzo Villegas y Coronel, D. Juan del Rio y Noguerido, D. Josef Carreño y Ramírez, D</t>
  </si>
  <si>
    <t>Josef Vítor de Oñate</t>
  </si>
  <si>
    <t>e abertura el Sr. Marques de Gallegos, primer Director; el del elogio del Soberano el primer Censor D. Josef Vítor de Oñate, leyendo después el segundo Secretario D. Manuel Silvela el extracto de. las actas desde el año anterior. De seguida el expresado Sr. Director dio los premios á los individuos que</t>
  </si>
  <si>
    <t>Josef Vorster</t>
  </si>
  <si>
    <t>uizo de Reding, cuín. 3.°j se ha servido S. M. promover á Capitán segundo al Teniente de granaderos D. Josef Vorster: esta resulta ai Teniente Don Inocencio Taíti; y á Subteniente de granaderos al de fusileros D. Jerge Widerman: en el de Preux á Subtenientes de bandera á los Cadetes Don Luis Duf</t>
  </si>
  <si>
    <t>Josef Wirtz</t>
  </si>
  <si>
    <t>rnumerario á D. Xavier Traxler; y ettel de Wimpffen á Subtenientes á los Cadetes D. Félix Grangier, D. Josef Wirtz y D. Juan Víctor Glntz. - - ' , S. M. se ha servido nombrar Capitán delReal Cuerpo de Artillería á D. Josef Miranda. En la Gazeta del martes 5 del corriente, capítulo de Beriin, se co</t>
  </si>
  <si>
    <t>Josef Xavier de Lardizabal</t>
  </si>
  <si>
    <t>ema moderno de guerra, traducido del francés por eí 2.0 Ayudante Mayor de Reales Guardias Españolas D. Josef Xavier de Lardizabal, aumentándolo con notas, y un discurso én que se da noticia de la guerra, tomando ’ al hombre en el estado natural , y de los progresos que ha hecho hasta el dia; se trata de la i</t>
  </si>
  <si>
    <t>Josef Xavier de Torres</t>
  </si>
  <si>
    <t>nas, á D. Francisco P¡gz Durana; para el Arcedianato á D. Raymundo de Mixares, y para }a Chantría á Don Josef Xavier de Torres; para la Tesorería de La misma á D. Juan Garcds; para la Cancngía á D. Sebastian Rodríguez Xaramillo, y para la Ración a D. Josef Vergára: para igual Dignidad de Tesorero de la Me</t>
  </si>
  <si>
    <t>Josef Ximenez</t>
  </si>
  <si>
    <t>do nombrar para una Canongía de la Santa Iglesia de Toledo , que-resultará vacante por promoción de D. Josef Ximenez al Obis^ pado de Cartagena, á D. Juan Antonio Llórente, Canónigo de ia Catedral de Calahorra: para el Beneficio residencial de la Parroquia de la villa de Binuesa, en el Obispado</t>
  </si>
  <si>
    <t>e al Sargento primero D, Baltasar Fernandez: en el de Santiago empleo de Alférez al Portaestandarte D. Josef Ximenez; y en el de cazadores de Olivencia empleo de Alférez al Cadete D. Joaquín Gómez. El Real cuerpo de Capellanes de Honor de S. M., para dar un testimonio de amor y de gratitud á la</t>
  </si>
  <si>
    <t>o conferir en ei Regimiento de infantería de la Princesa Compañía al Anudante, graduado de Capitánj D. Josef Ximenez; y en el de Asturias Tenencia al Subteniente D. Rafael Maroto: en el de Murcia Compañía ai Ayudante, graduado de Teniente Coronel, D. Sebastian Cano.</t>
  </si>
  <si>
    <t>mo se consagraron en la Iglesia del Real Monasterio de la Visitación de está Corte los limos. Sres. D. Josef Ximenez, Obispo de Cartagena, y D. Manuel Vicente Martínez y Xime-nez, que lo es de Astorga, habiendo sido consagrante de ambos el Emo. y Excmo. Sr. Cardenal Arzobispo de Toledo, y asiste</t>
  </si>
  <si>
    <t>Josef XinSéñéz</t>
  </si>
  <si>
    <t>servido nombrar para él Obispado de Cartagena, vacante por muerte de D. Victoriano López Gonzalo, á D. Josef XinSéñéz, Cano* nigo de la Catedral de Toledo. El Rey se ha servido promover á Mariscal dé Campó de sus Exdrcitós al Brigadier D. Josef de Nueros, Coronel del Regimiento de caballería de A</t>
  </si>
  <si>
    <t>Josef Yañez, Juan</t>
  </si>
  <si>
    <t>Juan Josef Yañez</t>
  </si>
  <si>
    <t>Tenencia al Subteniente de granaderos D. Joaquín Aguilera, y Subtenencias de bandera á los Cadetes D. Juan Josef Yañez y D. Juan Ameller, este del inmemorial del Rey. ' " . Igualmente ha conferido S. M. en el segundo Batallón de Voluntarios de Barcelona el empleo de Capitan primero al segundo D. Const</t>
  </si>
  <si>
    <t>Josef Yustiniani y Cabrera</t>
  </si>
  <si>
    <t>Josef González de Argandoña, D. Manuel de Umendia y Foronda, D. Quirico de Aristizaval y Sequeyra, D. Josef Yustiniani y Cabrera, D. Rafael de Elisa y Caamaño, D. Julio Ponce de León y Morejon, D. Domingo del Barco yMoron, D. Manuel Paulin y Cotiella, Don Francisco Pareja y Cameros, D. Josef Marco y Espejo,</t>
  </si>
  <si>
    <t>Josef Zapatero Rosado</t>
  </si>
  <si>
    <t>.° de Noviembre próximo, á Don Ignacio Zenzauo, Procurador Síndico general de dicha viila,y al Lie. D. Josef Zapatero Rosado, Diputado del común. Grandezas y excelencias de !a Virgen nuestra Señora, compuestas en octava ríina por Fr. Pedro de Padilla, Carmelita Calzado: nueva impresión, corregida é ilus</t>
  </si>
  <si>
    <t>Josef, Príncipe</t>
  </si>
  <si>
    <t>Príncipe Josef</t>
  </si>
  <si>
    <t>cias por lavicib riaajúeuéni .AusterlitzialGanziixon ) 4$,] armas.. de:. rS. M.; cón asistencia del Príncipe Josef, ei Arclii-Canciller del Imperio., los Ministros;&amp;c. i. lS¡i(?n. 34 del Diario del exértilógrande. Briinn 10 de Diciembre. Hoy ha recibido el Emperador al Príncipe Repnin, que que</t>
  </si>
  <si>
    <t>. .•FRANCIA. ■ iGínova 22 de Enero. El correo de Alexandríá ha traído la noticia de que S. A. I. el Príncipe Josef habla pasado por aquella ciudad con toda su familia y una comitiva en 20 coches. El camino qué ha seguido parece anunciar que este Príncipe está encargado de una comisión importan</t>
  </si>
  <si>
    <t>da. Se dice que apenas costará 600© pesetas la obra que falta hacer en aquella magnífica cúpula. El Príncipe Josef tenia su quártel general en Ferentino el 9 de Febrero , en cuyo día se publicaron dos proclamas, una dirigida á los habitantes, del Reyno de Ñapóles, prometiendo que seria respeta</t>
  </si>
  <si>
    <t>guientes: en el ala derecha el del Emperador de los Franceses y su esposa, y en la izquierda el del Príncipe Josef, Grande Elector, y del. Príncipe Luis, Condestable, :colocá-&gt; dos todos con simetría. Se hallará iluminada á 4 rs. en las librerías de Escribano y Gutiérrez, calle de las Carretas</t>
  </si>
  <si>
    <t>Josef- Sutter</t>
  </si>
  <si>
    <t>do á D. Bonifacio: Koppenban ;&gt; Tenencia de granaderos á D. Vicente* Meyer; Tenencia de fusileros á D. Josef- Sutter; Subtenencia de^gra-* naderos á D. Josef V^ohleben; Subtenencia de fusileros ál Cadete D. Bo^niíacio Reding, y grado de Teniente Coronel al Ayudante D. Luis Gogel»</t>
  </si>
  <si>
    <t>Josefa Jodar, María</t>
  </si>
  <si>
    <t>María Josefa Jodar</t>
  </si>
  <si>
    <t>acequia mayor por medio de uña arroba, baso determinados lindes, sujetas á Ja obra pia fundada por Doña María Josefa Jodar en la Iglesia Parroquial de las Santas Justa y Rufina de aquélla ciudad, las quales han sido valoradas en 907 libras y 8 dineros en venta, y gdlibrás, 5 sueldos y 8 dineros erirentá</t>
  </si>
  <si>
    <t>Josefa Loreto y Doña- Josefa Nolasca</t>
  </si>
  <si>
    <t>ía en México por los años de 1787, con 4 hijos llamados D; Josef Pedro, Doña* Josefa Están i si aa, Doña Josefa Loreto y Doña- Josefa Nolasca , cuya existencia se ignora; y siendo únicos interesados en la herencia de la Doña María Santos,, hermana y tía. respectivamente , se Ies da este aviso- para que puedan concurrir</t>
  </si>
  <si>
    <t>Josefa-Guadarrama</t>
  </si>
  <si>
    <t>menor daño á Ja salud. Se hallará én :1a' calie de Santa Polonia, núm. 9, quarto principal, casa-de Doña Josefa-Guadarrama. •' .... Los libros de la Doctrina Cristiana de S. Agustín según, la edición de- S. Mauro, en que se dan reglas para entender y enseñar las. santas Escrituras , traducidos del lat</t>
  </si>
  <si>
    <t>JoseFBernardino de Orihuela</t>
  </si>
  <si>
    <t>Catedral. Para Canónigo de la de la Paz á D. Mariano Perez Uriondo: para la Ración que este dexa á D. JoseFBernardino de Orihuela; y para la Media que este obtenía á D. Aiexandro Fernandez Sardón, Cura Rector de ella. Para otra Canongía de la propia Iglesia á D. Nicolás Hore: para la Ración á Don Josef Romer</t>
  </si>
  <si>
    <t>JosefFernandez y Garrida</t>
  </si>
  <si>
    <t>stado antes, en-Mál^ga^er D. Joaquín Martínez de la Piscina, Tespreto^d^l Real Consulado; cn Madtid D. JosefFernandez y Garrida* Agentcdemegocios, plazuela de los TruxilI-os; en Santander Jos Señores Vial é,hijp, y compañía* ,ep,la2Cpruña; los.Sres.¡Lope?,Sag^tizabal é hijo* en Bilbao, b. Juan Bautista,,de</t>
  </si>
  <si>
    <t>Josei González Calderón</t>
  </si>
  <si>
    <t>n, vacante en dicha Catedral de Toledo por promoción de D. Mateo Anchuelo á Canongía de la misma, á D. Josei González Calderón, con retención de la Dignidad de Capiscol que obtiene: para igual Prebenda en la propia Catedral, vacante por ascenso de D. Ramón Escriehe á una Capellanía de Reyes Nuevos, á D. M</t>
  </si>
  <si>
    <t>Joseí Ligero</t>
  </si>
  <si>
    <t>Peyrolon y compañía. En Valladolid. Sres. D. Francisco Durango é hijo mayor. En Zamora.......... . D. Joseí Ligero. En Zaragoza........ D. Tomas de la Madrid. En Zeuta............... D. Pedro Huguet, comisionado subalterno del de Cádiz, En virtud de providencia del Sr. D. Francisco Xavier Urio</t>
  </si>
  <si>
    <t>Josei Prieto</t>
  </si>
  <si>
    <t>Fernandez Negrillo ; iguales emplees en los Batallones de Olancho y Cartago al Capitán de Milicias D. Josei Prieto* y aí Subteniente veterano ae las Compañías de Milicias de Chontales D. Josef Garric;y esta resulta á D. Juan Antonio Alcalá, Sargento primero veterano del referido Batallón de Ol</t>
  </si>
  <si>
    <t>Josel María Puig de Sampér</t>
  </si>
  <si>
    <t>seguida pronunció un discurso elegante, y muy apropiado al objeto y circunstancias del dia, el Sr. D. Josel María Puig de Sampér, Caballero pensionado de la Real Orden Española de Carlos m, del Consejo Supremo de Castilla, y Presidente de la comisión nombrada por S.M., á propuesta del Sr. Generalísimo, para</t>
  </si>
  <si>
    <t>Joser de Escalante</t>
  </si>
  <si>
    <t>ádiz.....Sresy Vienne y Larúe. Coruiia........... Sres. López, Sagastizabal é hijo. Santander...... D. Joser de Escalante. S&gt; Sebastian... D. Miguel Antonio Bengoechea* Bilba».......,.,. Sres. Ardanaz é hijo y Bengoa, EN LA IMPRENTAi REAL r-""&gt; f?? •' • '. &gt;</t>
  </si>
  <si>
    <t>Joser, Príncipe</t>
  </si>
  <si>
    <t>Príncipe Joser</t>
  </si>
  <si>
    <t>... _ _í;: 3. a Otro decreto acerca dej Reyno de Ñapóles, que S. M. I. destina4 su hermano mayor el Príncipe Joser, conservándote íps derechos que tiene asegurados á. la,Corona de Frapcia, por la constitución del |mperio ry. también el título de Grande Elector. 4.a La cesión en toda soberanía</t>
  </si>
  <si>
    <t>Joset de Asso</t>
  </si>
  <si>
    <t>o de la Catedral de Jaca, vacante por ascenso de D. Andrés Torres y Gómez, al Obispado de Oviedo, á D. Joset de Asso, Canónigo de la misma Iglesia; y para una Ración de la Parroquial de la villa de Pina, Diócesi de Zaragoza, á D. Julián Josef Mantecón.</t>
  </si>
  <si>
    <t>Joset María</t>
  </si>
  <si>
    <t>D. Rafael Mateo; y de 8 Pages del Rey, D. Joaquin de la Cueva, D. Manuel Pando, D. Juan de Yanguas, D. Joset María de face, J). Tomas Peñaran</t>
  </si>
  <si>
    <t>Joset Schwager</t>
  </si>
  <si>
    <t>r al Capitán D, Josef de Ozaeta; á Capitán al Teniente de granaderos, graduado de Teniente Coronel, D, Joset Schwager; á Teniente al Subteniente de granaderos J&gt;. Juan Recio i y á Subteniente ' de bandera al Cadete’ del de Saboya D¿. Matías González dé Castro. En el Regimiento de infantería de Bu</t>
  </si>
  <si>
    <t>Jostf Duran</t>
  </si>
  <si>
    <t>se ha servido el Rey promover á C2pitan al Teniente Don Josef Mariano Arias; á Teniente al Alférez D. Jostf Duran; á Alférez al Portaguión D. Josef Manuel de Porras, y á Portaguión á D. Mariano lia» niirez de la Cuesta, vecino de ia demarcación del Regimiento,</t>
  </si>
  <si>
    <t>Jqsef Antonio Arespacochaga</t>
  </si>
  <si>
    <t>nguidos alumnos, de ia clase de Humanidades, y lo fuéron D. Juan de Arias, D. Josef María Bermudez, D. Jqsef Antonio Arespacochaga y D. Josef'María Tenorio. El primero arengó á la Sociedad, y el segundo leyó una oda. Después fuéron preguntados cada uno de ellos con separación, y en sus respuestas causaron el mas</t>
  </si>
  <si>
    <t>Jracobo Manuel Manrique</t>
  </si>
  <si>
    <t>ovidencia del Sr. D. Torqualo Antonio Collado, Teniente Corregidor de esta villa, ánte el E^cribaao D. Jracobo Manuel Manrique* y de comisión especial del limo,., Sr. Decano Gobernador interino del Consejose ha mandado subastar, por terminote 30 días contados desde el 4 del corriente, una casa sita en la</t>
  </si>
  <si>
    <t>Ju, Juan</t>
  </si>
  <si>
    <t>Juan Ju</t>
  </si>
  <si>
    <t>Axcediano - de la misma Iglesia: para igual Dignidad de Arcediano de la de ^ Córdoba del Tucuman a Don Juan Ju to Rodríguez : para la Chantría que .este dexa al Canónigo .pon Francisco Xavier de Mendiolaza? para la Doctoral de la Catedral de Comayagua, en el Reyno de Goatemala, á D. Juan M</t>
  </si>
  <si>
    <t>Jua</t>
  </si>
  <si>
    <t>En 1787 hizo toda la campaña de evoluciones mandando la fragata Santa Rosa, de la insignia del Sr. D. Jua.n de Lángara, Comandante General de la .esquadra, y en Febrero siguiente pasó Uon la misma fragata á Constantinopla á una comisión importante de 1 servicio. En el verano de 89 fué</t>
  </si>
  <si>
    <t>D. Pedro Juan de Batista, á D. Juan Josef Martínez; y para la Tesorería que este dexa al Magistral. D. Jua». Josef CabarCas. El remate dé la casa sita én la calle del Amor de Dios, nimí. 1, manz. 237, tasada en 614,891 xs., se ha verificado en la misma cantidad en vales Reales; y</t>
  </si>
  <si>
    <t>Juáh Bover</t>
  </si>
  <si>
    <t>d de Granada á D. Benito Losada y Quirós: para la Vara de Alcalde mayor de la ciudad de Antequera á D. Juáh Bover; y para el Corregimiento de Letras de las villas de Inhiesta y Villanueva de la Jara á D. Blas ídel Conde. : ! ' ■ En los días 26 y 27 de Junio s¿ celebraron exámenes públicos de</t>
  </si>
  <si>
    <t>Juan Andrés</t>
  </si>
  <si>
    <t>e Orea, frente á S. Luis. Origen, progresos y estado actual de toda la literatura, por el Sr. Abate Don Juan Andrés: tomo 10. Se hallará, con los anteriores, en la librería de Sancha, calle del Lobo. En la tienda de papel rayado y música de la carrera de S. Gerónimo, frente á la Soledad, se ven</t>
  </si>
  <si>
    <t>Juan Antonio</t>
  </si>
  <si>
    <t>por tercero y último se les asigna, comparezcan en su audiencia, y por la escribanía del número de D. Juan Antonio db Urráza,por sí 6 por thédio de procurador, ¿legitimar el que les asista;conlaprevencion de que pasado $e pfOGétferává 'lo* qué lláya- lugar. f Les abastos de pan r aceytér, xabo</t>
  </si>
  <si>
    <t>ento primero D. Bartolomé Guillen ; y en el de infantería de Aragón el de Subtenientes de bandera á Don Juan Antonio; Roldan y D- ManueL Marín,, Sargento primero y Cadete del mismo cuerpo. En América. El Rey se ha dignado conceder Compañía en el batallón de Milicias disciplinadas de Chiquimula e</t>
  </si>
  <si>
    <t>Juan Antonio Alberto</t>
  </si>
  <si>
    <t>0 pesos, núm. 284539, creación de Enero, endosado en 17 del presente á favor de Juan Antonio Alberto, vecino de la ciudad de Cuenca. Quien supiere su paradero lo avisará en esta Corte á D. Casiano Antonino Perez Beltran, Agente de los Reales Consejos, que vive calle de Jesús del Valle, c</t>
  </si>
  <si>
    <t>Juan Benito</t>
  </si>
  <si>
    <t>uisición: para la Canongía de la Catedral de Segovia, vacante por muerte de D. Josef Sanz Monroy, á D. Juan Benito, Cura de la Parroquial de la villa de Sepulveda en aquella Diócesi : para la Prestamera de la Parroquial de la villa de Zafra, Diócesi de Cuenca, vacante por fajlecimienro de D. E</t>
  </si>
  <si>
    <t>Juan Felipe, Conde</t>
  </si>
  <si>
    <t>Conde Juan Felipe</t>
  </si>
  <si>
    <t>146 geros á su Ministro el. Conde Juan Felipe, de. Stadloa, ántes Embaxador en la Corte de Rusia, ha hecho juramento el 20-del corriente en manos de S. M. (Gazeta de Viena). El Conde de Wurbna, Comisario Imperial para el gobi</t>
  </si>
  <si>
    <t>Juan Martín</t>
  </si>
  <si>
    <t>nfantería ligera de Voluntarios de Barcelona se ha servido promover, á Capitán, segundo al Teniente D. Juan Martin de.Arévalo; á Teniente al Subteniente D„ Francisco de Paula Grifols, y á Subteniente de bandera al Sargento primero D. Ramón Prats: en el batallon de infantería ligera de Voluntarios</t>
  </si>
  <si>
    <t>Juan, Archiduque</t>
  </si>
  <si>
    <t>Archiduque Juan</t>
  </si>
  <si>
    <t>aco Schmidt: 7.a la desobediencia de los Generales Jellachich y Príncipe de Rohan á las órdenes del Archiduque Juan." Es de.extrañar que el compositor de este periódico, ya que ha subido á buscar en su origen las causas de los desgraciados acaecimientos que han debilitado la Monarquía Austríaca</t>
  </si>
  <si>
    <t>migos, se ha sincerado completamente del cargo que se le hizo de no haber executado las órdenes ael Archiduque Juan: en su conseqiiencia ha vuelto á entrar en el servicio activo, y se le ha confiado el mando de la brigada de Pest. Ya se ha restablecido enteramente del balazo que recibió en el e</t>
  </si>
  <si>
    <t>vio de los pobres que mas han sufrida en los Estados hereditarios en la ultima campaña. S. A. R. el Archiduque Juan, Director general del Cuerpo de Ingenieros , ha salido de aquí con 8 Oficiales para el Austria Superior, á fin de visitar las nuevas fronteras, y señalar los puntos mas susceptibl</t>
  </si>
  <si>
    <t>se hallan en Hungría, el Archiduque Luis está visitando y examinando las fronteras orientales , el Archiduque Juan las meridionales de la Monarquía, y el Archiduque Fernando está viajando para pasar revista á las tropas en Moravia y en Silesia. ALEMANIA. Ratisbona 28 de Mayo. El Barón de Albini, M</t>
  </si>
  <si>
    <t>cip-AqueldlU mismo:fiaron de Thugut una larga audiencia del Monarca* v ¡ r* w- íÍ: ; m! $. A. R. el Archiduque Juan saldrá de aquí eL 2$ para -jr á ]visitar;tlá» diferentes provincias de la Monarquía. x , i *. - j, . ; i jRatisbona. 24 ,de} Junto. :;¿ííi m Li/i • ’..Ha:salido ya do aquí para, L</t>
  </si>
  <si>
    <t>gría ha hecho su dimisión, y que la Corte la ha aceptado, y piensa conferir este empleo eminente al Archiduque Juan. Dícese que el motivo de tan extraordinaria dimisión ha sido que desesperanzado el Archiduque de poder conseguir el que los Magnates y Proceres de Hungría adopten con gusto lo que</t>
  </si>
  <si>
    <t>Juan, Papa</t>
  </si>
  <si>
    <t>Papa Juan</t>
  </si>
  <si>
    <t>preHendé desdé él principio del primer Concilio general de León en el año 1245 hasta la myert;e dél Papa Juan xxn en el de 1334- Se hallará, con los anteriores, en la librería de Campo, cálle de Alcalá; en Zaragoza en la de Monge, y en Valencia en la de Mállen.^j Pura mayor comodidad del</t>
  </si>
  <si>
    <t>é ilustrada con notas por lo perteneciente á España: tomo xiv, que comprehende desde la 'muerte del Papa Juan xxii en el año 1334 hasta la decadencia de los fautores del gran cisma de Occidente en el de 1400. Se hallará, con los anteriores, en la librería de Campo, calle de Alcalá; en Zar</t>
  </si>
  <si>
    <t>Juan, Príncipe</t>
  </si>
  <si>
    <t>Príncipe Juan</t>
  </si>
  <si>
    <t>ges por donde deba pasar. La división consta de los cuerpos siguientes: destacamento del Regimiento Príncipe Juan: 15 Oficiales, 124 Sar?gentos, Cabos y Soldados, 117 caballos: id. del Príncipe Alberto: 1 4 Ofi"ciales, 134 Sargentos, Cabos y Soldados, 128 caballos, id*i del.Príncipe Clemente:</t>
  </si>
  <si>
    <t>Juan- de Lichtestein, Príncipe</t>
  </si>
  <si>
    <t>Príncipe Juan- de Lichtestein</t>
  </si>
  <si>
    <t>n la compra de granos y de ganados en las provincias Rusas, y conducirlo todo á esta capital.. . El Príncipe Juan- de Lichtestein ha solicitado y se le ha concedido la exoneración del exercicio de su empleo de Feld-Mariscal, para ocuparse única y exclusivamente en los negocios del Gobierno.---- Esperamos de</t>
  </si>
  <si>
    <t>Juan-Antonio Arnau</t>
  </si>
  <si>
    <t>Parroquia de Santiago de la ciudad de Villena, en la Diócesi de Cartagena, vaií cante por muerte de D. Juan-Antonio Arnau, á D. Vito Lucas Escantilla, Presbítero : para el de la Parroquia de Santa María de la propia ciudad de Villena, igualmente servidero, vacante por muerte de D. Blas GarcíaGarei-Sa</t>
  </si>
  <si>
    <t>Juana María Muñoz</t>
  </si>
  <si>
    <t>29 de Agosto próximo pasado fatíecíó en esta Corte, á los 44 años y 4 meses de edad, la Excma. Sra. Doña Juana María Muñoz, Jofre de Lcaya &amp;c., Condesa viuda de Revillagigedo y de Giiemes, D¿ma de las Reales Ordenes de la Rey na nuestra Señora, y de la de la Cruz Estrellada</t>
  </si>
  <si>
    <t>Juana Rodríguez, María</t>
  </si>
  <si>
    <t>María Juana Rodríguez</t>
  </si>
  <si>
    <t>r. Se han extraviado dos libramientos de fondo vitalicio, segunda hipoteca, número 1953, á favor de Doña María Juana Rodríguez, de 720 rs. cada uno, correspondientes al año pasado de 1805. Quien supiere de su paradero los entregará á su dueño, calle de la Luna, núm. 8, quarto baxo, frente á la calle de la</t>
  </si>
  <si>
    <t>Juanes, Matías</t>
  </si>
  <si>
    <t>Matías Juanes</t>
  </si>
  <si>
    <t>Tenencia al Subteniente D. Francisco de Paula Vázquez; y Subtenencia de bandera al Sargento primero D. Matías Juanes; y en el de Voluntarios de la Corona Tenencia al Subteniente de granaderos, graduado de Teniente, D. Josef Bonet. S. M. se ha servido promover á Teniente Coronel del Regimiento de</t>
  </si>
  <si>
    <t>JuanTLcar</t>
  </si>
  <si>
    <t>El mismo D. JuanTLcar hizo el cálculo de las observaciones de la Isla y Pamplona, y halló por la observación de immersion en la Isla de León, la hora ce la conjunción en aquel Real Observatorio á 3h 55</t>
  </si>
  <si>
    <t>Juap</t>
  </si>
  <si>
    <t>les» Quien quisiere hacer mejora á dichas fincas acuda;ante dicho Sr. Alcalde, por la estiba ota $$ D, Juap ^ntonierDiaz Noriega. ,r . r &gt; ; qel(MS,^’D, To^cjuato. António-Coílaao, Tenientp Corregidor dé ^s.t^ y^jía^ .sq m^rujA sacar ,a píibiic^ sub^t^,,ípor J^rmino de ga dias ooptados</t>
  </si>
  <si>
    <t>Julia Teodora Cerf-Berr</t>
  </si>
  <si>
    <t>e-.íEsté último acaba de-darse á luz, con la traducción Francesa, por la Señorá,Julia Teodora Cerf-Berr, hija de uno de los Diputados. Este, discurso’és muy .notable , por no respirar mas que una . moral pura. El Rabino Mr. Segré pinta ¡muy al vivo las^ ventajas incalculables que han de s</t>
  </si>
  <si>
    <t>Juliaft Xanciego</t>
  </si>
  <si>
    <t>«cla'al' oficio de D. Juliaft Xanciego, Escribano privativo de la comisión; previ» • niéftdose de que se ha señalado el dia 16 dtl presente para su remate. 'Por providencia dé; D. Antonio Basilio de Acosta * Comisionad</t>
  </si>
  <si>
    <t>Julio Alberto Viucenz</t>
  </si>
  <si>
    <t>los Cadetes Don Luis Dufourt y D. Estéban Ganioz : en el de Traxler á Tenientes á ios Subtenientes D. Julio Alberto Viucenz y D. Juan Baptista Ebneter, el primero de granaderos; y á Subteniente de granaderos al de fusileros Don Pedro Amarca: en el Batallón de infantería de Canarias á Subteniente al Cadete</t>
  </si>
  <si>
    <t>Julio Fernanda Leopqldo de ÍPsus, Príncipe</t>
  </si>
  <si>
    <t>Príncipe Julio Fernanda Leopqldo de ÍPsus</t>
  </si>
  <si>
    <t>&gt;:&gt; j;hÍK¿ j;l :ii.r»^q&gt;ni r, , El 1.° del corriente4; las^3 - de.-4 mañana ^rf^Ue?id^íS»:A. ¡R. el Príncipe Julio Fernanda Leopqldo de ÍPsus^dJiiJq tnenpf dewS;;M. ,.qdiePv lo amaba entrañablemente, y por lo;misnid ha, sido general el sentimiento y aflicción de todos los habitantes de esta capital. , , . • : h ofj ; t;</t>
  </si>
  <si>
    <t>Julio Ghristen</t>
  </si>
  <si>
    <t>ry: en el de Betschart Compañía de granaderos á D. Agustiit Amstutz; el empleo de Capitán primero á D. Julio Ghristen; el de Capir* tan segundo á D. Bonifacio: Koppenban ;&gt; Tenencia de granaderos á D. Vicente* Meyer; Tenencia de fusileros á D. Josef- Sutter; Subtenencia de^gra-* naderos á D. Jose</t>
  </si>
  <si>
    <t>Julio Ponce de León y Morejon</t>
  </si>
  <si>
    <t>D. Quirico de Aristizaval y Sequeyra, D. Josef Yustiniani y Cabrera, D. Rafael de Elisa y Caamaño, D. Julio Ponce de León y Morejon, D. Domingo del Barco yMoron, D. Manuel Paulin y Cotiella, Don Francisco Pareja y Cameros, D. Josef Marco y Espejo, D. Ramón Arias y Toubes, D. Ignacio Chacón, D. Angel Valdes y D</t>
  </si>
  <si>
    <t>Junco, Manuel</t>
  </si>
  <si>
    <t>Manuel Junco</t>
  </si>
  <si>
    <t>miento de Suizos de Courten: para otra Canongía, vacante en la Catedral de Valladolid por muerte de D. Manuel Junco, á D. Josef Berdonces, Bibliotecario primero de la Biblioteca Real de aquella ciudad: para una Media-Ración, afecta á la voz de Tenor en la Capilla de la Catedral de Málaga, vacan</t>
  </si>
  <si>
    <t>JunguitoFn, Rafael</t>
  </si>
  <si>
    <t>Rafael JunguitoFn</t>
  </si>
  <si>
    <t>Y.se ha servido conceder én el Regimiento de infantería de Sevilla Subtenencia de bandera ai Cadete D. Rafael JunguitoFn el' Regimiento de caballería de Algarbe sé ha servido S. M. conferir el empleo de Sargento mayor al Capitán del de Borbon D. Juan Espronce— da: Compañías á los Ayudantes, graduados</t>
  </si>
  <si>
    <t>Junot, General</t>
  </si>
  <si>
    <t>General Junot</t>
  </si>
  <si>
    <t>l Lord Lauderdale le ha puesto en precisión de ir á pasar algunos dias al campo, con cuyo motivo el General Junot, Gobernador de París, le ha ofrecido su quinta. El dia 24 tuvo junta extraordinaria el Senado conservador-Se cree que el objeto del mensage enviado por S. M. el Emperador fué de d</t>
  </si>
  <si>
    <t>Justo Andrés</t>
  </si>
  <si>
    <t>ento de las cocinas, hornos, ferrerías &amp;c., exponiendo los arbustos propios para ello y su cultura: Don Justo Andrés sobre los cereales ó semillas frumenticias, describiendo las tierras propias para cada una de ellas, habló del trigo marzal ó tremesino, y probó su utilidad en las circunstancias</t>
  </si>
  <si>
    <t>Justo Martínez de Baños</t>
  </si>
  <si>
    <t>lo era Supernumerario: á D. Vicente Calvo para la Vara de Alcalde mayor de la villa de Sepúlveda: á D. Justo Martínez de Baños para la de la ciudad de Málaga : á D. Ramón Macía de Lleopart para la de la ciudad de Ecija; y á Don Josef Joaquín Santa María para el Corregimiento de Letras de la ciudad de Tole</t>
  </si>
  <si>
    <t>Justo Pasalagua y Martínez</t>
  </si>
  <si>
    <t>y Barraguer, D. Joaquín Vial y Vacaro, Don '"Josef Pilón y Tobalina, D. Mariano García de Cáceres, D. Justo Pasalagua y Martínez, D. Antonio Godoy y Castro, D. Pedro López de Carrizosa , D. Antonio Ribera y Vázquez , D. Josef Paez y Mesa, D. Carlos Soubiran y Mantelan, D. Miguel Quesada y Tarriba, D. Toribi</t>
  </si>
  <si>
    <t>Justo Vargas</t>
  </si>
  <si>
    <t>l Capitán D. Narciso García, á Teniente al Subteniente D. Santiago Gómez, y á Subteniente al Cadete D. Justo Vargas: la Compañía suelta de disciplinadas de infantería de Chacao á D. Francisco Xavier Velazquez, Teniente de ias de S. Carlos; la Tenencia de aquella al Sargento primero de la misma</t>
  </si>
  <si>
    <t>Kalkreuth y Mrs, General</t>
  </si>
  <si>
    <t>General Kalkreuth y Mrs</t>
  </si>
  <si>
    <t>rusia y la Suecia se han trasladado á Petersburgo; pero na por esto-dexan de tratar directamente el General Kalkreuth y Mrs. Toii y Engelbrechs. También tiene freqiientes conferencias el Ministro de Mecklenburgo con Mr. de Haug■witz. No cesan de ir y venir correos de Petersburgo, Berlín y Greifswald, y</t>
  </si>
  <si>
    <t>Kalkreuth, General</t>
  </si>
  <si>
    <t>General Kalkreuth</t>
  </si>
  <si>
    <t>nio. Estamos en la inteligencia de que todos ios esfuerzos y medios persuasivos que ha intentado el General Kalkreuth han sido inútiles, y que el Rey de Suecia exigirá explicaciones todavía mas terminantes para creerse libre de los empeños que dice haber contraido con la Rusia y con la Inglaterra</t>
  </si>
  <si>
    <t>Kalkréuth, General</t>
  </si>
  <si>
    <t>General Kalkréuth</t>
  </si>
  <si>
    <t>64# Saecia y el General Kalkréuth; otros son de sentir que el'objetóles de máyor importancia, y que se trata de ver lo que responde el Emperador Alexandro á unos pliegos traídos de París. El tiempo descubrirá la v</t>
  </si>
  <si>
    <t>á Mulhaüsén el quartel general del General Rucbel. Ya no pasará por aquí el cuerpo de exército del General Kalkreuth; ha. •recibido orden de ir á otro destino. Lá fortaleza de Hatóeln está bien provista para 3 meses. \ ; • : .AUSTRIA, .. '¡i V: " " Viena ¿o dé Setiembre. ' ! Lo» ejemplares de la</t>
  </si>
  <si>
    <t>Greusen, persiguiendo lá coluna en que iba el Rey, que se cree se componía de ro ó 12® hombres. El General Kalkreuth, que la mandaba, envió á decir al Mariscal Soult, que se habia ajustado un armisticio. Respondió el-Mariscal* que era imposible que el Emperador hubiese cakio en semejante talca,</t>
  </si>
  <si>
    <t>al que podamos; rendid las armas, y en este estado aguardaré las órdenes del Emperador.” El anciano General Kalkreuth vio que no tenia que responder. Entrambos Generales se separaron, y al punto empezaron de nuevo las hostilidades: la aldea de Gremsen fue tomada, el enemigo arrollado, y perseguid</t>
  </si>
  <si>
    <t>constaba de io batallones y- if esquadrones. El cuerpo de reserva de este exército, que mandaba el General Kalkreuth, se componía de 2 q;visiones , qada una de 10 batallones de loa Regimientos de Guardias o .de gente encogida-, y de *20 esquadrones. .Por manera, que, el total general del exérclt</t>
  </si>
  <si>
    <t>Kalkreuth, Teniente General</t>
  </si>
  <si>
    <t>Teniente General Kalkreuth</t>
  </si>
  <si>
    <t>el Oder, Pasewalk, Preuzlow, Reinsberg, Stettin &amp;c. se agregarán al cuerpo de exército que manda el Teniente General Kalkreuth. El Príncipe Henrique ha puesto por sí mismo la banda del Aguila Roxa á tres de los primeros estadistas de nuestro Reyno, al Teniente General de Low, Ministro de Gabinete, al Teni</t>
  </si>
  <si>
    <t>Kamenskoi, Feld-Mariscal</t>
  </si>
  <si>
    <t>Feld-Mariscal Kamenskoi</t>
  </si>
  <si>
    <t>de los cazadores de la guardia. Dícese también que el General Kutusow será Gobernador de Moscow, el Feld-Mariscal Kamenskoi será Comandante en gefe del exército, y que Mr. de Novosiitzow Conseguirá el retiro que ha solicitado. El General Mack ha publicado en algunos periódicos la apología qué sigue: „</t>
  </si>
  <si>
    <t>Kaminnski, General</t>
  </si>
  <si>
    <t>General Kaminnski</t>
  </si>
  <si>
    <t>n en Bohemia, á saber: en Guitschin, Neuhaus, Jung-Bunzlau y Kuttemberg. Escriben de Polonia que el General Kaminnski, célebre por sus campañas de Persia, no ha admitido el mando del exército Ruso que se le ofrecía. Francfort 26 de Noviembre. Según cartas particulares de Berlín el exército Ruso q</t>
  </si>
  <si>
    <t>Kartwright</t>
  </si>
  <si>
    <t>causado al pueblo ver ocho cabezas cortadas se ha asegurado la tranquilidad. El nuevo Cónsul Ingles Mr. Kartwright ha sido también echado como su antecesor, aunque de un modo'mas político. No supo aprovecharse de los primeros momentos que tuvo de favor, y después , ha tenido que sjifrir mil de</t>
  </si>
  <si>
    <t>Kayser, Remigio</t>
  </si>
  <si>
    <t>Remigio Kayser</t>
  </si>
  <si>
    <t>e fusileros al Cadete D. Federico Guerraty: en el de Traxler Teniente de granaderos al de fusileros D. Remigio Kayser, y Subteniente de fusileros á D. Francisco Zellger: en el de Reding, num. 2.°, Subteniente de bandera al Cadete D. Sebastian Huber. En América. El Rey se ha dignado promover á Ten</t>
  </si>
  <si>
    <t>Kazout, Capitán</t>
  </si>
  <si>
    <t>Capitán Kazout</t>
  </si>
  <si>
    <t>s sucesos del combate, que una com-r pañía de descubridores del Regimiento num. 94, manda ía por el Capitán Kazout, fué rodeada por algunos esquadrones de caballería enemiga; pero las tropas ligeras Francesas, que no temen el ataque de los coraceros Prusianos, los recibiéron á pie firme, é hic</t>
  </si>
  <si>
    <t>Keith, Lord</t>
  </si>
  <si>
    <t>Lord Keith</t>
  </si>
  <si>
    <t>a Verhuel. Las últimas noticias que hemos recibido de Londres hasta 31 de Diciembre aseguran que el Lord Keith había recibido orden de desembarcar todas las tropas que se hallaban todavía en las, costas de Inglaterra, y de enviar al Weser y al Elba los buques de transporte necesarios para</t>
  </si>
  <si>
    <t>Kellerman, Mariscal</t>
  </si>
  <si>
    <t>Mariscal Kellerman</t>
  </si>
  <si>
    <t>mberg, con otros tres que se han dado al Senador Harville , primer Caballerizo de la Emperatriz, al Mariscal Kellerman y al General Marmont. El Emperador ha dado el gran cordon de la Legión de Honor al Elector, al Príncipe Electoral y al Príncipe Pablo, sus hijos; y á sus hermanos el Príncipe Eugeni</t>
  </si>
  <si>
    <t>te del cuerpo de Gendarmes de ordenanza del Emperador, que se formará en Maguncia á las órdenes del Mariscal Kellerman. Este cuerpo se compondrá de gentes de á pie y de á caballo; los de á pie se vestirán á su costa, y los otros comprará cada uno su caballo, y tendrá de asistencia 600 pesetas anua</t>
  </si>
  <si>
    <t>Kellermann, Mariscal</t>
  </si>
  <si>
    <t>Mariscal Kellermann</t>
  </si>
  <si>
    <t>esplendor. Parts 26 de Julio. El Ministro de lo Interior escribió el 21 del corriente una carta al Mariscal Kellermann, dándole gracias en nombre del Emperador, por el monumento que querian erigirle él y sus asociados; con cuyo motivo le decía „ que los principios de S. M. no le permiten aceptar s</t>
  </si>
  <si>
    <t>Kensington, Lord</t>
  </si>
  <si>
    <t>Lord Kensington</t>
  </si>
  <si>
    <t>irantazgo son Sir Tomas Grenville, primer Lord: el Almirante Markham, Sir H. Neale, Lord W. Russel, Lord Kensington, y Mrs. T. Treemantle, y W. Fuankland. No se enviará en adelante ningún convoy á Tonningen, y saldrá uno cada 15 dias para el desembocadero del Elba. ~ El navio Hibernia, de 100 c</t>
  </si>
  <si>
    <t>Kervegan</t>
  </si>
  <si>
    <t>na corbeta Americana, á cuyo bordo ha traído un Embaxador de los Estados-Unidos, que viene á París. Mr. Kervegan ha presentado al Cuerpo Legislativo el Diccionario etimológico de ciencias y artes de Mr. Lunier. „Esta obra, dlxo Kervegan, cuya utilidad general ha determinado al Príncipe Murat</t>
  </si>
  <si>
    <t>Kindelan y Meneses, Vicente</t>
  </si>
  <si>
    <t>Vicente Kindelan y Meneses</t>
  </si>
  <si>
    <t>5 D. Rafnon Qúeypo de Llano : el de Teniente ;de granaderos de los de Tuy y Toro á los de fusileros D. Vicente Kindelan y Meneses y D. Francisca Martin: el de Teniente de fusileros del de Santiago al Subteniente de granaderos D. Ramón González: el de Subteniente dé granaderos de los de Sigiienza y Ecija á los de</t>
  </si>
  <si>
    <t>Klarke, General</t>
  </si>
  <si>
    <t>General Klarke</t>
  </si>
  <si>
    <t>tzburgo. Entre las oersbnas de su comitiva se hallan el General Caulaincourt, CaballerizoMayor : el General Klarke, Secretario dé Gabinete y Consejero de Estado.^y el General Savary, Comandante de la Gendarmería de la Guardia Imperial. . El dia 5 se hallaba aun el Emperador en Wurtzburgo.</t>
  </si>
  <si>
    <t>Klein, General</t>
  </si>
  <si>
    <t>General Klein</t>
  </si>
  <si>
    <t>eros y 4 de coraceros; el cuerpo del General D’Hautprult, 4 Regimientos de coraceros; el cuerpo del General Klein, 6 Regimientos de dragones; el cuerpo del General Watther, 6 Regimientos de dragones; el del General Beaumont, 6 Regimientos de dragones* y el del General Bourcier, otros 6 de dra</t>
  </si>
  <si>
    <t>rdida. El General Prusiano Biucher con -i© hombres pasó por en medio de la división de dragones del General Klein , que le habia cortado: supuso que habia un armisticio de 6 semanas, y el General Klein tuvo la sandez de creerlo. El Oficial Montesquiou, que habia sido enviado como parlamentari</t>
  </si>
  <si>
    <t>l Emperador ha pasado hoy revista, en la plaza del palacio de Berlín, á la división de dragones del General Klein, y ha hecho varias promociones. Esta división se portó sobresalientemente en la batalla de Jena, y desbarató muchos cuerpos de infantería Prusiana formados en quadro. Concluida la</t>
  </si>
  <si>
    <t>Kleist</t>
  </si>
  <si>
    <t>há marchado directsm-n e al exército que ha de estar baxo su mando en las fronteras de Saxoría___ . Mr. Kleist, Gobernador de Magdeburgo, que habia ido á tomar las aguas de Toeplitz, habrá vuelto ya á desempeñar el mando de aquella foriak za, cuyas obras de fortificación se continúan con i</t>
  </si>
  <si>
    <t>Klinger</t>
  </si>
  <si>
    <t>rpo. El Cabildjn de la Orden de S. Jorge le ha conferido la Orden de la 3.a clase; y la de la 4.a á Mr. Klinger, Mayor-General y Director del primer cuerpo de los Cadetes. : En las corridas qué ha habido este año -sobre el rio Neva; hemos visto tiros dé renos. ¡ ’ . ,■ S. A. S. el Duque de</t>
  </si>
  <si>
    <t>Knobelsdorff</t>
  </si>
  <si>
    <t>tiempos ha habido entre el Ministro de Relaciones exteriores Mr. Talleyrand, y el Enviado Prusiano Mr. Knobelsdorff; y después decretó el Senado enviar una Diputación al Emperador para darle gracias por las comunicaciones que le ha hecho. Los Diputados nombrados para el efecto son los Senadores</t>
  </si>
  <si>
    <t>Knobelsdorff, General</t>
  </si>
  <si>
    <t>General Knobelsdorff</t>
  </si>
  <si>
    <t>iptos de la reserva de 1806, del departamento del Sena, m*rcháron ayer á reunirse á sus cuerpos. El General Knobelsdorff, de quien se ha dicho en algunos periódicos que había salido de París para continuar en Maguncia las negociaciones, pasó el 30 de Setiembre por Cleves dirigiéndose á Berlín. Han s</t>
  </si>
  <si>
    <t>in, se conviniéron á entregar el fuerte y la ciudad el Teniente GeneraLBaron de Romberg, y el Mayor General Knobelsdorff, asistidos de los Generales de Ingenieros Randem y Barun,al GeneralLaSalle, con las condiciones siguientes: Proposiciones; articulo i. Toda la guarnición actual , el Es'tado mayor</t>
  </si>
  <si>
    <t>Knobelsdoríf, General</t>
  </si>
  <si>
    <t>General Knobelsdoríf</t>
  </si>
  <si>
    <t>e Krusemark va á Petertburgo con un encargo de S. M.__ Esperamos un correo de París con pliegos del General Knobelsdoríf.__ Ha salido para Dusseldorf! Mr, Preton- Premold, Capitán Ayudante del Duque de Berg. Dicen que ha traído encargo de solicitar una explicación acerca de los movimientos de las tr</t>
  </si>
  <si>
    <t>Knrakln, Príncipe</t>
  </si>
  <si>
    <t>Príncipe Knrakln</t>
  </si>
  <si>
    <t>rá para su destino.— La Embaxada de Berlín está destinada, según dicen, para el Barón de Huel.__ El Príncipe Knrakln presentará pronto sus credenciales como Emf axador de Rusia___ Son , infundadas las voces que se han esparcido estos dias dé que nuestro Monarca pensaba trasladar su residencia á</t>
  </si>
  <si>
    <t>Kolborn</t>
  </si>
  <si>
    <t>cuyos cimientos se pusieron' en 1704. El Refrendario Imperial Mr. Frank y el Consejero eclesiástico Mr. Kolborn habían convenido ya entre sí sobre varios puntos en Viena; pero no hallándose el Nuncio de S. S. por entonces con las facultades é instrucciones competentes para ventilar los prin</t>
  </si>
  <si>
    <t>Kotchoubey, Conde</t>
  </si>
  <si>
    <t>Conde Kotchoubey</t>
  </si>
  <si>
    <t>ltickojL 2,° Un Ministro de la Justicia, el Fríñcipe Lapoukhinn. 3.0 Un Ministró dé lo Interior, el Conde Kotchoubey; substituto, el Conde StroganoíF, actual Embaxador en Londres. 4.0 Un Ministro de la Instrucción pública, el Conde Zavadofsky; substituto, el Consejero privado Mouravietf. 5.0 Un</t>
  </si>
  <si>
    <t>Kotzbue</t>
  </si>
  <si>
    <t>edio millón'de hombres prontos á sostener la gloria de sus armas, y á vengaría fe de los tratados ? Mr. Kotzbue, que recuerda ingeniosamente y tan a propósito todas lasfechgS memorables de la guerra de 7 años; ¿ por qué no cuenta las victorias del exército Francés, solamente en la guerra de</t>
  </si>
  <si>
    <t>Kotzebue</t>
  </si>
  <si>
    <t>atalla había durado 4 dias, y que ta victoria había quedado por los Rusos; y la Gazeta de Berlín de Mr. Kotzebue cuenta que el exército Austro-Ruso había tomado una nueva posición en los alrededores de .Austerlitz, y que se había reunido el dia 5 con el cuerpo del General Bannigzen, baxo las</t>
  </si>
  <si>
    <t>Kourakin, Príncipe</t>
  </si>
  <si>
    <t>Príncipe Kourakin</t>
  </si>
  <si>
    <t>ipe Czartorinsky, Ministro de los Negocios extrangero_s, .]?a hecho dimisión de su empleo, y que el Príncipe Kourakin, cuyo modp.de densar es bien notorio , reemplazará al difunto Conde de VVoronzovyr eri Í a plaza de Vice-Canciller. Su hermano el Conde Simón Worpnzow tendrá por sucesor en la emb</t>
  </si>
  <si>
    <t>que esten, bien provistas las tropas Francesas que hay en Dalmacia. Sin embargo de hallarse aquí el Príncipe Kourakin, recibe correos de Petersburgo el Conde de Rasumowsky, y tiene conferencias á menudo con el Conde de Stadion, Ministro de Negocios extrangeros. Dícese que ha hecho algunas gestion</t>
  </si>
  <si>
    <t>Kreuzeinark, Coronel</t>
  </si>
  <si>
    <t>Coronel Kreuzeinark</t>
  </si>
  <si>
    <t>á á ios Directores para los gastos extraordinarios que, ocurran* La precipitada salida del Teniente Coronel Kreuzeinark, Edecán del General Mollendorf, que-se puso ien cauxirio ef 24 del Corriente para Bete rsburgo , ha dado motivo á muchas conjeturas * Algunos sujetos piensan que dicho viage es re</t>
  </si>
  <si>
    <t>Krnsemark, Teniente General</t>
  </si>
  <si>
    <t>Teniente General Krnsemark</t>
  </si>
  <si>
    <t>amente importantes.. „ Mañana saldrá de aquí para Petersburgo él Duque de Brunswick, acompañado del Teniente General Krnsemark..— Ha llegado á ésta capital Mr. Steube, Ministro del Rey de^Wurtembérg cerca de la Corte de Rusia.” El Ministro Condé de Hardehberg ha hecho saber por medio de una circular dirig</t>
  </si>
  <si>
    <t>Krug</t>
  </si>
  <si>
    <t>esperaba con tanto cuidado , y del que dependía la salida del Duque* de Brunswick para Petersburgo. Mr. Krug, Archivero privado de S. M., acaba de publicar una Memo-, ria estadística de los Estados Prusianos, y de ella resulta que el territorio! es de 5600 millas quadradas; Ja población</t>
  </si>
  <si>
    <t>Krusemark</t>
  </si>
  <si>
    <t>surtidos en Hal; las Iglesias están llenas de trigo, y todavía se esperan de Rusia grandes remesas. Mr. Krusemark, Sargento mayor al servicio de Prusía, ha llegado aí quartel general del General Ruso Mr. de Tolstoy, para hacerle saber qué los Rusos , que actualmente hay en Hannóver estarán de</t>
  </si>
  <si>
    <t>Krusenstern, Capitán</t>
  </si>
  <si>
    <t>Capitán Krusenstern</t>
  </si>
  <si>
    <t>matado en 30 millones. No puede tardar en llegar aquí de vuelta de su viage al rededor del globo el Capitán Krusenstern.__ Hoy sale para Londres el Lord Gower, Embaxador de Inglaterra. No sabemos quien será su sucesor. PRUSIA. Berlín jo de Julio. En los estados de población de la provincia de Siles</t>
  </si>
  <si>
    <t>E 1806. RUSIA. Petersburgo 23 de Agosto. Ha llegado felizmente á Cronstadt con el navio Nadeshda el Capitán Krusenstern. Ayer tuvo la honra de comer con el Emperador, quien lo re-; cibió con suma afabilidad, y le ha prometido ir á visitar el navio. Toda la tripulación ha regresado en el estado de l</t>
  </si>
  <si>
    <t>Kuight</t>
  </si>
  <si>
    <t>ospitales generales fundados en Deal, Chatam, Gosport y Plymouth por el Cirujano Buland, colega del Dr. Kuight, Inspector general del Consejo de Medicina. Cada uno de estos hospitales, ha costado en su primer establecimiento 50® libras esterlinas al erario,yse empleaban muchos millares cad</t>
  </si>
  <si>
    <t>Kune</t>
  </si>
  <si>
    <t>iciembre. Capitulación entre el Comandante de esquadron Deschampe, Miembro di la Legión de Honor, y Mr. Kune, Sargento mayor al servicio de S. M. el Rey de Prusia , y Comandante del fuerte de Czentoschau, para su entrega el 1$ de Noviembre de 180C. articulo 1. El fuerte de Czentoschau se</t>
  </si>
  <si>
    <t>Kurakin, Príncipe</t>
  </si>
  <si>
    <t>Príncipe Kurakin</t>
  </si>
  <si>
    <t>de enterar al Gobierno de las pérdidas que ocasionaron á sus dueños, para abonarles su importe. El Príncipe Kurakin, que debe, según se cree, reemplazar en Viena á Mr. de Rasumowsky, llegó á fines de Junio á Berlín, así; como los Príncipes Basilio y Nicolás Dolgorouki. ESPAÑA. Valladolid 20 de</t>
  </si>
  <si>
    <t>Kutusow, General</t>
  </si>
  <si>
    <t>General Kutusow</t>
  </si>
  <si>
    <t>omisión, porque el Emperador Alexandro habia partido en posta para. Petersbureo, igualmente que iel General Kutusow.. ,: ] :E1 Emperador ha recibida en 1 Briinn i Mr;,- Hawgwitz, y ha parecido rijuy satisfecho'Ae quantolé rh^dicho¡ este Plenipotenciario, á quien ha acogido con particular distin</t>
  </si>
  <si>
    <t>e cañón rompió el asta de la bandera de! Regimiento de Molowrisky, que hacia parte de lá coluna del General Kutusow. Como esta coluna fuese batida , el Alférez arrojó el trozo de asta á que estaba unida la bandera, y la escondió baxo de su camisa. El Alférez ó Portabandera fué herido gravemente</t>
  </si>
  <si>
    <t>na relación muy circunstanciada de la batalla de Austerlitz, presentada á S. M. el Emperador por el General Kutusow, con fecha de Érody del 14 de Enero. Se da principio á esta relación reñriendo las disposiciones hechas para que obrase ofensivamente el exército Ruso, y se da por cierto que la v</t>
  </si>
  <si>
    <t>de canon por Ulma» Augsburg.o, Munich, y ahora mismo vienen caminando de Strasburgo á París. Si-el General Kutusow hizo su retirada con tan buen orden, ¿por qué á la primera hora de la batalla ya estaba cortado su centro, su derecha, y su izquierda sin comunicación, su derecha ahogada en las l</t>
  </si>
  <si>
    <t>el Coronel Priest ha sido nombrado Comandante de los cazadores de la guardia. Dícese también que el General Kutusow será Gobernador de Moscow, el Feld-Mariscal Kamenskoi será Comandante en gefe del exército, y que Mr. de Novosiitzow Conseguirá el retiro que ha solicitado. El General Mack ha pub</t>
  </si>
  <si>
    <t>Kzaph</t>
  </si>
  <si>
    <t>. par~ piano, á la muerte de Mr. Fox, por Trosk, 20; Y la toma de Berh~ par'l dicho mstrum~nto, pcr Mr. Kzaph, 10. ----------------.-- ------_. EN LA IMPRENTA lt.EAL. .</t>
  </si>
  <si>
    <t>La-Iglesia, Bartolomé</t>
  </si>
  <si>
    <t>Bartolomé La-Iglesia</t>
  </si>
  <si>
    <t>r. D. Alonso Carrillo, Veinteiquatro de la ciudad de Jaén___ Para las de la Corona de Aragón. hXSt. D. Bartolomé La-Iglesia, Regidor de laciu» dad de Tarazona. , La villa de Ablitas, en cumplimiento de las Reales cédulas de S. M. sobre la enagenacion de fincas correspondientes á establecimientos piados</t>
  </si>
  <si>
    <t>La-Pipa, Francisco Xavier</t>
  </si>
  <si>
    <t>Francisco Xavier La-Pipa</t>
  </si>
  <si>
    <t>íde Diciembre último, comunicada por el Excmo. Sr. D. Pedro Cevallosprimer Secretario de Estado,' a D. Francisco Xavier La-Pipa* del Consejo Real y Supremo de Castilla, Director y Juez privativo y Conservador dé ambos Canales, que la publica en cumplimiento de la misma Real Orden. El objeto de esta Lotería</t>
  </si>
  <si>
    <t>Laberio Séneca</t>
  </si>
  <si>
    <t>retrato de Valdés : Pensamientos de M.Fabio Máximo Quintiliano en romance: Sentencias de P. Siró y D, Laberio Séneca en latin y castellano, todo á precios equitativos. Carta de Don.... á un amigo suyo sobre el conocimiento de las pinturas originales y de las copias, comprehendida en varios números</t>
  </si>
  <si>
    <t>Lacara, Ignacio</t>
  </si>
  <si>
    <t>Ignacio Lacara</t>
  </si>
  <si>
    <t>egios de Cirugía médica. Curso completo de Anatomía del cuerpo humano, por el Dr. D. JaymeBonells y D. Ignacio Lacara, en 5 tomos en 8.® francés. En el discurso preliminar se da una breve historia de la Anatomía desde su origen hasta el siglo xviii: en los 5 tratados, que comprehenden toda la Ana</t>
  </si>
  <si>
    <t>Ladrón de Guevara, Miguel</t>
  </si>
  <si>
    <t>Miguel Ladrón de Guevara</t>
  </si>
  <si>
    <t>eficios simples de S. Vicente de Armea, en el Arzobispado de Santiago, vacante por fallecimiento de D. Miguel Ladrón de Guevara, y de S. Pedro de Arroyo, en la Diócesi de Oviedo, vacante por promoción de D. Antonio María Rodríguez de San Juan al de la villa de la Motilla del Palancar, en el Obispado de Cue</t>
  </si>
  <si>
    <t>Ladrón de Guevara, Pedro</t>
  </si>
  <si>
    <t>Pedro Ladrón de Guevara</t>
  </si>
  <si>
    <t>cente Lanz, D. Manuel Salazar, D. Manuel Pascual y Oto, D. Benito de Prado Ulloa, D. Tomas de Arsú, D. Pedro Ladrón de Guevara, D. Juan de Xaramillo, D. Carlos Brasé, D. Josef García Aleson, Don Pedro Josef de Marcoleta, D. Dionisio Hurtado de Mendoza y D. Josef Navarro del Dosal: de los Monteros de Guard</t>
  </si>
  <si>
    <t>Laforest</t>
  </si>
  <si>
    <t>mpleadas en palacio. El Mariscal de Moéllendorf brindó á la safud del Emperador de los Franceses, y Mr. Laforest á la del Rey de Prusia. AUSTRIA. Viena 8 de Agosto. La tínica noticia del día es que el Archiduque Palatino de Hungría ha hecho su dimisión, y que la Corte la ha aceptado, y piens</t>
  </si>
  <si>
    <t>n Paris. El 11 de este mes se votó al agua en Dunkerque una corbeta de 26 cañones nombrada la Iris. Mr. Laforest, Ministro de Francia en Prusia, ha salido ya de Berlín; pero quedan todavía dos Secretarios de la Legación para concluir algunos negocios. La Legación Otomana ha pasado porNanci e</t>
  </si>
  <si>
    <t>Laforét</t>
  </si>
  <si>
    <t>ha recibido Mr. Bou^rienne, Ministro de Francia en esta ciudad, un correo de Berlín, despachado por Mr. Laforét, con la noticia de la victoria de Austerlitz. Aunque en estos últimos dias nos habían atropado con una porción de noticias contradictorias, y á pesar de estar tan habituados á tod</t>
  </si>
  <si>
    <t>Laforet</t>
  </si>
  <si>
    <t>nsejo á‘ que habian asistido el Duque de Brunswick, el Barón de Kardemberg y el Ministro de Francia Mr. Laforet, habia determinado garantir el territorio de la República Bátava de toda invasión por qualesquiera tropas, y aun parece se incluye la fortaleza de Hameien.-_.Retirándose ya los Ru</t>
  </si>
  <si>
    <t>estado á despedirse, en persona, del Ministro de Gabinete Mr. de Hardenberg___ .El Ministro Francés Mr. Laforet recibió ayer un correó de Munich; probablemente será el que se esperaba con tanto cuidado , y del que dependía la salida del Duque* de Brunswick para Petersburgo. Mr. Krug, Archiv</t>
  </si>
  <si>
    <t>cio de 3 meses han estado alborotando la ciuda d de Berlin: iban á afilar sus sables á la puerta de Mr. Laforet, Ministro de Francia: las gentes de juicio se encogían de hombros, al paso que la incauta mocedad y las mugeres miraban tan ridicula fanfarronada como un presagio cierto de la glo</t>
  </si>
  <si>
    <t>Lagau</t>
  </si>
  <si>
    <t>á los buques mercantes detenidos se dirigirán al Comisario de Guerra Soulthen, quien de acuerdo con Mr. Lagau, Comisionado para los asuntos de comercio de Francia, contestará quanto antes. Berlín 2G de Noviembre. _ Se ha publicado un decreto dei Emperador, con fecha del 20, en que asegura</t>
  </si>
  <si>
    <t>Lagos, Pedro</t>
  </si>
  <si>
    <t>Pedro Lagos</t>
  </si>
  <si>
    <t>nes de la frontera de Chile se ha dignado S. M. conceder Compañía y Ayudantía mayor á los Tenientes D. Pedro Lagos y 1&gt;. Manuel Alvarez; y Tenencias á los Alféreces D. Josef María Artiga y D. Francisco del Rio. Asimismo ha conferido el Gobierno militar y político, con la Intendencia de la provin</t>
  </si>
  <si>
    <t>Lagrange, General</t>
  </si>
  <si>
    <t>General Lagrange</t>
  </si>
  <si>
    <t>stado mayor Francés. No hay cosa mas ridicula que so plan de operaciones y sus vanas esperanzas. El General Lagrange ha sido nombrado Gobernador general de Cassel y de 1 os Estados de Hesse. El Mariscal Mortier se ha puesto en marcha para Hannóver y para Hamburgo con su cuerpo de exército. El Re</t>
  </si>
  <si>
    <t>Lajnsticia, Francisco</t>
  </si>
  <si>
    <t>Francisco Lajnsticia</t>
  </si>
  <si>
    <t>jo en el litigio que está pendiente-----Idem de la Corona de Aragón. La de Aragón y Valencia al Sr. D. Francisco Lajnsticia, Regidor de la ciudad de Borja. La de Cataluña y Mallorca al Sr. Marques de Puertonuevo, Regidor de ia ciudad de Barcelona___ Plaza para servir en las ausencias y enfermedades de</t>
  </si>
  <si>
    <t>Lake, General</t>
  </si>
  <si>
    <t>General Lake</t>
  </si>
  <si>
    <t>ura que Sir David Baird reemplazará en el empleo de Comandante general de las tropas de la India al General Lake, quien vuelve á Inglaterra con grandes caudales._El General Simcoe mandará en el Cabo de Suena-Esperanza. FRANCIA. Strasburgo jo de Marzo. Algunos Regimientos de caballería que es</t>
  </si>
  <si>
    <t>Diciembre de 180yen Illabad, de haberse ajustado un tratado de paz el 22 del mes anterior entre el General Lake y un agente de Scindiah, baxo las condiciones mas propias para restablecer la buena armonía en aquellos Estados. Las posesiones de la Compañía gozan de grande sosiego.__ Por otras n</t>
  </si>
  <si>
    <t>generales: entre otros se cita al General Póster. También se dice que se trata de dar un sucesor al General Lake, y de nombrar algunos nuevos Gobernadores. Parte de las tropas destinadas á embarcarse en Portsmouth para fuera</t>
  </si>
  <si>
    <t>Lake, Lord</t>
  </si>
  <si>
    <t>Lord Lake</t>
  </si>
  <si>
    <t>ha muerto el Marques de Cornwallis, Gobernador general de la India, en Benarés , ciudad de Bengala. Lord Lake,uno de ios Comandantes de nuestro exército en la India,se hall» en camino para esta isla. 41 de Febrera. {Extracto del I&amp;orningChronicle.') Lista del nuevo Ministerio , como se de</t>
  </si>
  <si>
    <t>to en la junta que han tenido, y en la misma han decretado se detrgraísias á 'Sir Jorge -Barlow y á Lord Lake- por su buena conducta ^en la India, y en especial por el tratado de paz ajustado con Holkaf.: &lt;• rr ■FRANCIA. .. Génova 5 de Julia. El xabeque ía Serpiente , de 14 cañones, mandad</t>
  </si>
  <si>
    <t>ahora. Con todo diré que un amigo mió ha recibido, ha pocos dias, una carta escrita del exército de Lord Lake, en que le dicen que este General ha despedido los Embaxadores de Holkar, en conseqüencia de las infracciones continuas que hace al tratado de paz.” FRANCIA. Maguncia 12 de Octubr</t>
  </si>
  <si>
    <t>Lalande</t>
  </si>
  <si>
    <t>ford..__ 6.° Elogio histórico de Mr. Cels, por Mr. Ciivier. El premio de la medalla anual que fundó Mr. Lalande para el autor de la Memoria mas interesante de Astronomía., se ha adjudicado á Mr. Jons Svanberg, de la Academia Real de las Ciencias de Suecia, autor de una obra intitulada: Expo</t>
  </si>
  <si>
    <t>Lambert</t>
  </si>
  <si>
    <t>kstein, Comisarios de S. A. Electoral el Príncipe Primado, y les ha hecho entrega de nuestra ciudad Mr. Lambert, Comisario de S. M. el Emperador de los Franceses y Rey de Italia. Extendido y firmado el testimonio de la toma de posesión, ha exhibido sus poderes en debida forma el Barón de Al</t>
  </si>
  <si>
    <t>Lambért</t>
  </si>
  <si>
    <t>o, está ya en posesión de todos Jos países que le fueron asignados por el tratado de Confederación. Mr. Lambért, Comisario general del Emperador de los Franceses,‘ha concluido él 25 del corriente con Mr. Idstéin, Comisario de S. A. Erna., el último instrumento de entrega, y pronto saldrá de</t>
  </si>
  <si>
    <t>Lamberti</t>
  </si>
  <si>
    <t>arreglará como sigue: Mrs. de Cobentzel, Coheredo, Lambertij Collembach, y algún otro, depuestos. A Mr. Lamberti sucederá el Príncipe de Schwarzenbérg; la plaza de Ministro de Gabinete, que tenia Mr. Colloredo, se conferirá á Mr. de Sinzendorff; el Conde de Saurau ha reemplazado’a Mr. de Sum</t>
  </si>
  <si>
    <t>Lamberto La-Iglesia</t>
  </si>
  <si>
    <t>cha: para una Ración patrimonial de lá Parroquial de Exea de ios Caballeros, Diócesi de Zaragoza, á D. Lamberto La-Iglesia: para un Beneficio de la de la Almunia, en la misma Diócesi de Zaragoza, á D. Ramón Clemente.*. S. M. se ha servido promover á Tenientes del Real Cuerpo de Ingenieros del exército</t>
  </si>
  <si>
    <t>Lanchas, Juan</t>
  </si>
  <si>
    <t>Juan Lanchas</t>
  </si>
  <si>
    <t>na Capellanía del número de la Catedral de Guadix, ya- , cante por muerte de D. Toirquato Segura, á D. Juan Lanchas, Capellán reformado de los Hospitales nacionales Españoles de Santiago y Monserratde la Corte de Roma; y para el Beneficio servidero de la Parroquia de Palacios de Goda, Diócesi d</t>
  </si>
  <si>
    <t>Lanciego, Julián</t>
  </si>
  <si>
    <t>Julián Lanciego</t>
  </si>
  <si>
    <t>siere hacer postura á dichas fincas acuda á verificarla, en el término de 30 dias, por el oficio de D. Julián Lanciego, Escribano propio de dicha comisión; en in-r teligcncia de que precediendo postura se rematarán en el día n de Julio del corriente año en la audiencia pública y sitio acostumbrado</t>
  </si>
  <si>
    <t>icha ciudad, á la hora de las doce de Ja mañana, hasta cuyo dia se admiten posturas en el oficio de D. Julián Lanciego, Escribano privativo de dicha comisión. Por providencia de D. Antonio Basilio de Acosta, Comisionado Regio para la venta de bienes eclesiásticos de la ciudad y Obispado de Sigiien</t>
  </si>
  <si>
    <t>postura á todas, ó á qualesquiera de dichas fincas, acuda á la escribanía de lá comisión que exerce D. Julián Lanciego, en el término de 30 dias contados desde el dia 2 del presente. Por providencia del Sr. Intendente de esta provincia se han señalado 30 dias contados desde 8 del presente para la</t>
  </si>
  <si>
    <t>s -fincas acuda ante dicho Comisionado, residente en la -misma ciudad de -Logroño, por el oficio de D. Julián Lanciego, Escribano pri</t>
  </si>
  <si>
    <t>Landaburu, Bernardo</t>
  </si>
  <si>
    <t>Bernardo Landaburu</t>
  </si>
  <si>
    <t>co Xaramillo, D. Dionisio López Pinto, D. Mariano Carrillo de Albornoz, Don Francisco Josef Justis, D. Bernardo Landaburu, D. Diego Rejón de Silva, D. Mariano Genaro Sentmanat, D. Luis Landaburu, D. Antonio y D. Pedro Romero de Tejada, D. Domingo de la Iglesia, D. Juan Oromi,D. Antonio Ibarrola, D. L</t>
  </si>
  <si>
    <t>Landaburu, Luis</t>
  </si>
  <si>
    <t>Luis Landaburu</t>
  </si>
  <si>
    <t>rancisco Josef Justis, D. Bernardo Landaburu, D. Diego Rejón de Silva, D. Mariano Genaro Sentmanat, D. Luis Landaburu, D. Antonio y D. Pedro Romero de Tejada, D. Domingo de la Iglesia, D. Juan Oromi,D. Antonio Ibarrola, D. Lorenzo Medrano y Treviño, D. Francisco Romo y Gamboa y D. Andrés Rodrígue</t>
  </si>
  <si>
    <t>Lannea, Mariscal</t>
  </si>
  <si>
    <t>Mariscal Lannea</t>
  </si>
  <si>
    <t>ágdeburgo, se hallaba el 25 entre Rathenau y Ruppin, dirigiendo su retirada á Stettin; pero como el Mariscal Lannea estaba ya en Zehdenick, es probable quedas reliquias del destacamento de dicho Príncipe no -puedan encaparse. - v ‘ - ¡r ¿. .; . ; ; Los auxiliares Bávaros deben Jiáber'entradó esta</t>
  </si>
  <si>
    <t>Lannes, General</t>
  </si>
  <si>
    <t>General Lannes</t>
  </si>
  <si>
    <t>del Emperador; todo estaba dispuesto para disparar los obuses, é .intimidar la guarnición; pero el General Lannes ha hecho firmar al Comandante la capitulación adjunta-á este diario. .......... Se han hallado en Berlín almacenes muy provistos de efectos de campaña y de vestuario, y 'se están</t>
  </si>
  <si>
    <t>Lannes, Mariscal</t>
  </si>
  <si>
    <t>Mariscal Lannes</t>
  </si>
  <si>
    <t>, y hoy debe haber seguido la Corte el Príncipe de Benevento, Ministro de Relaciones exteriores. El Mariscal Lannes, el General Clarke, y la mayor parte de ios Oficiales generales que se hallaban en París, han partido para el exército grande. La indisposición del Lord Lauderdale le ha puesto en</t>
  </si>
  <si>
    <t>e Leipsick y Halle.__ El cuerpo del Mariscal Príncipe de Ponte-Corvo caminaba áDornnburgo___ El del Mariscal Lannes llegó á Tena___ El del Mariscal Augereau estaba situado en Kahla. _EL del Mariscal Ney en Roda.__ El quartel general se hallaba en Gera___ El Emperador estaba en marcha para Jena;</t>
  </si>
  <si>
    <t>ventaja de prevenir al enemigo, y de atacarle primero. El Emperador hizo formar todo el cuerpo del Mariscal Lannes en la eminencia que ocupaba la vanguardia, que el enemigo parece habia abandonado, aun quando la tenia á su frente: este cuerpo fue alineado por el General Víctor, formando cada div</t>
  </si>
  <si>
    <t>áríal la separaba del centró, que ocupaba el cuerpo del Mariscal Lannes. La derecha se formaba por el cuerpo del Mariscal Soult; el Mariscal Ney solo tenia el corto número de 3© hombres. "f El exército enemigo era numeroso, y se veía una excelente cab</t>
  </si>
  <si>
    <t>entraban en la pelea. Ningún hombre de distinción ha sido muerto ni herido en nuestro exército. Al Mariscal Lannes le pasó una bala á raíz del pecho sin hacerle . daño. El Mariscal Davoust perdió su sombrero de un balazo, y otros mu</t>
  </si>
  <si>
    <t>ales del Regimiento dé la Rey-, Hg, cuyo estandarte está también en nuestro poder.,La •división del Mariscal Lannes marcha aceleradamente á sostener la caballería: ios Coraceros se dirigen en coluna hacia la derecha, y otra división del exército va la vuelta de Gransee. Llegaremos á Stettin ánt</t>
  </si>
  <si>
    <t>Blucher salió el 29 por la mañana de Rhinsberg con 7® hombreé, dirigiéndose á Stettin; pero como el Mariscal Lannes y el Gran Duque de Berg se le habían adelantado tres marchas, dicha cohma está ya aprisionada, ó lo estará dentro de 24 horas. En el último diario se dixo que en el encuentro de Prent</t>
  </si>
  <si>
    <t>Lannés, Mariscal</t>
  </si>
  <si>
    <t>Mariscal Lannés</t>
  </si>
  <si>
    <t>102.5: Ef Mariscal Lannés está’en Stettin ; él Mariscal Davóasf en Francfort, y el Príncipe Gerónimo en Silesia. El Emperador ha pasado hoy revista á la división de dragones del Ger' neral Beaúmont ett lá pl</t>
  </si>
  <si>
    <t>n. Sus avanzadas llegan mas allá deKutno, en el camino de Varsovia, y se juntan con el exército del Mariscal Lannes hácia Thorn. Dresde 1$ de Noviembre* El 15 del corriente ha «entrado el Príncipe Gerónimo en Breslau: las avanzadas habian llegado el dia anterior. Por otro lado, según escriben d</t>
  </si>
  <si>
    <t>Lanskoi, Coronel</t>
  </si>
  <si>
    <t>Coronel Lanskoi</t>
  </si>
  <si>
    <t>pérdida de los Rusos entre muertos y prisioneros. Se sabrá el número á punto fixo quando vuelva el Coronel Lanskoi, enviado al quartel general Francés para tratar del cange. Los Franceses perdieron mas de 18® hombres entre muertos y heridos, cosa muy natura! por la superioridad de su número, p</t>
  </si>
  <si>
    <t>Lanz, Vicente</t>
  </si>
  <si>
    <t>Vicente Lanz</t>
  </si>
  <si>
    <t>y D. Blas de Toro, Maestro de Ceremonias de la Real Capilla, de los Gentileshombres de Boca y Casa D. Vicente Lanz, D. Manuel Salazar, D. Manuel Pascual y Oto, D. Benito de Prado Ulloa, D. Tomas de Arsú, D. Pedro Ladrón de Guevara, D. Juan de Xaramillo, D. Carlos Brasé, D. Josef García Aleson,</t>
  </si>
  <si>
    <t>Lanzuela, Antonio</t>
  </si>
  <si>
    <t>Antonio Lanzuela</t>
  </si>
  <si>
    <t>de húsares Españoles empleo de Alférez al Sargento primero del de cazadores: voluntarios de España D. Antonio Lanzuela. Ei Rey se ha servido nombrar á D. Josef Ruiz Manzano; para la Vara de Alcalde mayor de la villa de Arjona, territorio de la Oblen de Calatrava, de primera clase ó entrada._______</t>
  </si>
  <si>
    <t>Laónes, Mariscal</t>
  </si>
  <si>
    <t>Mariscal Laónes</t>
  </si>
  <si>
    <t>neral Savary está encargado del bloqueo dé Hamelen, con la división. Holandesa__ - Lk di visión del Mariscal Laónes se halla: en, Torn._l_La del! Mariscal. Augereáu, está: enBromberg, y á lá; viXta. de G.raudéritz. -_-Lá'división del Mariscal Davoust va desde Pesen la. vuelta. de Varsovia, adon</t>
  </si>
  <si>
    <t>Lapoukhin, Príncipe</t>
  </si>
  <si>
    <t>Príncipe Lapoukhin</t>
  </si>
  <si>
    <t>Ha tenido la honra de comer á la mesa de S. M. el Emperador, y á la del Gran Duque Constantino. El Príncipe Lapoukhin, Ministro de la Justicia, ha recibido la gracia de la Orden de S. Vaidomiro, de primera clase; y S. E. el Conde VaislieíF, Ministro de Hacienda, ademas de dicha gracia, ha recibid</t>
  </si>
  <si>
    <t>Lardizabal, Luis</t>
  </si>
  <si>
    <t>Luis Lardizabal</t>
  </si>
  <si>
    <t>de“Artillería á los Subtenientes D. Josef Sánchez Boado, graduado de Teniente, Don Francisco Mena, D. Luis Lardizabal, D. Josef Medrano, D. Joaquín Escario y D. Joaquín Vivanco. En la extracción de la Real lotería executada él lunes 19 del corriente salíéron los números 84, 32, 52, 50 y 11; y con</t>
  </si>
  <si>
    <t>Larraz, Pablo</t>
  </si>
  <si>
    <t>Pablo Larraz</t>
  </si>
  <si>
    <t>ficio de la Parroquial de la villa de 5. Pedro Laxo la invocación de Sampedor, Diócesi de Vique; yá D. Pablo Larraz para otro Penitenciario de la Catedral de Jaca, vacante por fallecimiento de D. Juan Gira!. En el Regimiento de Infantería de la Reyna se ha servido el Rey conceder Subtenencia de</t>
  </si>
  <si>
    <t>Las Pozas, Gerónimo</t>
  </si>
  <si>
    <t>Gerónimo Las Pozas</t>
  </si>
  <si>
    <t>extensión determinada de terreno, comparada con otra igual destinada á otra qualquiera producción : D. Gerónimo Las Pozas sobre las plantas en general, su historia natural, y mecanismo interior y exterior; y habiéndose fixado por último en las-grandes plantas, esto es, los árboles, trató por via de a</t>
  </si>
  <si>
    <t>las Pozas, Gerónimo</t>
  </si>
  <si>
    <t>Gerónimo las Pozas</t>
  </si>
  <si>
    <t>alores que ha producido, satisfecho su consumó es mayor que la de- la nación con qüleu se comparar. D. Gerónimo las Pozas , de tercero, para impedir las oscilaciones y perjuicios parciales^ deberán cargarse las contribuciones sobre tbdas las rentas del país: D. ‘Pedro Padró, de segundo, las leyes sun</t>
  </si>
  <si>
    <t>LasaHe, General</t>
  </si>
  <si>
    <t>General LasaHe</t>
  </si>
  <si>
    <t>la noche con las divisiones de dragones Beaumont y Grouchy, precedidas de la caballería ligera deh General LasaHe. Con efecto, los batidores de nuestros húsares llegaron á Prentzlow ai mismo tiempo que el enemigo; pero en yista de las fuerzas superiores del Príncipe de Hoheniohe tuvieron que</t>
  </si>
  <si>
    <t>Lasalie, General</t>
  </si>
  <si>
    <t>General Lasalie</t>
  </si>
  <si>
    <t>de Berg se hallaba el 26, á las 3 de la tarde, en Zehdenick con la brigada de caballería ligera del General Lasalie; y las divisiones de dragones de los Generales Beaumont y Grouchy marchaban hacia el misino punto.</t>
  </si>
  <si>
    <t>enlohe, que se dirigia á Stettin. Llegadas que fueron las 2 divisíopes de di-agones, la brigada del General Lasalie cargó a! enemigo con.aquella bizarría que han mostrado los húsares y cazadores Franceses. en esta campaña. El enemigo estaba^fbrmádo en 3 filas; pero fué roto, , perseguido hasta</t>
  </si>
  <si>
    <t>Lasalle, General</t>
  </si>
  <si>
    <t>General Lasalle</t>
  </si>
  <si>
    <t>visicn Suchet, un Regimiento de infantería ligera y 4 de línea ; el cuerpo de caballería ligera del General Lasalle, 2 Regimientos de hú sares y 2 de cazadores. 5.0 El cuerpo del Mariscal Ney, en la Suabia Superior, comprehende la división del General Dupont, un Regimiento de infantería ligera,</t>
  </si>
  <si>
    <t>haud, hacia rendir las armas á una coluna de 6© hombres en Passewalk; la derecha, á las órdenes del General Lasalle, intimaba á la ciudad de Stettin que se rindiese baxo la capitulación adjunta. Stettin es una plaza que se halla en buen estado, bien armada y empalizada, donde había 160 cañones,</t>
  </si>
  <si>
    <t>ral Milhaud con el 13 Regimiento de caza lores, yá Prentzlow con la brigada de caballería ligera al General Lasalle. Informado- el Gran Duque de qiie el enemigó se había hecho fuerte en Boitzemburgóf marchó sobre Wigneensdorf, donde advirtió que una brigada de caballería enemiga había maniobrad</t>
  </si>
  <si>
    <t>el General d’Hantpoult, las de dragones de los Generales Groucbyy Sahuc, y la caballería ligera del General Lasalle, que formaban parte de la caballería de reserva que el Gran Duque de Berg tenia en Lubeck, liegaq á Berlín. JLa vanguardia de la división del Mariscal Ney., que obligó á capitular</t>
  </si>
  <si>
    <t>Lasceiles</t>
  </si>
  <si>
    <t>or quanto no contenia la expresión de excelente estadista (aludiendo al epíteto dado á Mr. Pitt por Mr. Lasceiles). Concluyó su discurso diciendo: ,,La imputación que el honorable vocal que me ha precedido hace al Marques de Cornwallis de haber tomado parte en la unión del Reyno de Irlanda, m</t>
  </si>
  <si>
    <t>Lascelies</t>
  </si>
  <si>
    <t>se ha aumentando-prodigiosamente &amp;c. &amp;c ” Lá Cámara paso después á la votación. Por la propuesta de Mr. Lascelies votaron 238, y 89 en contra. Nata. Lord Castlereagh anunció á varios miembros , que el día z8 se presentarían á la Cámara los tratados y documentos relativos á la guerra continent</t>
  </si>
  <si>
    <t>Lascelles</t>
  </si>
  <si>
    <t>echos con las Potencias del Continente, de que se hace mención en el discurso del Rey. 2£ de Enero. Mr. Lascelles ha anunciado ayer en la Cámara de los Comunes que el lunes hará una propuesta acerca ae decretar una recompensa nacional á la memoria de Mr. Pitt. Dícese que su objeto es proponer</t>
  </si>
  <si>
    <t>Lascy, General</t>
  </si>
  <si>
    <t>General Lascy</t>
  </si>
  <si>
    <t>e para completarlo. Una parre de las tropas que había en Corfú han vuelto á pasariel Bosforo con el General Lascy, y otra parte considerable’ de las que estaban en Polonia se han dirigido á Choczim y á la Crimea. El prestigio favorable á los exércitos Ruspé se ha destruido. El exército Fran-;</t>
  </si>
  <si>
    <t>mbarcaciones de transporte, que vuelven á Crimea; traen á bordo algunos Oficiales, y entre ellos al General Lascy. Parece que los Rusos que están ahora en las islas Jónicas han resuelto mantenerse en la defensiva hasta nueva orden. Los Rusos que hay en Corfú han reclutado bastante gente no so</t>
  </si>
  <si>
    <t>Laserna, Fernando</t>
  </si>
  <si>
    <t>Fernando Laserna</t>
  </si>
  <si>
    <t>aur: á este empleo al Capitán primero D. Eleuterio Cebollino; y al que este dexa al Capitán segundo D. Fernando Laserna* En América. En el cuerpo Provincial de caballería de Lanceros de Veracruz se ha servido S. M. promover á Ayudante al Teniente D. Mariano de Campo; y á Tenientes á los Alféreces D</t>
  </si>
  <si>
    <t>Laso y Velazquez, Juan</t>
  </si>
  <si>
    <t>Juan Laso y Velazquez</t>
  </si>
  <si>
    <t>ar.: á Subtenientes de granaderos ^en los de Málaga, Murcia, Alcázar y Salamanca á los de fusileros D. Juan Laso y Velazquez, D. Antonio Callejas, D. Francisco Melgar y D. Juan Pineda; y á Subtenientes de bandera en los de Sevilla,, Málaga, Bujalance y Valladolivi á ios Cadetes D. Juan de Valenzuela, D.</t>
  </si>
  <si>
    <t>Lassala, Domingo</t>
  </si>
  <si>
    <t>Domingo Lassala</t>
  </si>
  <si>
    <t>corriente. S. M. se ha servido conferir la Sargentía mayor del Regimiento de infantería de Burgos i D. Domingo Lassala, Capitán del de Sáboya: Tenencias en el de Zaragoza ai Subteniente D. Francisco Claramunr: en el de Aragón á los Subtenientes de granaderos D. Manuel de la Revilla y Don Martin de</t>
  </si>
  <si>
    <t>Lastra, Andrés</t>
  </si>
  <si>
    <t>Andrés Lastra</t>
  </si>
  <si>
    <t>raduado' de Capitán , D. Dionisio Sánchez de Tejada ; segunda Tenencia al Subteniente de granaderos D. Andrés Lastra; Subtenencia de granaderos al "de'fusileros D. Bernardo Pardo; y su resulta al agregado D. ManuelRuiz ~.j .D .O ..de., Monroy. 4 l' •, , , .j 4 ■ ' i ■ * ^ - f i En el Regimiento</t>
  </si>
  <si>
    <t>Latines, Mariscal</t>
  </si>
  <si>
    <t>Mariscal Latines</t>
  </si>
  <si>
    <t>93° La izquierda ha tenido ventajas igual-:s. El Mariscal Latines entró en Coburgo; el 8 y el 9 se dirigió á Graífenthal 1 el 10 acometió en Saafeld la vanguardia del Príncipe Hohenlohe, mandada por el Príncipe Luis de Prusia, uno de los promovedo</t>
  </si>
  <si>
    <t>Ney en Ncustadt ; en primera línea el cuerpo efe exército del Mariscal Davoust en Naumburgo: el del Mariscal Latines en Jena: el del Mariscal Augereau en Kala. El Príncipe Gerónimo, á quien SvM. ha conferido el mando de los aliados y de un cuerpo de tropas Bávaras, ha llegado á Schleitz, habiendo</t>
  </si>
  <si>
    <t>EL EXÉRCÍTÓ GRANDE.' ‘ \j [’ •&gt; »y. * - .... . a .|. , . . P.Qtsdam á,2$ de Octubre^' El cuerpo del Mariscal Latines entró el 24 en Pótsdam..— El cuerpo del Mariscal Davoust ha entrado hoy 25 á las 10 de la mañana en Berii'n. _— El cuerpo del Mariscal Príncipe.'de Ponte-Corvo se,halla ePiBrandembu</t>
  </si>
  <si>
    <t>reliquias del exército Prusiano puedan estorbárselo, pues la mayor parte de él éstá prisionero. El Mariscal Latines está en Stettin, el Mariscal Datoust en Francfort del Oder, y el Príncipe Gerónimo en Silesia.</t>
  </si>
  <si>
    <t>Latour-Maubo, General</t>
  </si>
  <si>
    <t>General Latour-Maubo</t>
  </si>
  <si>
    <t>hasta el Spessart, y se ha acantonado en el Principado de Aschaffenburgo, adonde también ha ido el General Latour-Maubo,urg___ Ignoramos si se han puesto en marcha los cuerpos de exército que había en Suabia, á excepción del que manda el Mariscal Ney, que ha salido de Memingen, con destino á Stocka</t>
  </si>
  <si>
    <t>Lau, General</t>
  </si>
  <si>
    <t>General Lau</t>
  </si>
  <si>
    <t>ido increíbles vexaciones en el llano de Cagnioli; pero los contuvieron 400 Franceses. Informado el General Lau-* r«i$ ron ¡de. l¿ superioridad dél número, dio orden al.Coronel Tekte’para que fuese .allá con 1500 hombres; trabóse la pelea.con ei-mayorempcño, yaosí búbalos .fueron rechazados</t>
  </si>
  <si>
    <t>Laü, General</t>
  </si>
  <si>
    <t>General Laü</t>
  </si>
  <si>
    <t>e suceso. FRANCIA. Maguncia 26de Noviembre. El 20 de Noviembre se publicó en Hesse una proclama del General Laü</t>
  </si>
  <si>
    <t>Lau, Lord</t>
  </si>
  <si>
    <t>Lord Lau</t>
  </si>
  <si>
    <t>media, y tuvo Corte , á la que asistiéron losiSecretarios de Estadb, y varias personas principales. Lord Lau«Jderdale fuéí presentado -al Rey- de vúelta de Francia.. Concluida. ¿a Corté, el Rey le dió una audiencia particular^ y^ luego»: tuvo Coniejo^pfMadQ *qu* «hiró hasta L: b . - v's</t>
  </si>
  <si>
    <t>Lauden, General</t>
  </si>
  <si>
    <t>General Lauden</t>
  </si>
  <si>
    <t>* tienen 3 baterías que se cruzan. La principal está colocada ere el parage mismo en que el célebre General Lauden emprendió el ataque de Belgrado; coge por la espalda la parte superior de la fortaleza. La se*gunda batería está sohrefel cerro que domina el arrabal de-Zigunea; y la* tercera en el</t>
  </si>
  <si>
    <t>Lauderdaíe, Lord</t>
  </si>
  <si>
    <t>Lord Lauderdaíe</t>
  </si>
  <si>
    <t>qííyíp.*, • Ayer- por/la^iafldeianunfcidjditetóg^feil?: llegada,%l qprr^^süi^'¿ Deal con pliegos de Lord Lauderdaíe. No sabemos si las noticias qué trae satisfarán la grande impaciencia dél público acerca de la pazo de la guerra; pero podemos decir que antes de Ja salida de Mr. Basílíco se habí</t>
  </si>
  <si>
    <t>Lauderdale de Londres, Lord</t>
  </si>
  <si>
    <t>Lord Lauderdale de Londres</t>
  </si>
  <si>
    <t>En el momento en que anunciábamos ayer, refiriéndonos á los periód¡-¿ eos Ingleses, la partida del Lord Lauderdale de Londres para venir á esta capital como una cosa muy probable, este Lord llegó en efecto á París, y se alojó en la fonda del Imperio, calle de Cerutti. Las personas que se acuerden que en</t>
  </si>
  <si>
    <t>Lauderdale, Lord</t>
  </si>
  <si>
    <t>Lord Lauderdale</t>
  </si>
  <si>
    <t>timamente unido con los intereses de cada individuo de la nación. Por lo que hace á la capacidad de Lord Lauderdale, la opinión de la Gran Bretaña está toda en su favor. A las qualidades que le nacen propio para este encargo importante reúne la entereza, que inspira el respeto y la moderación,</t>
  </si>
  <si>
    <t>inistros en esta elección, sevencerán las dificultades que’ han suscitado contra el nombramiento de Lord Lauderdale. , Se asegura ahora que la esqüadra de Gerónimo Bonaparte sólo !ha pet- : manecido algunos dias en S. Salvador, de donde ha partid^-el 4 ó el 5 de Abril. Ignorase absolutamente si</t>
  </si>
  <si>
    <t>Lord Minto ha sido nombrado ai Gobierno general de la India, á cuyo destino pasará quanto antes.__ Lord Lauderdale sucede al Duque de (Sordon en el empleo de Guarda del Gran Sello de Escocia, cuyo sueldo es de 3® libras esterlinas. El Conde de S. Vicente se ha hecho í la vela ayer mañana de Po</t>
  </si>
  <si>
    <t>que le sucederán en el Ministerio; pero ¡nosotros nos .abstendremos de manifestar nuestra Opinión. Lord Lauderdale pasó un rato con Mr. Fox ayer después de medio día; ydesde allí fue á comer en casa del Lord ¡Holland. [The 'Times). HOLANDA. .Leyden i .a de Agosto. Extracto de la Gazeta.de Layb</t>
  </si>
  <si>
    <t>eta, que se mira como.un órgano ministerial, ha anunciado que el objeto principal de la comi ioo de Lord Lauderdale era descubrir las disposiciones verdaderas del Gobierno Francés 3 y la naturaleza de las dtjicuU tadés ocurridas durante las discusiones, por quanto con su presencia se desempeñaba</t>
  </si>
  <si>
    <t>Lauderdalé, Lord</t>
  </si>
  <si>
    <t>Lord Lauderdalé</t>
  </si>
  <si>
    <t>aquel tratado débil y desventajoso. (Morningr Post.) ■ No creemos que haya llegado ningún correo de Lord Lauderdalé: algunas circunstancias particulares podrán haber impedido á nuestro Enviado tener una conferencia con el Ministro de Negocios extrangeros tan pronto como esperaba. Los que antes</t>
  </si>
  <si>
    <t>as que se insertáron también poco hace en las gazetas, según las quales había salido ya de París el Lord Lauderdale; estaban ya rotas las negociaciones entre Inglaterra y Francia: los Suecos y los Prusianos iban á reunirse baxo unas mismas banderas; iban á comenzar ó habían ya comenzado las hos</t>
  </si>
  <si>
    <t>cen cada día mas; bien que nada se sabe de positivo acerca de las negociaciones. Ay.er.se decía que Lord Lauderdale había pedido pasaportes para volver á Inglaterracon esta voz baxáron los;efectos, públicos, ¡y hubo mas vendedores; que compradores. Ayer. se paseó Mr. Fox en su 'jarjUja-,; y tuv</t>
  </si>
  <si>
    <t>aria la freqiieneia de tempestades que ha habido este añ.) en Inglaterra. No han llegado pliegos de Lord Lauderdale posteriores á los que ha traído Mr. Peggler; pero de un momento á otro se aguarda la vuelta del correo Basílico. ¡"r- -y1'Acaba de publicarse un remedio sencillo,. y según asegura</t>
  </si>
  <si>
    <t>e Spencer,. Lord Horwick, Mr. Windham y Lord Sydmouth. Concluido el Consejo se despachó un correo á Lord Lauderdale. Las voces esparcidas de la muerte trágica de Mr. Mungo-Parke han movido á sus amigos á publicar la carta siguiente, que es la única noticia auténtica que se ha recibido'de este c</t>
  </si>
  <si>
    <t>la muerte de Mr. Fox, cuya pérdida se mirará sin duda en Inglaterra como una calamidad pública. El Lord Lauderdale está indispuesto hace algunos días. Escriben del Havre que un Prusiano y un Belga, que estaban prisioneros en Inglaterra, se apoderáron de una lancha, en la que atravesáron el canal</t>
  </si>
  <si>
    <t>iales generales que se hallaban en París, han partido para el exército grande. La indisposición del Lord Lauderdale le ha puesto en precisión de ir á pasar algunos dias al campo, con cuyo motivo el General Junot, Gobernador de París, le ha ofrecido su quinta. El dia 24 tuvo junta extraordinaria</t>
  </si>
  <si>
    <t>s se sabe que habia salido de ‘París, quando .el correo Smith, que ha traído los últimos pliegos de Lord Lauderdale, partió de aquella capital. Es poco probable que Bonaparte quiera perder tiempo en negociaciones con la Prusia: con todo, si hemos de juzgar por lo que ha pasado, podrá Quizás cre</t>
  </si>
  <si>
    <t>o sentar plaza; en el caso que no quieran alistarse , se les darán pasaportes para lo interior.” El Lord Lauderdale ha salido de París para Inglaterra. ESPAÑA. Madrid j / de Octubre. S. M. se ha serví lo nombrar para una Capellanía de la Real capilla de Reyes Nuevos de la ciudad de Toledo, vaca</t>
  </si>
  <si>
    <t>alla con 4 fragatas Francesas que ha apresado, ha desembarcado en la isla de Whight. La comisión de Lord Lauderdale está ya concluida. Ayer á las 4 dadas de la tarde Lord Howick remitió ai Lord Corregidor copia de un despacho telegráfico de Deal, en que se anuncia la llegada de un correo con la n</t>
  </si>
  <si>
    <t>cia con Lord Hówick. : n, ' . Se ha prorogado el' Parlamento hasta el a7 de Noviembre próximo, -i ~ Lord Lauderdale ha llegado á Londres el:dia 1.3.Í y pasó.inmediatamen? te á ver á Lord Howick. Se ha enviado orden á Portsmouth-de qué no se apresen buques Prusianos, ni se detengan los- que llev</t>
  </si>
  <si>
    <t>s no causaron el menor daño, y tuviéron que alejarse por el fuego que les hacían las baterías___ El Lord Lauderdale se hallaba en Boloña algunas horas antes de concluirse el ultimo bombardeo; y fue necesario tomar las providencias mas enérgicas para libertarle del desagrado del pueblo. Lauderda</t>
  </si>
  <si>
    <t>e los plenos poderes dados á Lord Yarmouth, y aun con mayor evidencia por la lectura de la carta de Lord Lauderdale, que ántes de principiar las negociaciones había el Gabinete Ingles desistido entera é irrevocablemente de la pretensión de tratar juntamente con sus aliados. ¿ Y cómo pues se atr</t>
  </si>
  <si>
    <t>ó enfermo, dexó de asistir al Consejo: prevaleció la parcialidad enemiga de la paz, y todo se mudó. Lord Lauderdale vino á París, al instante se complicó la negociación, retardándose en lugar de adelantar; de modo que se llegó á sospechar que habia venido para romperla, y que le habían nombrado</t>
  </si>
  <si>
    <t>de la Inglaterra en la Corte de Prusia todo el éxito que esperaba. Declaró esta Potencia la guerra. Lord Lauderdale pidió pasaportes , y partió para Londres. „ Mr. Fox quiso la paz. Miéntras dirigió ios negocios fuéron las negociaciones francas y sinceras; después de su muerte no se ha llevado</t>
  </si>
  <si>
    <t>Laudon, General</t>
  </si>
  <si>
    <t>General Laudon</t>
  </si>
  <si>
    <t>zein defendió la plaza con tanto espíritu, que obligó á los Austríacos, acaudillados por el célebre General Laudon, á abandonar la empresa. Munich 2j de Noviembre. Se ha publicado un decreto del Rey, en que declara que las necesidades de la guerra le precisan á establecer un nuevo impuesto , c</t>
  </si>
  <si>
    <t>Laureano Juan Antonio Martín</t>
  </si>
  <si>
    <t>villa de Medeilin, en el Obispado de Badajoz, vacante por dexacion de Don Estéban Antonio Martin, á D. Laureano Juan Antonio Martin. Con atención á la antigua nobleza y lustre de la familia de D. Juan Antonio de Fivaller, Bru y de Rubí, Marques de Villel» Conde de Darnius, Gentilhombre de Cámara con exercicio,</t>
  </si>
  <si>
    <t>Laureano Oyarzun</t>
  </si>
  <si>
    <t>de granaderos al de fusileros D. Francisco Velazquez, y á Tenientes de fusileros á los Subtenientes D. Laureano Oyarzun, D. Mateo Ruiz, D. Virginio Hernández, D. Domingo Ruiz y D. Justo de Cárdenas : en el Fsquadron de caballería de disciplinadas también de Castro en el mismo Reyno á Comandante al</t>
  </si>
  <si>
    <t>Laurez de Mayran, Juan Tomás</t>
  </si>
  <si>
    <t>Juan Tomás Laurez de Mayran</t>
  </si>
  <si>
    <t>es deseado y necesario para aprender bien y correctamente el idioma francés y su pronunciación, por D. Juan Tomas Laurez de Mayran, Catedrático del mismo idioma en la Academia Real de Caballeros Cadetes del Regimiento de infantería de Reales Guardias Españolas: un tomo en 4.0 Se hallará en la librería de Góme</t>
  </si>
  <si>
    <t>Láüriston de Ragusa, General</t>
  </si>
  <si>
    <t>General Láüriston de Ragusa</t>
  </si>
  <si>
    <t>iudadí, &lt;preparada dé antemano'para que Yblebren dus asambleas.1 ; : • ;rp ' El ó de Julio sálíd el General Láüriston dé Ragusa, y el General litor dé StagnoiVogíéron el cuerpo de tropas Rusas, y á los Monte negrinos entre dos fuegos, les mataron mucha gente, los echáron dei Estado dé Ragusa, y los persigu</t>
  </si>
  <si>
    <t>Lauriston, General</t>
  </si>
  <si>
    <t>General Lauriston</t>
  </si>
  <si>
    <t>tropas, y á las 5 y media de la tarde ancló en la isla de Lesina, y desembarcaron los refuerzos. El General Lauriston, al tomar posesión militar de la ciudad y territorio de Ragusa en nombre de S. M. el Emperador y Rey, ha publicado la proclama siguiente: ,,Napoleón 1, Emperador de los Franceses</t>
  </si>
  <si>
    <t>Lauríston, General</t>
  </si>
  <si>
    <t>General Lauríston</t>
  </si>
  <si>
    <t>l Lord Yarmouth que viene de Londres, ha llegado á Taris el 17 por la tarde. Las fuerzas con que el General Lauríston ha ocupado á Ragusa consisten en 6® hombres. Los habitantes de aquella ciudad están sumamente contentos, pues por este medio se libertan de una incursión de los Montenegrinos. Seg</t>
  </si>
  <si>
    <t>io, ,,r ,Ef Principé. Eugenio, Virey y Comandante ,en ,gefe del ejército.de Italia y escribe que el General Lauriston, que entro ei 26 de Mayo en Ragusa , luego que llego tuvo noticia de que los Rusos unidos con los Monténegrinos, capitaneados por su Obispo, marchaban á apoderarse de la antigua R</t>
  </si>
  <si>
    <t>ria á. la salida del último correo: la primera es qué el cuerpo de trepas Francesas mandadas por el General Lauriston, que había tomado posesión de Ragusa, fué sorprehendido por 5® Montenegrinos, que le arroliáron, y le obligaron á abandonar la plaza. La otra es de una clase infinitamente mas gra</t>
  </si>
  <si>
    <t>llos. Esta proclama, extendida en Biberach, tiene la firma de Federico Augusto, Duque de Nassau. El General Lauriston escribe de Ragusa, con fecha de 15 de Julio ¿que la ciudad gozaba de la mayor tranquilidad, y que su territorio está enteramente libre de la presencia de los enemigos. Añade que en</t>
  </si>
  <si>
    <t>Lauristpn, General</t>
  </si>
  <si>
    <t>General Lauristpn</t>
  </si>
  <si>
    <t>ornisas de la Iglesia de S. Marcos 4 banderas, con la? armas y los colores del Reyno de Italia.— El General Lauristpn dió cop este moti-vo un banquete brillante á los Generales Franceses é Italianos. Hoy debe haber llegado á Verona S. A. I. muestro Virey conJa Princesa su esposa. Esta noticia ha</t>
  </si>
  <si>
    <t>DE 1806. DALMÁCIÁ. Ragusa 28 de Mayo, El 26 del corriente ha tomado posesión de esta ciudad Mr. el General Lauristpn, Ayudante de Campo de S. M. el Emperador y Rey. Venia de Spalatro con 6$) hombres, y ha sido general la alegría de ios habitantes &gt;or ver en esta tropa un apoyo fírme y poderoso c</t>
  </si>
  <si>
    <t>Lázaro y Gómez, Antonio</t>
  </si>
  <si>
    <t>Antonio Lázaro y Gómez</t>
  </si>
  <si>
    <t>or Florea R uiz de Austri y su hermana. Qualquiera que sea sabedor de ello se servirá comunicarlo á D. Antonio Lázaro y Gómez, que vive en la Cava baxa, casa grande de Jos Sres. Garros, núm. 10, quarto tercero, y á quien se le hace este encargo de la ciudad de Bilbao. Versión parafrástica castellana del</t>
  </si>
  <si>
    <t>Lcpez de Salazar, Antonio</t>
  </si>
  <si>
    <t>Antonio Lcpez de Salazar</t>
  </si>
  <si>
    <t>s., á la quaestá hecha postura en la misma suma á pagar en vales. Reales, acuda, á la escribanía de Don Antonio Lcpez de Salazar. Se halla vacante la plaza dé segundo Médico de la ciudad de Cuenca: tiene de dotación anual 300 ducados, pagados de Propios, por solo las visitas que hace á los pobres de solemni</t>
  </si>
  <si>
    <t>Le-Sage</t>
  </si>
  <si>
    <t>Observador nocturno, ó el Diablo coxuelo, novela moral y muy entretenida, compuesta en francés por Mr. Le-Sage, á imitación de la que escribió Luis Velez de Guevara, traducida nuevamente al castellano. En esta obra, que sirve para diversión y enseñanza, manifiesta Le-Sage, como en la del G</t>
  </si>
  <si>
    <t>Leandro Camuñez</t>
  </si>
  <si>
    <t>uel Bonilla; á Teniente al Subteniente D. Tomas Sangran , y á Subtenientes de bandera á los Cadetes Don Leandro Camuñez y D. Mariano Zepero: en el batallón de infantería de Veracruz Tenencia á D. Antonio Pinzano y Nogués, Subteniente del Regimiento de infantería de, Saboya. En Zalamea de la Serena, pro</t>
  </si>
  <si>
    <t>Lechiier</t>
  </si>
  <si>
    <t>103 la presente campaña. Mr. Lechiier, Deán dé riuéstrd Clero, pronunció un discurso sumamente tierno alusivo al asunto» y con grande aplauso de todo el concurso, que fué muy numeroso; Aéistiéíort taiübién S. M., él P</t>
  </si>
  <si>
    <t>Lechuga y Reynoso, Antonio</t>
  </si>
  <si>
    <t>Antonio Lechuga y Reynoso</t>
  </si>
  <si>
    <t>imiento de infantería de Voluntarios de Castilla al Comandante del tercer batallón del mismo Cuerpo D. Antonio Lechuga y Reynoso. Eu el Regimiento de Milicias provinciales de Sevilla ha conferido el Rey Compañía de fusileros al Teniente de granaderos D. Josef Bejarano ; y en el de Laredo de la propia clase</t>
  </si>
  <si>
    <t>Lecoq, General</t>
  </si>
  <si>
    <t>General Lecoq</t>
  </si>
  <si>
    <t>Hannóver 2 7 de Octubre. Los Prusianos abandonan sus Estados de Alemania á los vencedores. El Mayor General Lecoq, que se había retirado detras del Wesel al acercarse el exército del Norte, mandado por el Rey de Holanda, no ha podido mantenerse en aquel puesto. El 20 llegó á Hameln,en donde p</t>
  </si>
  <si>
    <t>19 á Eber.sdorff, en las cercanías de aquella plaza; alrdia siguiente- tuvo una conferencia con. el General Lecoq y los demas Generales Pru:ianos que se hallaban en la fortaleza, y los hizo firmar'la capitulación que sigue á este diario. Había en Hameln 9$ hombres, entre ellos 6 Generales, que han que</t>
  </si>
  <si>
    <t>Leduc, Capitán</t>
  </si>
  <si>
    <t>Capitán Leduc</t>
  </si>
  <si>
    <t>charon á pique 28 buques Ingleses, y uno Ruso nombrado el Conde de Romanzow. Durante la campaña, el Capitán Leduc ha enviado una parte de sus prisioneros á Inglaterra en un parlamentario, y ha desembarcado en Francia 294. El Enviado de Saxonia permanece todavía en Paris. El 11 de este mes se</t>
  </si>
  <si>
    <t>Lee</t>
  </si>
  <si>
    <t>porque ha; logrado mandar en Persia y en Turquía:1' GRAN BRETAÑA. „ Londres 24 de Marzo. El día 19 Mr. Lee apoyó en la Cámara de los Comunes ¡la propuesta, de Mr. Alexandre relativa al servicio militar de los voluntarios Irlandeses, y ademas manifestó el deseo de que las .milicias de I</t>
  </si>
  <si>
    <t>Leen de Sagasta</t>
  </si>
  <si>
    <t>á todas ó cada una acuda ante el rtferido Sr. Teniente y citada escribanía. Por providencia del Sr. D Leen de Sagasta, Teniente Corregidor de esta villa, se ha señalado el dia 13 del presente para el remate de 4 casas sitas en esta Corte: una en la calle del Lobo, núm. 9, manz. 224, tasada en 598</t>
  </si>
  <si>
    <t>Lefebvre, Mariscal</t>
  </si>
  <si>
    <t>Mariscal Lefebvre</t>
  </si>
  <si>
    <t>ento del Roer y de las líneas sobre las orillas ¿deblssel. Este General es uno de los Tenientes del Mariscal Lefebvre: su quartei general se esta*blecerá en Nimega , adonde llegároníel dia ó dos batallbHes .de^ infantería, que: forman la vanguardia dél Cuerpo de- tropas Francesas quef debe ocupar</t>
  </si>
  <si>
    <t>l Rhin, y á ocupar los acantonamientos que tenían anteriormente; se dice que el quartel general del Mariscal Lefebvre se pondrá otra vez en Darmstadt. Este suceso ha abierto un campo dilatadísimo á las innumerables conjeturas de los políticos. Tres dias hace que se restituyó aquí el Mariscal Auge</t>
  </si>
  <si>
    <t>neral del Mariscal Bernadotte de Anspach á Bamberga, y qüe le reemplazará el cuerpo de exército del Mariscal Lefebvre. Hamburgo 22 de Setiembre. El Barón de Jacobi ha pasado de incógnito por esta ciudad; vuelve á Inglaterra con el carácter de Ministro Plenipotenciario de Prusia. Los Gabinetes de</t>
  </si>
  <si>
    <t>neado por el General Víctor, formando cada división una ala. La guardia Imperial, á las ordenes del Mariscal Lefebvre, formó un quadro en la cima. El Emperador pasó la noche acampado entre sus soldados. A la verdad ofrecía la noche un espectáculo digno de observación al considerar dos exércitos,</t>
  </si>
  <si>
    <t>chatel, de los Mariscales Davoust y Augereau, del Mayordomo mayor, Caballerizo mayor y Edecanes. El Mariscal Lefebvre abría Ja marcha al frente de la guardia de infantería Imperial: los coraceros de la división Nansóuty estaban tendidos en la carrera. El Emperador iba entre los granaderos y cazad</t>
  </si>
  <si>
    <t>Legendre</t>
  </si>
  <si>
    <t>nta publica la primera clase del Instituto nacional (ciencias matemáticas y físicas ) presidida por Mr. Legendre, en la que se le</t>
  </si>
  <si>
    <t>Legrand, General</t>
  </si>
  <si>
    <t>General Legrand</t>
  </si>
  <si>
    <t>;ion del General Vandanne, de 4 Regimientos de línea y uno de infante na ligara; de la división del General Legrand, de un Regimiento de infamería ligera, de 3 de línea y de los cuerpos de tiradores de la Córcega y del Pó; del cúérpo'de caballería ligera, que está" baxo las órdenes del General</t>
  </si>
  <si>
    <t>Po y el Regimiento núm. 26 de infantería 'libera , que 'componían la división de la vanguardia del General Legrand, que no habia peleado todavía en esta campaña, y que se hallaba impaciente de venir á las manos con el enemigo, marcharon con la rapidez del rayo; y reductos, bastiones, fosos, to</t>
  </si>
  <si>
    <t>Leib</t>
  </si>
  <si>
    <t>" ■ ; ■ &gt; t •' ■ ■ ■ '&gt; Habrá como unos io días que hallándose en la entrada del salón del Congreso Mr. Leib, Representante del Estado de Pensilvania, trató mal de palabras á Mr. Nicholson, Representante de Maryland, y se desco mpuso hasta el punto de llamarle embustero. El denuesto acar</t>
  </si>
  <si>
    <t>Leíebvre, Mariscal</t>
  </si>
  <si>
    <t>Mariscal Leíebvre</t>
  </si>
  <si>
    <t>y tercer batallón de Guardias. BAVIERA. .4. Augsburgo 12 de Setiembre. Ha llegado á Dunkelspuhl ei Mariscal Leíebvre, y ha tomado el mande^ de las tropas Francesas acantonadas en aquellas inmediaciones. Fuérnuy precipitada su salida de nuestra ciudad. El dia 9 al anochecer recibió un correo del</t>
  </si>
  <si>
    <t>Leighton</t>
  </si>
  <si>
    <t>r servido en los exércitos Austríacos como Comisario del Rey de Inglaterra. Ayer, dia de S. Miguel, Mr. Leighton fué elegido á mayoría de voto» Lord Corregidor para el año de 1807. FRANCIA. Coblentza 3 de Octubre. Las guardias nacionales de la orilla izquierda del Rhin están en movimiento. E</t>
  </si>
  <si>
    <t>Leiscester</t>
  </si>
  <si>
    <t>bilí, en que esten mejor arregladas las funciones del empleo de Tesorero que ahora exerce. A lo que Mr. Leiscester expuso de que los Jueces no habian dicho que los cohechadores no podían ser molestados ni castigados, replicó Mr. Whitbread leyendo, con permiso de la Cámara, la opinión de los Juec</t>
  </si>
  <si>
    <t>Lémaroisf Gobernador de Wittemberg, General</t>
  </si>
  <si>
    <t>General Lémaroisf Gobernador de Wittemberg</t>
  </si>
  <si>
    <t>actualmente se halla refugiado, mas de 8$/hombres. El Soberano de Saxonta ha regalado su retrato al General Lémaroisf Gobernador de Wittemberg, que hallándose en Tqrgau restableció ,el buen orden en una casa de. corrección, en la qual se habían armado 600 malhechores que amenazaban saquear la ciudad. El Teniente Lebrun h</t>
  </si>
  <si>
    <t>León de Sagas</t>
  </si>
  <si>
    <t>94 , retasada en.el éstado énquete hallé en 70S? rs. Quien quisiere hacer postura acuda antevé! Sr. D. León de Sagas ta, Teniente Corregidor de esta villa, por la escribanía de D. Diego Benigno González. Por la audiencia del Sr. D. Torquato Antonio Collado, Teniente Corregidor de esta villa, y e</t>
  </si>
  <si>
    <t>León de Sagasíta</t>
  </si>
  <si>
    <t>de Coyos, ,dentro del término de 30 dias contados desde el 6 del presente. T°r providencia del Sr. D. León de Sagasíta, Teniente Corregidor de esta villa, y a instancia de los Síndicos nombrados por los acreedores á ía testamentaría de D. Juan de Acedos Bravo, se han mandado sacar á pública subast</t>
  </si>
  <si>
    <t>León de Sagasta</t>
  </si>
  <si>
    <t>propia Chancillería: para la Tenencia de Villa que este dexa, al Relator de mi Consejo de la Guerra D. León de Sagasta, á quien concedo honores de Oidor de la de Valladolid: para la plaza de la de Valencia, por ascenso de D. Gerónimo Diez, al Alcalde mas antiguo D. Josef Vallejo y Alcedo: parada d</t>
  </si>
  <si>
    <t>término de 30 días para la admisión de la puja del quarto. Quien quisiere hacerla acuda ante el Sr. D. León de Sagasta, Teniente Corregidor de esta villa, por la escribanía de D. Antonio Fernandez. El Sr. D. León de Sagasta, Teniente Corregidor de esta villa, ha señalado el dia 3. de Junio próximo</t>
  </si>
  <si>
    <t>s.; y para su remate está señalado el dia 2 de Junio próximo, á las puertas de la audiencia del Sr. D. León de Sagasta, Teniente Corregidor de esta villa, por ante el Escribano D. Claudio .Sanz. ; . , Quien quisiere hacer postura á ¡una casa sita en el portal de Paños de la calle de Toledo, señala</t>
  </si>
  <si>
    <t>calde de Corte D. Francisco López Lisperguer, por la escribanía de D. Manuel López de Rivas. El Sr. D. León de Sagasta, Teniente Corregidor de esta villa , ha señalado el día 2p de este mes para el remate de una casa sita en la plazuela de ¡S, Ildefonso, num. 10, manz. ,45o , tasada en 202,785 rs.</t>
  </si>
  <si>
    <t>ura acuda ant.e dicho Señor y citada escribanía. A voluntad de su dueño y-y por providencia dél Sr; D. León de Sagasta, Te</t>
  </si>
  <si>
    <t>a en la misma cantidad, á pagar los 20S) en metálico, y el resto en vales Reales, acuda arte el Sr. D. León de Sagasta, Teniente Corregidor de esta villa, por la escribanía de D. Juan Antonio de Urraza; previniendo está señalado para su remate el sábado 5 del-presente.</t>
  </si>
  <si>
    <t>ada una'de dichas casas acuda al referido Sr. Teniente y citada escribanía. Por providencia del Sr. D. León de Sagasta, Teniente Corregidor de esta villa* y escribanía de D. Ramón de Milla Cudllar, se ha mandado volver á sacar á pública subasta, por término de 15 dias contados desde el 3 del corri</t>
  </si>
  <si>
    <t>/&gt;»*S T4 “ A voluntad de su dueño, y por providencia del Sr. D. León de Sagasta, Teniente Corregidor de esta villa, se han mandado sacar á pública subasta, por término de 30 dias, unas casas en la calle de Barrionucvo, que hacen esquina y vuelven á la de la C</t>
  </si>
  <si>
    <t>puja del quarto, que corren desde aquella fecha. Quien quisiere executarla acuda al juzgado del Sr. D. León de Sagasta, Teniente Corregidor de esta villa, por la escribanía de D. Joaquín González de. Castro. El remate de la casa sita en la calle de Toledo, núm. 8, con accesorias á la de Cuchillero</t>
  </si>
  <si>
    <t>639 postura acuda ante el Sr. D. León de Sagasta, Teniente Corregidor de esta villa, por la escribanía que exerce D. Juan de Répide; y está señalado para su remate el día gi del corriente. Quien quisiere hacer postura á una casa</t>
  </si>
  <si>
    <t>León de Ságasta</t>
  </si>
  <si>
    <t>ra su remate el 27 del corriente. Quien quisiere hacer mejora acuda ante el Sr, Teniente Corregidor D. León de Ságasta, por la escribanía de D. Juan Antonio de Urraza. ' Quien quisiere hacer postura i una tierra de caber 2. fanegas poco mas ó méno%</t>
  </si>
  <si>
    <t>s, nfim. 3 , manz. 390, tasada en 150,806 rs. Quien quisiere hacer postura á ella acuda ante el Sr. D. León de Sagasta,Teniente Corregidor de esta villa, po la escribanía de D. Jacobo Manuel Manrique. Al cortijo nombrado de Palomarejo y Fontanar, compuesto de 14 fanegas, 9 celemines, con 2 hazas,</t>
  </si>
  <si>
    <t>rado, como se halla, acuda, en el término de 30 dias contados desde el 16 del presente, ante el Sr. D. León de Sagasta, Teniente Corregidor de esta villa, por la escribanía de D. Diego Benigno González, en la que se informará del por menor de dicha venta. Quien quisiere comprar una cabaña de ganad</t>
  </si>
  <si>
    <t>esta Corte en la_calle de las Aguas, núm. 5, manz. 117, retasada en 123,611 rs., acuda ante el Sr. D. León de Sagasta, Teniente Corregidor de esta villa, por la escribanía de D. Cristóbal de Vicuña, dentro del término de 30 dias contados desde el 26 de Agosto ultimo. A voluntad de sus dueños, por</t>
  </si>
  <si>
    <t>ate se verificó én el todo de su tasa á vales Reales. Quien quisiere hacer mejora acuda ante el Sr. D. León de Sagasta, Teniente Corregidor de esta villa, por la escribanía de D. Ramo» de Mi» llaCüellar. Por auto proveído por el: Tribunal del Consolado de la ciudad de Cádiz en 2 de Julio del corri</t>
  </si>
  <si>
    <t>cribanía de D. Juan Antonio de Urraza, dentro de! citado término. En virtud de providencia del Sr. D. León de Sagasta, Teniente Corregidor de esta villa , se ha mandado sacar á pública subasta, por término de 30 dias contados desde i.° del presente, la casa Intitulada del Platero, núm. 1, raanz.</t>
  </si>
  <si>
    <t>os desde 25 de Setiembre próximo pasado. Quien quisiere hacer dicha mejora acuda al juzgado del Sr. D. León de Sagasta, y escribanía de D. Joaquin González de Castro. Se halla vacante la plaza de Médico de la Anteiglesia de Mundaca, compuesta de 300 vecinos, en el Señorío de Vizcaya, á distancia d</t>
  </si>
  <si>
    <t>ordoncillo. Quien quisiere mejorarla acuda, en el referido término, ante el Sr. Teniente Corregidor D. León de Sagasta, por la escribanía de D. Juan Antonio de Urraza, pues pasado dicho término sin hacerla, se llevará á efecto el citado remate. Por providencia de D. Manuel Angel Carrancio, Comisio</t>
  </si>
  <si>
    <t>ía; previniéndose que su remate está señalado para el día 29 del presente. Por la audiencia del Sr. D. León de Sagasta,Teniente Corregidor de esta villa, se han mandado sacar á pública subasta las fincas siguientes; una casa en la calle de Sta. Isabel; núm. 10, manz. 24, tasada en 133,04913.; otra</t>
  </si>
  <si>
    <t>ra acuda ante dicho Señor, por la escribanía de D. Manuel López de R ivas. Por ía audiencia del Sr. D. León de Sagasta, Teniente Corregidor de esta villa, se ha señalado el día 5 de Diciembre próximo, de doce i una de la mañana, para el remate de una casa sita en la calle del Gato, núm. 10, manz.</t>
  </si>
  <si>
    <t>re hacerla acuda á la escribanía del número de D. Antonio López de Salazar. Por providencia del Sr. D. León de Sagasta, Teniente Corregidor de esta villa, se ha señalado el 13 del presente para el remate de 4 casas sitas en esta Corte: una en la calle del Lobo, núm. 9, manz. 224, tasada en 598,404</t>
  </si>
  <si>
    <t>León de Villota</t>
  </si>
  <si>
    <t>ano ; y en el de Laredo de la propia clase la Subtenencia de granaderos al Subteniente de fusileros D. León de Villota. S. M. se ha servido nombrar para la Vara de Alcalde mayor de Cinco Villas á D. Vicente Maté y Negro. En América. S. M. se ha servido conferir Compañía en el esquadron de caballer</t>
  </si>
  <si>
    <t>León Hidalgo, Pedro</t>
  </si>
  <si>
    <t>Pedro León Hidalgo</t>
  </si>
  <si>
    <t>se ha dignado S. M. conceder Tenencia Veterana en el Batallón de Cuba y Bayamo; al Sargento primero D. Pedro León Hidalgo: igual empleo coíi funciones de Ayudante en la plana mayor de Blancos, agregada ai Batallón de Morenos de laHavana,al Subteniente D. Francisco Martínez, Sargento primero de la mi&amp;</t>
  </si>
  <si>
    <t>León Pablo Blanco</t>
  </si>
  <si>
    <t>de León.' Si alguna persona supiere si existe, ó si ha muerto, se servirá dar razón en esta villa á D. León Pablo Blanco, artífice platero, calle de Bordadores, ó en la de Canales á D. Cristóbal Alonso Perez. V ■» I Historia del comercio y de la navegación de los antiguos, escrita en Francés por el</t>
  </si>
  <si>
    <t>León Selva</t>
  </si>
  <si>
    <t>: de Geometría, D. Josef Chavaloyes, Don Rafael Alcaráz y D. Miguel Bayona: de Trigonometría plana, D. León Selva, D. Josef Marcell, D. Josef Chavalóyes, D. Rafael Alcaráz y Don Miguel Bayona: de.'Trigondmetpasesféríca^ D. León Selva, D. Josef MarceLÍy D. Josef Ghavalóyes,.D. Rafael Alcaráz y</t>
  </si>
  <si>
    <t>Leonardo de Argensola, Bartolomé</t>
  </si>
  <si>
    <t>Bartolomé Leonardo de Argensola</t>
  </si>
  <si>
    <t>poesía, ma' nejada por unos ingenios tan grandes, como son Fr. Luis de León , Fr. Pedro Padilla, el Dr. Bartolomé Leonardo de Argensola, el Príncipe ‘de Esquilache, Lope de Vega, D. Francisco de Que vedo, Fr. Juan de Soto y el Conde de Rebolledo, por lo qual esta colección es no menos útil para las personas devota</t>
  </si>
  <si>
    <t>Leonardo Mena</t>
  </si>
  <si>
    <t>ido en los de Igual clase á Tenientes de granaderos en dos de Cuenca y Chinchilla ádos de fusileros D. Leonardo Mena y D. Josef Torréblanca: á Tenientes de fusileros en los de ¿Soria y Sevilla ,á los Subtenientes D. Miguel Velazquez y D. Antonio de Escovar.: á Subtenientes de granaderos ^en los de M</t>
  </si>
  <si>
    <t>León’de Sagasta</t>
  </si>
  <si>
    <t>celebrarán los remates al tercer día siguiente. . .. Por providencia del Sft D.León’de Sagasta, Teniente Corregidor de esta villa, está sacada á pública subasta una casa sita en esta Corte en la calle del Gato, número lo, manz. ^14, tasada en 174,331 rs. Quien quisiere hacer postura</t>
  </si>
  <si>
    <t>Leopoldo Berthier, General</t>
  </si>
  <si>
    <t>General Leopoldo Berthier</t>
  </si>
  <si>
    <t>estos últimos el Coronel del Regimiento 9 de infantería ligera. Es digno también de mucho elogio el General Leopoldo Berthier, Gefe del Estado mayor del Príncipe de Ponte-Corvo. De resultas del combate de Halle no hay cuerpo enemigo que no haya experimentado alguna pérdida. El General Prusiano Biucher co</t>
  </si>
  <si>
    <t>tan y hacen- respetarTas propiedades de ldsparticulares.con grande rigor. .... ;v .,v- .. . . ,1 El General Leopoldo Berthier, ha escrito, al-Adínini&amp;trador de postas^def Lubeck, que los Franceses protegerirr-lqs.T^oríeos y Lqyv}agerosv_;, v ,r Varios soldados Prusiapos^ue;andan Fagitlvqf .dc^dy, la derr</t>
  </si>
  <si>
    <t>ha pasado algunos días en Hamburgo, ha comido en casa de Mr. Bourienne, Ministro de Francia, con el General Leopoldo Berthier y el General Drouet. Va á Berlín, y según parece está resuelto que conservará su soberanía. Brunswick 14 de Noviembre. El cadáver del difunto Duque de Brunswick se trasladará de Otten</t>
  </si>
  <si>
    <t>Leopoldo de Buch</t>
  </si>
  <si>
    <t>ritorio, de Hildesheim, y 48® para distribuirlos en beneficio de los menesterosos de esta capital.. Mr. Leopoldo de Buch, individuo de la Academia de Ciencias, y amigo particular del Barón de Humboldt, se ha puesto, en camino para la Is— lándiá, en donde piensa permanecer durante el inviernoy hacer;</t>
  </si>
  <si>
    <t>Lescallier</t>
  </si>
  <si>
    <t>17 de Abril áltimo, de que se persiguiesen los buques Septinsulares. El Prefecto marítimo de Génova Mr. Lescallier ha recibido la carta siguiente del Comisario general de Relaciones comerciales en Túnez, fecha el 17 de Julio último. „Muy Señor mió: Participo á V. con sumo regocijo que todos lo</t>
  </si>
  <si>
    <t>Lesseigues, Almirante</t>
  </si>
  <si>
    <t>Almirante Lesseigues</t>
  </si>
  <si>
    <t>erto de Brest el 13 de Diciembre se separaron en muchas esquadras el 24 del mismo__ _ La del Contra-Almirante Lesseigues, que es de la que trat3, se componia de 5 navios, 2 fragatas y la corbeta la Diligente. El día 25, hallándose á los 44 grados de latitud N. y á los 24 de longitud al O. del meridi</t>
  </si>
  <si>
    <t>Lessepo</t>
  </si>
  <si>
    <t>ero último ; peto se asegura que están haciéndose grandes preparativos para recibirlo muy en breve. Mr. Lessepo, Comisario de Relaciones comerciales del Imperio Francés en Rusia, ha despachado un correo á París con pliegos relativos á la conducta recíproca que guardan ambos Estados con las</t>
  </si>
  <si>
    <t>Lesseps</t>
  </si>
  <si>
    <t>ercio Ruso, y que á sus tripulaciones las han conducido á lo interior del país, ha hecho anunciar á Mr. Lesseps, Agente del comercio Francés, que semejante conducta era directamente contraria á los tratados existentes entre la Rusia y la Francia. Al mismo tiempo se le dixo que si la Francia</t>
  </si>
  <si>
    <t>20 embarcaciones de menor porte. . - - • , T-■. RUSIA. . • . , ; ;l ■ . Petersburgo 8 de Mayo, • - Mr. Lesseps, Cónsul general de Francia, permanece en esta capital , y con motivo de haber fallecido un negociante Francés, ha solicitado permirso para exercer su Jurisdicción consular respect</t>
  </si>
  <si>
    <t>entró en la lancha. El Corregidor y todas las Autoridades constituidas le recibiéron en el puerto. Mr. Lesseps, Cónsul general en Egipto, pasa con el mismo destino á Liorna para reemplazar á Mr. Colaud, suspendido de su empleo. Las cartas de Roma hablan de una creación próxima de cinco Car</t>
  </si>
  <si>
    <t>la circular, cuyo tenor es como sigue*. „ Todos saben, que en vista de las insinuaciones hechas por Mr. Lesseps, Comisario general de relaciones de comercio de Francia, se dio ordena Mr.d’Oubril, Consejero de Estado, de que pasase á Paris á tratar de los medios de restablecer la paz entre R</t>
  </si>
  <si>
    <t>Lesueur</t>
  </si>
  <si>
    <t>ón á esta capital. SS. MM. II. se han dignado dar una nueva prueba de satisfacción y benevolencia á Mr. Lesueur, Miembro de la Legión de Honor, y Director de la música del Emperador, firmando su contrato matrimonial con la Señorita Cour Jamart-Decourtchamps. El Prefecto de la Policía ha dad</t>
  </si>
  <si>
    <t>Letebvre, Mariscal</t>
  </si>
  <si>
    <t>Mariscal Letebvre</t>
  </si>
  <si>
    <t>uimiento de una coiuna, que desfila desde Spandau á Stettin ,• y que se espera quede cortada.__ El .Mariscal Letebvre, Comandante de la guardia de infantería Imperial, y el Maris.éá'1 Bessieres, Comandante de la guardia de caballería Imperial, llegaron á Fótsdam el 24 a las 9 de la noche. La guar</t>
  </si>
  <si>
    <t>LevisonGower, Lord</t>
  </si>
  <si>
    <t>Lord LevisonGower</t>
  </si>
  <si>
    <t>94 son, Ministro ordinario de Inglaterra en aquella Corte, y el Lord LevisonGower, Embaxador Ingles en Petersburgo; y todos 4 juntos no han sido poderosos á recabar del Gabinete Prusiano que contrayga una alianza ccn la Inglaterra. En la Gazeta de Viena de 28 d</t>
  </si>
  <si>
    <t>Lewis, Almirante</t>
  </si>
  <si>
    <t>Almirante Lewis</t>
  </si>
  <si>
    <t>e la esquadra del Contra-Almirante Willaumez está en viage de vuelta á Europa, ha mandado al Contra-Almirante Lewis, que salga inmediatamente de PIymouth con un navio de 80 cañones, cinco de 74, una fragata de 44, y una corbeta de 26 en su busca. Témese.que el Veterano luya llegado á Francia: p</t>
  </si>
  <si>
    <t>mando de Sir J. Warren. 7.a Siete navios, que partieron de Plymouth la semana pasada, al mando del Almirante Lewis~ 8.a Quatro ó cinco navios, al mando del Conde de S. Vicente,en el Tajo. Ademas la esquadra á vista de Cádiz, y mas navios en el Mediterráneo. Ayer hubo Consejo de Gabinete para e</t>
  </si>
  <si>
    <t>on al punto, y siguieron los navios de guerra, dirigiendo el rumbo al O. Créese que la esquadra del Almirante Lewis, que acaba de entrar en Ealmouth después de un crucero inútil, para interceptar la del Centra-Almirante Vilkuinez, se juntará con el convoy. Las tropas embarcadas son tres Regimie</t>
  </si>
  <si>
    <t>Li, Almirante</t>
  </si>
  <si>
    <t>Almirante Li</t>
  </si>
  <si>
    <t>represada y .conducida al Cabo, donde tenia orden de dirigirse, como las demas que había cogido el Almirante Li</t>
  </si>
  <si>
    <t>LÍ, Juan</t>
  </si>
  <si>
    <t>Juan LÍ</t>
  </si>
  <si>
    <t>ia; y para una Rae ron de la Catedral de Málagavacante: por fallecimiento de D. Juan Flores Picón,á D. Juan LÍ-* nar y Castelli, Capellán de la Parroquia de S. Pedro de dicha ciudad. S. M. se ha servido conceder en e! Regimiento de infanterías-de^Eliberniá Ayudantía al Tenienté de granadero</t>
  </si>
  <si>
    <t>LiborioTudela y Ramos</t>
  </si>
  <si>
    <t>Orden de Calatrava; y para la del Gobierno de Villanueva de la Serena, en el de la de Alcántara , á D. LiborioTudela y Ramos: para la deTorreximeno, dél de Calatrava, á D. Luis Josef Valdivia ; y para la de Segura de León, en el de la de Santiago, á D. Jacinto Marzo y Torres, todas tres de primera clase</t>
  </si>
  <si>
    <t>Librero, Agustín</t>
  </si>
  <si>
    <t>Agustín Librero</t>
  </si>
  <si>
    <t>Notario D. Sebastian de Piñuela, de los Capellanes de Honor D. FranciscoQuesada, Don Juan Guillen, D. Agustín Librero, D. Nicolás Esterripa, D. Manuel Gallardo, D. Vicente Navarro, D. Josef Duaso, y D. Blas de Toro, Maestro de Ceremonias de la Real Capilla, de los Gentileshombres de Boca y Casa D</t>
  </si>
  <si>
    <t>Lichtenham, Coronel</t>
  </si>
  <si>
    <t>Coronel Lichtenham</t>
  </si>
  <si>
    <t>l día en Berna, ha confiado el mando de las tropas Helvéticas que ha}' en las fronteras al Teniente Coronel Lichtenham, de Basilea, quien está.encargado de dar parte dos veces cada semana de lo que ocurra al r Genérala en y alLand-Ammán dé la Suiza. Los contingentes que forman los cuerpos de . tro</t>
  </si>
  <si>
    <t>Liger-Bellair, Coronel</t>
  </si>
  <si>
    <t>Coronel Liger-Bellair</t>
  </si>
  <si>
    <t>e la Orden militar de Baviera, y Gefe del Estado mayor general del exército grande en Alemania ; el Coronel Liger-Bellair, Oficial de la Legión de Honor, Ayudante, Comandante en gefe del Estado mayor de la vanguardia; y el Cápitan Regnard, individuo de la Legión de Honor, y Edecán del Excmo. Sr. Mari</t>
  </si>
  <si>
    <t>Lilgenau, General</t>
  </si>
  <si>
    <t>General Lilgenau</t>
  </si>
  <si>
    <t>puede sostener una guarnición de 5.00 hombres á lo ménos durante 3 meses. Su Comandante es el Mayor General Lilgenau. Viena 2 6 de Noviembre. En la Gazeta de la Corte de hoy se lee lo que. sigue: „ Se reúne un exército numeroso Ruso dividido en tres cuerpos diversos,.en el Niemen, y. en el Dniés</t>
  </si>
  <si>
    <t>Linois, Almirante</t>
  </si>
  <si>
    <t>Almirante Linois</t>
  </si>
  <si>
    <t>Brunsivick r i}iie había. salido de Bombay.elji/1 de-Julio, fué apresado el n del mismo mesfpor-el Almirante Linois, que mandaba el Marengo y la fragata la Belle-Boule; peroel? Bnmsnvick ha perecido después al doblar el Cabo de Buena-Esperanza. Ayer han llegado á Portsmouth los buques de la Cóm</t>
  </si>
  <si>
    <t>W la ha diferidóihasta ahora; y.es probable que no intente yosá alguna en tanto qye íá esqúadra del Almirante Linois se halle en aqiielíos mares. Han llegado recientemente varios Ingenieros Franceses á bordo de una embarcación dé gherrá procedente de Europa.” HOLANDA. Arn/ichn 28 de Diciembre» E</t>
  </si>
  <si>
    <t>de aquella importante colonia —El Almirante Linois entró el 13 en la bahía de Fats con un navio de línea y una fragata: había libertado á la Isla de Francia del bloqueo que la habían puesto los Ingleses. El navio el Brunswick, de po</t>
  </si>
  <si>
    <t>apatnam con la'fragata S. Fiorenzo, con el objeto de interceptar el navio Marengo, en que navega el Almirante Linois.__ El convoy dé Madras debía salir para Inglaterra á tilles de Setiembre.______________________ Se-asegura que el Almirantazgo ha recibido esta mañana aviso de que Lord Catncart h</t>
  </si>
  <si>
    <t>les que tenemos ahora en aquellas aguas han asegurado á los Malayos, que temían otra expedición deí Almirante Linois: han vuelto ya á sus casas, y continúan sus ocupaciones ordinarias. Ayer se reunieron muchos nobles Irlandeses y otros del mismo pais en la taberna de la Corona y del Ancora, con</t>
  </si>
  <si>
    <t>t, está pronto á zarpar. Esperamos recibir noticia del apresamiento del navio Marengo, que manda el Almirante Linois. Desde su salida del Cabo de Buena- Esperanza habia apresado el 8 de Diciembre en la costa de Africa una embarcación de Liverpoc 1, la qual ba enviado al Cabo, adonde arribó el 27</t>
  </si>
  <si>
    <t>De la relación de Sir J. Warren sobre el apresamiento del Almirante Linois, resulta que cayó de noche en medio de la esquadra Inglesa: que el navio Londons hallándose el mas próximo, le dió caza el primero, trabándose al punto el combate, que duró desde</t>
  </si>
  <si>
    <t>lver á Inglaterra antes de tener noticia del crucero que hace la Francesa cerca de Sta. Helena.—.El Almirante Linois ha desembarcado el 16 en rij'mouth. Por un transporte que ha llegado últimamente sabemos que el Powerful, de 74, ha doblado el Cabo de Buena-Esperanza. También sabemos per las not</t>
  </si>
  <si>
    <t>150 buques de transporte forrados en cobre para conducir tropas: llevarán víveres para 6 meses. El Almirante Linois no ha podido conseguir el permiso que ha pedido de pasar á Francia á curarse de sus heridas: el Almirante Dumanoir y otros 4 Oficiales han vuelto á Francia baxo palabra de honor.</t>
  </si>
  <si>
    <t>Linois, General</t>
  </si>
  <si>
    <t>General Linois</t>
  </si>
  <si>
    <t>mar hacia tres años, y su tripulación se hallaba bien disciplinada. La opinión pública condenaba al General Linois.__ En el dia anunciamos con complacencia que la primer noticia Inglesa fue falsa. El General Linois se encontró de noche entre la esquadra del Almirante Warren. Se hubiera desemba</t>
  </si>
  <si>
    <t>Lis, Capitán</t>
  </si>
  <si>
    <t>Capitán Lis</t>
  </si>
  <si>
    <t>en el arte difícil de la construcción naval. Hemos recibido recientemente de Portsmouth cartas del Capitán Lis— jansky, Comandante del primer navio de la expedición de Krusenstern, en las qúales da parte de haberse separado del otro navio á causa de los temporales. Solo hemos tenido 8 dias</t>
  </si>
  <si>
    <t>Lisanski, Capitán</t>
  </si>
  <si>
    <t>Capitán Lisanski</t>
  </si>
  <si>
    <t>ki, Ministro de Negocios extranjeros. La Compañía de comercio de AiñéíieadiáTécibíab, péFimedio del Capitán Lisanski, noticias de los dos navios que había enviado á Codjak. Luego que llegó este Oficial á la China entró en otro puerto diverso del de Cantón ,que es el que únicamente está destinado</t>
  </si>
  <si>
    <t>Lisjansky</t>
  </si>
  <si>
    <t>e ha concedido la gracia de tina pensión anual de 3® rublos, promoviéndolo ademas en su graduación. Mr. Lisjansky ha gastado 3 años y 3 dias en súviage al rededor del globo, y á su llegada traía todavía carne salada y agua del Newa, bien conserva</t>
  </si>
  <si>
    <t>Lisjansky, Capitán</t>
  </si>
  <si>
    <t>Capitán Lisjansky</t>
  </si>
  <si>
    <t>res Sabje Un, Jeserskji y S'ivagen por su valor ejemplar. Deseando S. M. el Emperador manifestar al Capitán Lisjansky lo satisfecho que está de su expedición, se ha servido condecorarlo con la Orden de Waldomiro, de tercera clase, y también le ha concedido la gracia de tina pensión anual de 3® ru</t>
  </si>
  <si>
    <t>Ljiis de Duran y de Bastero</t>
  </si>
  <si>
    <t>ejs por- el P. Henríque Griffet de la Compañía' de, Jesús ;,y traducido ,en castellano, ppr,el Dr.. D, Ljiis de Duran y de Bastero; ,Canónigo de la Sta.*Iglesia de ,-Bja j-cjplonaobya útilísima p^ra religiosas y demas personas que comulgan con íreqüencia. j¡»e hallará en ía librería de Dáviiá, callé dé las Ca</t>
  </si>
  <si>
    <t>Llaguno, Miguel</t>
  </si>
  <si>
    <t>Miguel Llaguno</t>
  </si>
  <si>
    <t>ombrado por el Rey de los bienes y rentas de los Marqueses de Salas, se manda que D. Josef Septien, D. Miguel Llaguno, D. Fernando Romero de Leis, en unión de D. Francisco Sánchez Ruiz, D. Juan Antonio Yudicí, D. Ignacio Barrencchea, D. Francisco Arispfc* y qualquier otro de la villa de Bilbao qu</t>
  </si>
  <si>
    <t>Llanos Granado, Francisco</t>
  </si>
  <si>
    <t>Francisco Llanos Granado</t>
  </si>
  <si>
    <t>a vacante en la Catedral de Ciudad-Rodrigo, por fallecimiento de D. Francesco Xavier Xaraquemada, á D. Francisco Llanos Granado^ Cura Párroco del lugar del Pino y sus anexos en la Diócesi de Coria: para él Beneficio simple q Préstamo de iá Parroquia de $. Ildefonso de la ciudad de Jaén, vacante por muerte</t>
  </si>
  <si>
    <t>Lleonart y Cuesta, Francisco</t>
  </si>
  <si>
    <t>Francisco Lleonart y Cuesta</t>
  </si>
  <si>
    <t>on los discípulos opositores á dichos premios, y los obtuviéron el primero,por unanimidad de votos, Don Francisco Lleonart y Cuesta , y el segundo D. Valentín Scender de la Fuente por 6 votos contra 5 que tuvo D. Paulino Población, Oficial agregado á la. Contaduría mayor de Cuentas, al que por esta razón juzgó</t>
  </si>
  <si>
    <t>Llor, Francisco</t>
  </si>
  <si>
    <t>Francisco Llor</t>
  </si>
  <si>
    <t>de la Catedral de Mallorca: á D. Jacinto Costa para la Canongía Doctoral de la Catedral de Vique: á D. Francisco Llor para un Beneficio de la Colegial de Manresa, Diócesi de Vique, baxo la invocación de S. Francisco: á Don Fernando Ximenez Vallejo para una Canongía de la Metropolitana de Tarragon</t>
  </si>
  <si>
    <t>Llorens, Félix</t>
  </si>
  <si>
    <t>Félix Llorens</t>
  </si>
  <si>
    <t>tancio Martínez ; el de Capitán segundo al segundo Ayudante D. Ramón Blay; esta resulta al Teniente D. Félix Llorens ; la Tenencia al Subteniente D. Onofre Noviola, y la de Subteniente de bandera al Cadete D. Félix Grifols. El Rey se ha servido conferir Compañía en el Regimiento de infantería de</t>
  </si>
  <si>
    <t>Llorens, Joaquín</t>
  </si>
  <si>
    <t>Joaquín Llorens</t>
  </si>
  <si>
    <t>plicación con que promueven la instrucción política y cristiana de la juventud, y confirió al Socio D. Joaquin Llorens la comisión para distribuir los indicados premios á los agraciados. La desempeñó este personalmente en la tarde del dia 25 de Marzo próximo pasado, habiéndose puesto de acuerdo con l</t>
  </si>
  <si>
    <t>Llórente, Juan Antonio</t>
  </si>
  <si>
    <t>Juan Antonio Llórente</t>
  </si>
  <si>
    <t>a de Toledo , que-resultará vacante por promoción de D. Josef Ximenez al Obis^ pado de Cartagena, á D. Juan Antonio Llórente, Canónigo de ia Catedral de Calahorra: para el Beneficio residencial de la Parroquia de la villa de Binuesa, en el Obispado de Osma, vacante por fallecimiento de D. Calixto Ramos,</t>
  </si>
  <si>
    <t>Obispado de Santander: para otra que resultará vacante en la Catedral de Calahorra por promoción de D. Juan Antonio Llórente á otra de la de Toledo, á D. Fermín S. Juan, Dignidad de Maestrescuela de la Colegial de Logroño: para otra, vacante en la Catedral de Canaria por promoción de D. Antonio María Lu</t>
  </si>
  <si>
    <t>Alava, Guipúzcoa y Vizcaya, y el origen de sus fueros: tomo i.°: por el Dr. D. Juan Antonio Llórente, Presbítero, Canónigo de la Catedral de Toledo &amp;c. Este primer tomo contiene toda la historia de la soberanía de cada una de las 3 provincias desde los Romanos hasta su respectiva incorporaci</t>
  </si>
  <si>
    <t>Maestrescuela de It Catedral de Toledo, vacante por fallecimiento de D. Martin Alvarez Santalla, á D. Juan Antonio Llórente,, con retención de la Canongía que obtiene de la misma Iglesia: para el Beneficio del lugar de Villar del Maestre , en la Diócesi de Cuenca, vacante por muerte de D. Gabriel Gómez</t>
  </si>
  <si>
    <t>Lloret, Jacinto</t>
  </si>
  <si>
    <t>Jacinto Lloret</t>
  </si>
  <si>
    <t>horas de su mañana, ea su posada calle del Príncipe, junta general de acreedores, con asistencia de D. Jacinto Lloret, y mandado, entre otras cosas, anunciarlo al público, para que. concurran por sí, ó persona que diputen, con las correspondientes facultades; en inteligencia de que ¿ los que no a</t>
  </si>
  <si>
    <t>Ló'rénzo Montes de Oca</t>
  </si>
  <si>
    <t>de Tesorero de. la Catedral de Canarias, ¡vacante per fallecimiento de D. Mateo Perez de Vargas, á D. Ló'rénzo Montes de Oca, Racionero de la misma: para una de las quafr9 Cspeílanías menores del Real y primer Monasterio de la Visitación de &gt; 9ue ha vacado por muerte de D. Manuel Sánchez, á D. Josef AnA</t>
  </si>
  <si>
    <t>Loftus, Juan</t>
  </si>
  <si>
    <t>Juan Loftus</t>
  </si>
  <si>
    <t>hado, quien se halla con mucha instrucción, por haber tenido la fortuna de vivir ai lado del citado D. Juan Loftus, y de haberse esmerado la beneficencia de este en su enseñanza dos años ántes de la abertura del Colegio. Dio Machado tales pruebas de sus adelantamientos, respondiendo á varias p</t>
  </si>
  <si>
    <t>Loftus, Juan de Dios</t>
  </si>
  <si>
    <t>Juan de Dios Loftus</t>
  </si>
  <si>
    <t>gable de este Cuerpo patriótico, de los individuos que en su nombre dirigen el Colegio, del Maestro Don Juan de Dios Loftus y su Ayudante D. Angel Machado, acreditando cada uno al Soberano el respectivo desempeño de su ministerio para instruir con amor á estas desgraciadas criaturas, quienes en este acto</t>
  </si>
  <si>
    <t>Logan</t>
  </si>
  <si>
    <t>ar este proyecto dictado por el agradecimiento. Avisan de Filadelfia, que el 18 de Diciembre último Mr. Logan previno a! Senado en una junta de los Estados-Unidos, que al dia siguiente propondría una ley dirigida á suspender toda comunicación mercantil entre los Estados-Unidos de América</t>
  </si>
  <si>
    <t>Loison, General</t>
  </si>
  <si>
    <t>General Loison</t>
  </si>
  <si>
    <t>de Osnabruck, y de 1 os Condados de Lingen y de Tecklenburgo, en nombre dei Rey de Holanda, por el General Loison, nombrado Gobernador general. Por un decreto Imperial se señalan los puestos que ocuparán las tropas confederadas. Los Bávaros y Wirtembergeses irán á Francfort del Oder: las trop</t>
  </si>
  <si>
    <t>Lope, Antonio</t>
  </si>
  <si>
    <t>Antonio Lope</t>
  </si>
  <si>
    <t>ío§ en metálico,, y el resto en vales Reales. Quien quisiere hacer mejora, acuda á la escribanía de D, Antonio Lope? de Sa lazar. El referido Sr. Teniente ha señalado el dia 7 del presente para el remate de otras dos casas sitas, una en la calle de Hortaleza, y vuelve á de Santa María del Arco,</t>
  </si>
  <si>
    <t>Lopetedi, Bartolomé</t>
  </si>
  <si>
    <t>Bartolomé Lopetedi</t>
  </si>
  <si>
    <t>esta obra, con su triunfo, en la librería de Montero, calle de la Concepción, y en Cádiz en casa de D. Bartolomé Lopetedi. Filosofía cristiana , ó Catecismo filosófico cristiano, en que se explican los misterios, las virtudes y ios vicios, con todos los discursos que puede prestarla razón humana, her</t>
  </si>
  <si>
    <t>López Barajas, Manuel</t>
  </si>
  <si>
    <t>Manuel López Barajas</t>
  </si>
  <si>
    <t>de la Corona de Castilla, con inclusión de los respectivos á las 4 de la de Aragón..__ Tocó al Sr. D. Manuel López Barajas, Veinteiquatro de la ciudad ae Granada.__ Suertes sv ver numerarias gara</t>
  </si>
  <si>
    <t>López Brun, Manuel</t>
  </si>
  <si>
    <t>Manuel López Brun</t>
  </si>
  <si>
    <t>onsura ópara el Pontifical de la villa de Pilas en el Arzobispado de Sevilla, vacante por muerte de D. Manuel López Brun, á D. Joaquín de Heredia y Hore : para el Deanato de la Catedral de Santander, vacante por fallecimiento de D. Juan Perez Zurita, á D. Francisco Antonio del Acebo, Canónigo Pector</t>
  </si>
  <si>
    <t>López de Carrizosa, Pedro</t>
  </si>
  <si>
    <t>Pedro López de Carrizosa</t>
  </si>
  <si>
    <t>y Tobalina, D. Mariano García de Cáceres, D. Justo Pasalagua y Martínez, D. Antonio Godoy y Castro, D. Pedro López de Carrizosa , D. Antonio Ribera y Vázquez , D. Josef Paez y Mesa, D. Carlos Soubiran y Mantelan, D. Miguel Quesada y Tarriba, D. Toribio Pasalagua y Martinez, D. Vicente Fernandez de Mesa, D.</t>
  </si>
  <si>
    <t>López de la Barrera, Juan</t>
  </si>
  <si>
    <t>Juan López de la Barrera</t>
  </si>
  <si>
    <t>Abadía de Sto. Domingo de Pedraza y Aldea Rubia, en la Diócesi de Salamanca, vacante por muerte de D. Juan López de la Barrera, y para el Medio Préstamo de Faneguilla en el Arciprestazgo de Ayllon, Diócesi de Sigiienza, vacante por fallecimiento de D. Manuel Vicente Martin, á D. Manuel Camps,Sub' diácono</t>
  </si>
  <si>
    <t>López de Lisperguer, Francisco</t>
  </si>
  <si>
    <t>Francisco López de Lisperguer</t>
  </si>
  <si>
    <t>ho Sr. Alcalde, por la escribanía de D. Juan Antonio Díaz Noriega. En virtud de providencia del Sr. D. Francisco López de Lisperguer, del Con* sejo de S. M., Alcalde en su Real Casa y Corte, se han mandado sacar á pública subasta, por término de 30 dias contados desde el 12 del corriente, dos pedazos de viña en</t>
  </si>
  <si>
    <t>López de Peñalver, Juan</t>
  </si>
  <si>
    <t>Juan López de Peñalver</t>
  </si>
  <si>
    <t>rdoba, ó la Conquista de Granada, escrita en francés por el caballero Florian: publícala eñrespañol D. Juan López de Peñalver: segímda.impresión, aumentada con un tomo en que se trata de los Moros de España; y se vende suelto para los que tengan la primera edición. Se' hallará en la librería de Alonso, f</t>
  </si>
  <si>
    <t>López de Ribas, Manuel</t>
  </si>
  <si>
    <t>Manuel López de Ribas</t>
  </si>
  <si>
    <t>ío® mas en moneda metáiica. Quien quisiere hacer mejora acuda ante dicho Señor por la escribanía de D. Manuel López de Ribas. Quien quisiere hacer mejora á una casa sita en lá calle de Cantaranas, núm 16, manz. 231 , tasada en 168,455^ rs., á la que se halla hecha postura en 1 1 2,304 rs. en dinero metá</t>
  </si>
  <si>
    <t>López de Rivas, Manuel</t>
  </si>
  <si>
    <t>Manuel López de Rivas</t>
  </si>
  <si>
    <t>álica/ Quien quisiere hacer mejora á ella acuda ante dicho Señor, por la escribanía de provincia de D. Manuel López de Rivas. =: También á voluntad de sús dueños se venden dos casas sitas eñ esta Corte, una en la Cava baxá de S. Francisco, núm.9, manz. 149, tasada en 81,790 rs.; y la otra en la calle de</t>
  </si>
  <si>
    <t>s 44J rs. cada una. Quien quisiere hacer postura acuda ante el referido Señor, por la escribanía de D. Manuel López de Rivas. Quien quisiere hacer postura á una casa sita en esta. Corte en la calle de S. Buenaventura, barrios de S. Francisco, núm. 10, manz.T23, tasada en 43,561 rs;, acuda ante el Sr. D.</t>
  </si>
  <si>
    <t>ere hacerla acuda ante el Sr.. Alcalde de Corte D. Francisco López Lisperguer, por la escribanía de D. Manuel López de Rivas. El Sr. D. León de Sagasta, Teniente Corregidor de esta villa , ha señalado el día 2p de este mes para el remate de una casa sita en la plazuela de ¡S, Ildefonso, num. 10, manz. ,</t>
  </si>
  <si>
    <t>tasada en 131931 rs. Quien quisiere hacer postura acuda ante dicho Sr. y escribanía de Provincia de D. Manuel López de Rivas. En-la Iglesia Parroquial de Santo Tomas Apóstol de Ja villa de Haro, Provincia de Rioja, se halla vacante Ja plaza de Tenor, dotada con 8 rs. diarios, cobrados mensualmente, y al</t>
  </si>
  <si>
    <t>López de Saiazar, Antonio</t>
  </si>
  <si>
    <t>Antonio López de Saiazar</t>
  </si>
  <si>
    <t>a, núm. 13, maqz., 446, tasada en 238,205 rs. Quien quisiere hacer postura acuda á la escribanía de D. Antonio López de Saiazar , en el término de 30 días contados desde el 12 del corriente. . * Por decreto del Sr. intendente de.«esta Provincia se ha mandado sacar nuevamente por término de 30 dias, que emp</t>
  </si>
  <si>
    <t>López de Salazar, Antonio</t>
  </si>
  <si>
    <t>Antonio López de Salazar</t>
  </si>
  <si>
    <t>ficado, acuda, hasta los respectivos dias señalados para sus remates, ¿ la escribanía del número de D. Antonio López de Salazar. Quien quisiere hacer mejora á otras dos casas, una en la calle de Jacometrezo, ftúm. 7, manz. 366, tasada en 232,788 rs., á la que se halla hecha postura en 155,192 rs. en dinero</t>
  </si>
  <si>
    <t>ilios, en 89,149 rs., el dia 18 del presente. Quien quisiere hacer postura acuda á la escribanía de D. Antonio López de Salazar. El Sr. D. Torquato Antonio .Collado, Teniente Corregidor de esta villa, ha señalado nuevamente para,el remate de una casa sita en la calle de Toledo, esquina á la de la Concepció</t>
  </si>
  <si>
    <t>quisiere hacer postura á ambas fincas corí arreglo á Reales instrucciones acuda á la escribanía de D. Antonio López de Salazar. Se lia señalado el día 14 de este mes, en la audiencia del Sr. D. Torquato Antonio Collado, Teniente Corregidor de esta villa, por ante el Escribano D. Antonio Fernandez, para el</t>
  </si>
  <si>
    <t>0® rs. á par gar en vales. Quien quisiere hacer mejora acuda ante dicho Señor, por la escribanía de D. Antonio López de Salazar. ; .. ¡ Se halla vacante la cátedra de Latinidad de la ciudad de Guadalaxara: su dotación es de 300 ducados anuales, sin perjuicio de lo que resuelva el Supremo Consejo en orden a</t>
  </si>
  <si>
    <t>, Teniente^Corregidor de esta villa. Quien quisiere proponer alguna mejora acuda á la escribanía de D. Antonio López de Salazar. ; Por decreto del Sr. Intendente de esta Provincia se ha aprobado el remate de una casa sita en esta Corte en la calle de Arganzuela, callejón del Mellizo, número 15, manz. 98, t</t>
  </si>
  <si>
    <t>io próximo pasado para la puja ó mejora del quarto. Quien quisiere hacerla acuda á la escribanía de D. Antonio López de Salazar. El Sr. D. Torquato Antonio Collado, Teniente Corregidor de esta villa, ha señalado el dia 4 del presente para el remate de una casa sita en esta Corte en la calle del Aguila, núm</t>
  </si>
  <si>
    <t>Corregidor de esta villa. Quien quisiere mejorar esta puja acuda hasta dicho día á la escribanía de D. Antonio López de Salazar. Se ha señalado el día 19 dé este mes para él último remate «Jé doi pedazos de viña en término dé la vi^Ja de Arganda, jurisdicciofi de Vilchés, sita la una donde dicen la Tiesa,</t>
  </si>
  <si>
    <t>acer postura á ellas acuda hasta los respectivos días señalados para sus remares á la escribanía de D. Antonio López de Salazar. . . Por el Tribunal del Consulado de Cádiz, y escribanía de D. Melchor Nicolás TruxUlo, se han seguido autos de quiebra y concurso de acreedores a D. Juan Antonio Ucelay, que tuv</t>
  </si>
  <si>
    <t>as contados desde aquella fecha. Quien quisiere hacerla acuda, en dicho término, á la escribanía de D. Antonio López de Salazar. Para el remate del cortijo y fontanar nombrado de Palómarejo, compuesto de 14 fanegas, 9 celemines, con 2 hazas, sito en término de la ciudad de Córdoba, tasado en 34,450 rs., en</t>
  </si>
  <si>
    <t>de 30 dias contados desde aquella fecha. Quien quisiere hacerla acuda á la escribanía del número de D. Antonio López de Salazar. Por providencia del Sr. D. León de Sagasta, Teniente Corregidor de esta villa, se ha señalado el 13 del presente para el remate de 4 casas sitas en esta Corte: una en la calle de</t>
  </si>
  <si>
    <t>López del Castillo, Antonio</t>
  </si>
  <si>
    <t>Antonio López del Castillo</t>
  </si>
  <si>
    <t>%/L. empleo de Capitán al Teniente de granaderos D. Josef Tórrebianca, y de Teniente al Subteniente D. Antonio López del Castillo; y en el de Sevilla, de la propia clase, la Subtenencia de granaderos al Subteniente de fusileros Don Cayetano Escalera, y la de bandera á D. Ramón Escalera». ,r —1 " — ----------</t>
  </si>
  <si>
    <t>López Enguádanos, Tomás</t>
  </si>
  <si>
    <t>Tomás López Enguádanos</t>
  </si>
  <si>
    <t>con notas y el retrato de este Almirante, copiado de uno de los mejores originales, y grabado ,por D. Tomas López Enguádanos. Se hallará en la librería de Pérez, calle de las Carretas y de los Estudios de S. Isidro. También se vende el retrato suelto. Puede ir en carta. En el almacén general de papeles</t>
  </si>
  <si>
    <t>López Enguídanos, Tomás</t>
  </si>
  <si>
    <t>Tomás López Enguídanos</t>
  </si>
  <si>
    <t>, calle de las Carretas. • Retrato de Guillermo Pitt, dibuxado por D. Josef Rivelles, y grabado por D. Tomas López Enguídanos. Se hallará en la librería de Carsi, calle de la Paz, i 6 rs. Triduo sacro, ó colección de poesías sobre los misterios de la pasión y muerte *dc nuestro Señor Jesucristo, recogida</t>
  </si>
  <si>
    <t>López Gonzalo, Victoriano</t>
  </si>
  <si>
    <t>Victoriano López Gonzalo</t>
  </si>
  <si>
    <t>de Eneré dé f-Sofc $. M. se ha servido nombrar para él Obispado de Cartagena, vacante por muerte de D. Victoriano López Gonzalo, á D. Josef XinSéñéz, Cano* nigo de la Catedral de Toledo. El Rey se ha servido promover á Mariscal dé Campó de sus Exdrcitós al Brigadier D. Josef de Nueros, Coronel del Regimien</t>
  </si>
  <si>
    <t>López Gutiérrez, Manuel</t>
  </si>
  <si>
    <t>Manuel López Gutiérrez</t>
  </si>
  <si>
    <t>ado de S. Miguel en Ja Parroquia de S. Juan de la propia villa, que se halla vacante por ascenso de D. Manuel López Gutiérrez al de S. Gil, á D. Pedro AÍvarez Alcalá. El Rey se ha servido conferir el empleo de Coronel del Regimiento de infantería de Hibernia al Teniente Coronel del mismo Cuerpo, graduado</t>
  </si>
  <si>
    <t>López Huerta, Martín</t>
  </si>
  <si>
    <t>Martín López Huerta</t>
  </si>
  <si>
    <t>r de la Parroquia de Sta. María de la villa de Moya, en la Diócesi de Cuenca, vacante por muerte de D. Martin López Huerta, á Don Froylan Mendez deVigo,con dimisión del Beneficio servidero de Sta. María de las Reliquias del Castillo de la villa de Alburquerque , en la Diócesi de Badajoz: para este Ben</t>
  </si>
  <si>
    <t>López Lisperguer, Francisco</t>
  </si>
  <si>
    <t>Francisco López Lisperguer</t>
  </si>
  <si>
    <t>es plazas vacantes que resultan en la Sala de Alcaldes de mi Casa y Corte, nombro al supernumerario D. Francisco López Lisperguer, á D. Antonio de Alcalá Galiano, Oidor de la Cnancillería de Granada, y al primer Teniente de la villa de Madrid D. Manuel Vicente de Torres Cónsul, Oidor honorario de la propia C</t>
  </si>
  <si>
    <t>30 dias contados desde el citado dia 19. Quien quisiere hacerla acuda ante el Sr.. Alcalde de Corte D. Francisco López Lisperguer, por la escribanía de D. Manuel López de Rivas. El Sr. D. León de Sagasta, Teniente Corregidor de esta villa , ha señalado el día 2p de este mes para el remate de una casa sita en</t>
  </si>
  <si>
    <t>ien quisiere mejorar dicho remate acuda, dentro del término expresado, ante el Sr. Alcalde de Corte D. Francisco López Lisperguer, por la escribanía de jD. Manuel López de Ribas. Por providencia de D. Estéban de la Madrid, Juez Comisionado Real en la ciudad de Toledo, se sacan á pública subasta 89 fanegas de</t>
  </si>
  <si>
    <t>9,575 rs* en mófiéda metálica sonante. Quien quis iere mejorarle'acuda ante el Sr. Alcalde de Córt^ D. Francisco López Lisperguer, por la escribanía déviD. Manuel López de Ribas.1 4</t>
  </si>
  <si>
    <t>an de Répide, dentro de 3c* días contados desde el 7 del corriente. Por providencia del Sr. Alcalde D. Francisco López Lisperguer se ha mandado sacar á pública subasta, por término de 30 dias contados desde 3 dei corriente* una casa sita en la calle de S. Juan, núm. 8,manz. 251 ,tasada en 52,423 rs. Quien qu</t>
  </si>
  <si>
    <t>López Lísperguer, Francisco</t>
  </si>
  <si>
    <t>Francisco López Lísperguer</t>
  </si>
  <si>
    <t>ta villa, y escribanía de Ó# Raimen de Milla Cuellar. • En-virtud-.-de providencias del Sr. Alcalde D. Francisco López Lísperguer se há maridado sacar á pública subasta, ,por térrnino de 30 dias contados desde 18 de Pscíembre j tuna casa-sita en esta Corte., en la Puerta del Sol, señalada con el oym. $ dé la</t>
  </si>
  <si>
    <t>López Perella, Diego</t>
  </si>
  <si>
    <t>Diego López Perella</t>
  </si>
  <si>
    <t>próximo, á las 8 de la mañana, en su posada para junta de los acreedores á la testamentaría del Sr. D. Diego López Perella, que se halla radicada en su juzgado , y escribanía dé D.'Tomas de Sancha y Prado, y á fin de que les consté y llegue á su-noticia se dá este avisó. ; . * • &lt;\ ~ EN LA IMPRENTA RE</t>
  </si>
  <si>
    <t>López Pinto, Dionisio</t>
  </si>
  <si>
    <t>Dionisio López Pinto</t>
  </si>
  <si>
    <t>Juan Bautista Ponsinch, D. Felipe del Arco Agüero , D. Josef Sánchez Tagle, D. Francisco Xaramillo, D. Dionisio López Pinto, D. Mariano Carrillo de Albornoz, Don Francisco Josef Justis, D. Bernardo Landaburu, D. Diego Rejón de Silva, D. Mariano Genaro Sentmanat, D. Luis Landaburu, D. Antonio y D. Pedro</t>
  </si>
  <si>
    <t>López, Andrés</t>
  </si>
  <si>
    <t>Andrés López</t>
  </si>
  <si>
    <t>o á oposición á la cátedra de Física experimental vacante en el Real Seminario de Nobles de Madrid. Don Andrés López de, Sa</t>
  </si>
  <si>
    <t>López, Dionisio</t>
  </si>
  <si>
    <t>Dionisio López</t>
  </si>
  <si>
    <t>. Ildefonso del Toro, y los Sargentos primeros D. Manuel de Seda y Df Anastasio Díaz de granaderos, D. Dionisio López y D. Joaquín Martínez, El Brigadier de la Real Armada D,. Agustín Figueroa, Comandante del Apostadero de Marina de Puerto Cabello, ha participado al Excmo. Señor Príncipe de la Paz, G</t>
  </si>
  <si>
    <t>López, Francisco Manuel</t>
  </si>
  <si>
    <t>Francisco Manuel López</t>
  </si>
  <si>
    <t>. Josef Cayetano Salcedo: para la Chantría de la Iglesia de Comayagua, vacante por fallecimiento de D. Francisco Manuel López, al Maestrescuela D. Josef María S. Martin; y para su resulta al Penitenciario D. Juan Francisco Márquez: para la Dignidad de Tesorero de la de Puebla de los Angeles, vacante por</t>
  </si>
  <si>
    <t>López, Joaquín</t>
  </si>
  <si>
    <t>Joaquín López</t>
  </si>
  <si>
    <t>de infantería de Saboya se ha servido el Rey promover á Subteniente de bandera al Sargento primero D. Joaquín López. S. M. ha tenido a bien nombrar al Subteniente del Regimiento de Milicias Provinciales de Abona en la isla de Tenerife D. Juan González del Castillo, por Subteniente de las Compañ</t>
  </si>
  <si>
    <t>López, Juan</t>
  </si>
  <si>
    <t>Juan López</t>
  </si>
  <si>
    <t>echo de orden del Emo. y Excmo. Sr. Arzobispo de Toledo, y aprobado por S. M. Se hallará en casa de D. Juan López, plazuela del Angel, núm 19. Retrato de Fr. Pedro Zaldívia, el que prendió al Maragato, visto de frente: dibuxado y grabado al estilo ingles de puntos por Miguel Ga^pborino.. Se h</t>
  </si>
  <si>
    <t>la librería de Castillo. Plano de la ciudad de Santiago de Galicia. Se hallará en casa del Geógrafo D. Juan López, plazuela del Angel, núm. 19. Estampa nueva de nuestra Señora de los Dolores, con su Santísimo Hijo difunto en el regazo, grabada por D. M. Brandi, dibuxada por D. J. Ximeno. Se h</t>
  </si>
  <si>
    <t>ha servido el Rey promover á Capitán ai Teniente D. Pablo, Cata;al; á Tenientes á los Subtenientes D. Juan López ^ y. ,D. Antonio de^ Castilla; á Subtenientes á los Alféreces D. fiiego Gonzaíez,Nogoña yDoiij josef Ca?amitj:ina, y á Alféreces ai Sargento D. Lorenzo .Boniq.uet y al? Cadete D.</t>
  </si>
  <si>
    <t>López, Luis</t>
  </si>
  <si>
    <t>Luis López</t>
  </si>
  <si>
    <t>s de infantería de Zaragoza y Mallorca se ha servido el Rey promover á Tenientes á los Subtenientes D. Luis López y D. Facundo Ibañez, este de granaderos; y á Subteniente de bandera dei primer batallón de Voluntarios de Aragón afSargento primero D. Ceferino Laborda. S. M. se ha servido promover á</t>
  </si>
  <si>
    <t>López, Tomás</t>
  </si>
  <si>
    <t>Tomás López</t>
  </si>
  <si>
    <t>de;D. Tomas López, se' adjudico el primer premió por leer y Doctrina cristiana, Calografía, Aritmética , Gramática y Ortografía castellana á Pedro Lafarga, sorteado con Eugenio Arizmendi, yá Cenon</t>
  </si>
  <si>
    <t>én la librería de Orea, calle dé la Montera. Mapa geográfico-dp les-Rsynps de Polonia y Prusia, por D. Tomas López, Geógrafo qíiófué dé5 Si Mí^e dallará con los de Españá, Portugal, Inglaterra, Alemania , Suizá-y GéApvVdél ¿a?sri(ió'autor, otras obras &lt;íe este , y las de su Üiijo Don Tomas Mau</t>
  </si>
  <si>
    <t>Lord Cathcart, Teniente General</t>
  </si>
  <si>
    <t>Teniente General Lord Cathcart</t>
  </si>
  <si>
    <t>io al ataque contra dicha fortaleza. El 18 han llegado á Luneburgo 6 compañías de tropas Suecas. El Teniente General Lord Cathcart se halla en Stade. El quartel general de los Ingleses permanece en Verden, y el de los Rusos en Niénburgo. El dia 12 han pasado el Weser, cerca deNienburgo, 2 batallones de tropas</t>
  </si>
  <si>
    <t>Lord Lake, General</t>
  </si>
  <si>
    <t>General Lord Lake</t>
  </si>
  <si>
    <t>ispuesto á guerrearnos como antes lo había hecho. Dícese sin embargo que hay negociaciones entre el General Lord Lake, Scindiah y los aliados; mas no pueden preverse los resultados, y es de temer que durante la estación lluviosa el enemigo haga incursiones en nuestras fronteras con su numerosa ca</t>
  </si>
  <si>
    <t>Lord Nelson, General</t>
  </si>
  <si>
    <t>General Lord Nelson</t>
  </si>
  <si>
    <t>holanda, que representa el orden con que se celebraron en Londres las exequias;y pompa funeral del General Lord Nelson: se ven trofeos, marineros del navio Victoria llevando indistintamente dos banderas de proa, y la insignia baxo la que combatieron contra la esquadra combinada en el Cabo de Trafa</t>
  </si>
  <si>
    <t>Lorente, Vicente Antonio</t>
  </si>
  <si>
    <t>Vicente Antonio Lorente</t>
  </si>
  <si>
    <t>s Censores nombrados por el Rey, para obtener la Cátedra de Botánica de la Universidad de Valencia, D. Vicente Antonio Lorente, Médico de número de los Reales Exércitos, y uno de los dos opositores, el dia 13 de Mayo de" 1805 : quaderno en 4.0 Se hallará á 2 rs. en rústica en la librería dé' Castillo'; fr</t>
  </si>
  <si>
    <t>Lorenza Pascual de Iriarte</t>
  </si>
  <si>
    <t>vecino de Aranda de Duero, D Alonso Fernandez, los herederos de otro de igual nombré, el curador de D. Lorenza Pascual de Iriarte, D. Joaquín de la Raya, vecino de Granada, los hijos de D.‘Santiago Irrisarri, los herederos de D. Cirios y D. Josef Perez, y D. Francisco Miians, ha mandado su Señoría se les dé</t>
  </si>
  <si>
    <t>Lorenzo'Vizquíz</t>
  </si>
  <si>
    <t>93. - Teniente ? con grado de Capitán, D. Lorenzo'Vizquíz; Tenencia al Subteniente de granaderos D. Joaquín Aguilera, y Subtenencias de bandera á los Cadetes D. Juan Josef Yañez y D. Juan Ameller, este del inmemorial del Rey. ' " . Igual</t>
  </si>
  <si>
    <t>Loring, Capitán</t>
  </si>
  <si>
    <t>Capitán Loring</t>
  </si>
  <si>
    <t>tiempo se habían concebido sospechas en Hamburgo y en Bremért dé las intericiones de la Prusia. .El Capitán Loring, Comandante de la fragata Niobeha dado caza el 28 de Marzo á 3 fragatas y un bergantín que habian salido de Lorient: y se ha apoderado de la corbeta nacional Nearco, de 16 cañones</t>
  </si>
  <si>
    <t>Lorpez Gonzalo, Victoriano</t>
  </si>
  <si>
    <t>Victoriano Lorpez Gonzalo</t>
  </si>
  <si>
    <t>último, falleció ¿n la ciudad de j&amp;lmansa» á los' 70 años, 7 meses y 29 dias de edad , el limo.-Sr. D. Victoriano Lorpez Gonzalo, Obispo de Cartagena, habiéndole^ sido ántes de Xortosa, y de la Puebla de los Angeles en Nueva-España, cuyas mitras sirvió por espacio de 32 años. Quantos haii conocido su zelo i</t>
  </si>
  <si>
    <t>Losada y Quirós, Benito</t>
  </si>
  <si>
    <t>Benito Losada y Quirós</t>
  </si>
  <si>
    <t>ueró y Rada, Corregidor de Toledo: para la Vara ,de Alcalde mayor segando de la ciudad de Granada á D. Benito Losada y Quirós: para la Vara de Alcalde mayor de la ciudad de Antequera á D. Juáh Bover; y para el Corregimiento de Letras de las villas de Inhiesta y Villanueva de la Jara á D. Blas ídel Conde.</t>
  </si>
  <si>
    <t>Losada, Gregorio</t>
  </si>
  <si>
    <t>Gregorio Losada</t>
  </si>
  <si>
    <t>Alférez al Portaestandarte D. Juan Portaz ; y en el de dragones de Villaviciosa Tenencia al Alférez D. Gregorio Losada; empleos de Alférez á lós Portaguiones D. Antonio Contreras y D. Josef Ausejo ; y esta resulta á los Cadetes D. Antonio Acosta y p. Antonio Valdivieso. En América. El Rey se ha se</t>
  </si>
  <si>
    <t>Louis, Almirante</t>
  </si>
  <si>
    <t>Almirante Louis</t>
  </si>
  <si>
    <t>ntos estragos ha hecho en la costa de Africa, y se dirigia á Lorient quando cayó en la división del Almirante Louis. (The Times.) La Corte de Rusia ha dirigido á sus Ministros en las Cortes extran-geras la circular, cuyo tenor es como sigue*. „ Todos saben, que en vista de las insinuaciones hec</t>
  </si>
  <si>
    <t>LoWe</t>
  </si>
  <si>
    <t>‘¿9o ' ’ Mr. LoWe, Pintor y Grabador afamado de. Prusia^ ha concebido el proyecto dé publicar;dé 3 eri; 3 meses tíft quaderno, que fía; de contener los retratos de seis eruditos ó literatos de Berl</t>
  </si>
  <si>
    <t>Loyer, Coronel</t>
  </si>
  <si>
    <t>Coronel Loyer</t>
  </si>
  <si>
    <t>estra parte ha habido algunos heridos , entre dós quales lo 'están gravemente el Capítan Laatz y el Coronel Loyer. El Rey ha nombrado al Teniente General Pyman.su Ministro plenipotenciario , y Enviado extraordinario cerca del Príncipe Regente de Portugal. &gt; . - •, Nuestros fondos han subido d</t>
  </si>
  <si>
    <t>Lozano, Agustín</t>
  </si>
  <si>
    <t>Agustín Lozano</t>
  </si>
  <si>
    <t>ostura acuda ante dicho Sr. Juez. Por providencia del Juez comisionado para la venta de obras- pías D, Agustín Lozano en la villa de Elche, Reyno de Valencia, y de acuerdo de la Comisión gubernativa , se han mandado sacar a pública subasta las fincas que dexó D. NicolásCaro,, Presbítero, i favor de</t>
  </si>
  <si>
    <t>e admitirán las que se Jiicigsen no; siendo friónos muertas, ni bax:ando del precio dé su tasación. D. Agustín Lozano, Abogado de los Reales Consejos, Comisionado Regio para la venta de bienes eclesiásticos en la ciudad y Obispado de Orihuela, y especial por la Comisión gubernativa del Consejo pa</t>
  </si>
  <si>
    <t>Lozano, Agustin</t>
  </si>
  <si>
    <t>Agustin Lozano</t>
  </si>
  <si>
    <t>l de Caminos. Se hallarán ¡untas y separadas en el despacho de la Imprenta Real. Por providencia de D. Agustin Lozano, Comisionado Regio para la venta de bienes eclesiásticos y obras pías de la ciudad y Obispado de Oiihuela, se han formalizado diferentes expedientes para la venta de ciertas finca</t>
  </si>
  <si>
    <t>ate al tercero dia siguiente en las casas consistoriales de la enunciada ciudad. Por providencia de D. Agustin Lozano, Comisionado Regio para la venta de bienes eclesiásticos y obras pias de la ciudad y Obispado de Orihuela, se han formado varios expedientes para la enagenacion de fincas, existen</t>
  </si>
  <si>
    <t>Por providencia de D. Agustín Lozano,.Juez Comisionado Regio para la venta de bienes eclesiásticos de la ciudad y obispado de Orihuela, se ha formado expediente para la venta de una heredad, tierra campa, con su casa</t>
  </si>
  <si>
    <t>Lucotte, General</t>
  </si>
  <si>
    <t>General Lucotte</t>
  </si>
  <si>
    <t>der de los rebeldes, mandados por Correa; y aunque se creía que su situación era muy aventajada, el General Lucotte los acometió, y en menos de una hora se hizo dueño del puesto. Mas de 100 rebeldes fueron muertos; pero Correa fue el primero que huyó. FRANCIA. Maguncia 27 de Octubre. Han llegado ya</t>
  </si>
  <si>
    <t>Ludovico Habert</t>
  </si>
  <si>
    <t>l. Compendium Theologiae dogmaticae per interrogationes, et responsa ad usum examinandorum: auctore D. Ludovico Habert, sacrae facultatis Parisiensis Doctore Theologo, et Socio Sorbonico. Harto sabido es de todos el mérito teológico de este autor; y que se estudia por él en una de las Cátedras de</t>
  </si>
  <si>
    <t>Lúeas</t>
  </si>
  <si>
    <t>á los Tenientes D. Josef de Cárdenas y D. Lu is Rey: Tenencias á los Alféreces D. Cristóbal Perez, D. Lúeas de ~la Peña y D. Josef Alberch ¿empleos de Alférez á los Portaestandartes Don **Pablo Solana, D. Josef de Torres y D. Juan de Cuellar, y el de Portaestandartes á los Cadetes D. Vicen</t>
  </si>
  <si>
    <t>Lúeas de Mena</t>
  </si>
  <si>
    <t>de granaderos de los de Soria y Alcázar de S, Juan á los Capitanes de fusileros D, Joaquín Gómez, y D. Lúeas de Mena, este graduado de Teniente Coronel ; el deCapitan de fusileros de los de CiudadRodrigo, Santiago y Lugo á los Tenientes D. Juan de Palacio y Villa, D. Felipe Navarro de Egui y D.</t>
  </si>
  <si>
    <t>Lúeas Marin y Cubillos</t>
  </si>
  <si>
    <t>Félix en su arriesgada empresa; pasando á executar desde luego la distribución por mano del Censor D. Lúeas Marin y Cubillos. .—.Como ha tenido V. E. en todo este negocio la parte mas principal, y la Sociedad ha gestionado en él, porque aspira a la imitación de su primer Gefe , no puede menos de ponerlo</t>
  </si>
  <si>
    <t>Lugo, Antonio María</t>
  </si>
  <si>
    <t>Antonio María Lugo</t>
  </si>
  <si>
    <t>strescuela de la Colegial de Logroño: para otra, vacante en la Catedral de Canaria por promoción de D. Antonio María Lugo al Arcedianato de la misma, á D. Vicente Ramírez y Espino: para la Ración, vacante en dicha Catedral de Toledo por promoción de D. Mateo Anchuelo á Canongía de la misma, á D. Jose</t>
  </si>
  <si>
    <t>Luis Fernando, Príncipe</t>
  </si>
  <si>
    <t>Príncipe Luis Fernando</t>
  </si>
  <si>
    <t>s Prusianas se encaminen 1 las fronteras de la Pomerania tendrá el mando de todas ellas S. A. R. ei Príncipe Luis Fernando^ Antes.de ayer se celebró el cumpleaños de A. R. el Príncipe: Fernando » el único, hermano que queda de Federico eL Grande. Asistiéroná cumplimentar en su casa al ilustre anciano</t>
  </si>
  <si>
    <t>momento se dio orden á 16 batallones y al de húsares de Ru— doríf que esten prontos á marchar : el Príncipe Luis Fernando mandará este cuerpo; y si la respuesta del correo que esperarnos no es satisfactoria, se pondrá en marcha nácia Witstok. ' El bloqueo de los puertos de Memel, Dantzick y Pillau po</t>
  </si>
  <si>
    <t>Berlín que 16 batallones y 20 esquadrones debían ponerse en marcha el 5 de Junio á las órdenes del Príncipe Luis Fernando. PORTUGAL. Lisboa 20 de Junto. Se ha comunicado al Consejo de la Guerra un decreto Real que dice: ,, Conviniendo mucho á mi Real servicio para establecer el buen orden y regularid</t>
  </si>
  <si>
    <t>s Prusianos han entrado asimismo en la Thuringia. Se asegura que el cuerpo de tropas mandado por el Príncipe Luis Fernando ha pasado eb Elba, no léjos de Dresde. En esta capital se advierte gran movimiento; diariamente ilegan varios Generales y Oficiales del Estado mayor Prusiano. Hoy ha llegado á est</t>
  </si>
  <si>
    <t>Luis, Archiduque</t>
  </si>
  <si>
    <t>Archiduque Luis</t>
  </si>
  <si>
    <t>el primer, Tribunal político, militar y judicial, sin que intervenga ningún otro juzgado civil. El Archiduque Luis, como Inspector délas fronteras, dirige baxo las órdenes del Generalísimo la sala en que se</t>
  </si>
  <si>
    <t>s. El Gran Maestre de la Orden Teutónica y el mas joven de ios Archiduques se hallan en Hungría, el Archiduque Luis está visitando y examinando las fronteras orientales , el Archiduque Juan las meridionales de la Monarquía, y el Archiduque Fernando está viajando para pasar revista á las tropas en</t>
  </si>
  <si>
    <t>Luis, Príncipe</t>
  </si>
  <si>
    <t>Príncipe Luis</t>
  </si>
  <si>
    <t>ientes de aquel que le salvó la vida. HOLANDA. Breda 8 de Diciembre* Esta mañana ha llegado aquí el Príncipe Luis, General en gefe del exército del Norte, principalmente destinado á cubrir las fronteras de la Holanda. Este Príncipe ha rehusado los honores que quería hacerle el publico y los M</t>
  </si>
  <si>
    <t>n una contribución &amp;c.&gt; ... jo de Diciembre. Ayer llegó á esta ciudad un Oficial de la comitiva del Príncipe Luis con una carta para eTPensionano de parte de S. A. I. La división de tropas Bátavas, que debe formar una parte del exército del Norte, será mandada por el Teniente General Bonhome,</t>
  </si>
  <si>
    <t>onia y de Brescia s ono mié i di euore ” El Emperador ha aprobado enteramente las disposiciones del Príncipe Luis para la defensa de la Holanda, la buena 'posición que ha tomado en Nimega, y las propuestas que ha hecho para cubrir la frontera del Norte. / EN LA IMPRENTA REAL.</t>
  </si>
  <si>
    <t>gaciones. HOLANDA. Haya 2 y de Diciembre. Continúan entrando tropas Francesas en esta República. El Príncipe Luis, General en gefe de este exército, que se detuvo algunos dias en Nimega, ha pasado á reconocer el pais de Cleves, adonde se juntan igualmente muchas tropas. Se asegura que estará</t>
  </si>
  <si>
    <t>á procedente de Europa.” HOLANDA. Arn/ichn 28 de Diciembre» Esta mañana ha llegado aquí S. A. I. el Príncipe Luis, Condestable de Francia y Comandante en gefe del exército del Norte para pasar revista á las tropas, cuyo número es muy considerable : se cree que una parte sé pondrá en marcha mu</t>
  </si>
  <si>
    <t>el Hannóver las tropas Inglesas, y reembarcarse antes que llegue el exército Francés mandado por el Príncipe Luis. Es cosa muy digna de notarse que hay ahora mismo 4 Mi tros Ingleses ea Berlín, á saber: el Lord Harrowby, ei Lord Harrington, Mr. Jack</t>
  </si>
  <si>
    <t>ado del Departamento de la Guerra, Mr. Pymann, que ha estado algunos dias en el quartel general del Príncipe Luis, ha llegado hoy al Haya, janana esperamos á S. A. I. en calidad de Comandante en gefe del exércitó- del Norte, á quien acompañará el Ministro de la Marina Verhuel. Las últimas not</t>
  </si>
  <si>
    <t>a hacer el cambio. == Firmado, Juan Principe* de Lichtenstein. == Él Mariscal Éerthier. S. A* I. el Príncipe Luis» Condestable del Imperio, y Goritandanté en Gefe del exércitó del Norte, ha pasado por Bruselas la noche del 17 de este mes, de vuelta del Haya á Páris. . El Ministro de Marina ha</t>
  </si>
  <si>
    <t>Luís, Príncipe</t>
  </si>
  <si>
    <t>Príncipe Luís</t>
  </si>
  <si>
    <t>itaciones del Senado, del Tribunado, de algunos Tribunales, y del Ayuntamiento de Paris. S. A I. el Príncipe Luís ha vuelto á Paris. Antes de separarse del exército del Norte este Príncipe ha dado un nuevo testimonio de benevolencia á los individuos de la guardia de honor de Brusélas, que est</t>
  </si>
  <si>
    <t>está destinado á gobernarla con un título desconocido todavía del públicos__ En los 2. meses que el Príncipe Luis ha estado en este país ha dado la idea mas sobresaliente de su carácter y de sus quaiidades. Eli Almirante Verhuei, cuyo mérito se conoce, y que ha estado mas al alcance que otro</t>
  </si>
  <si>
    <t>cupa; y se mira cómo cierto que ios motivos que hacian desear que la Holanda ruese gobernada por el Príncipe Luis, han prevalecido sobre las que se dirigían á solicitar su reunión pura y simple al Imperio Francés. Se nota hace algunos dias mucha actividad en la Secretaría de Marina. La,Legaci</t>
  </si>
  <si>
    <t>han hecho todas las disposiciones para su recibimiento. Se cree que le acompañen la Emperatriz y el Príncipe Luis. Parts 18 dé Mayo. El miércoles último á las 2 y media de la tarde principió una violenta tempestad en esta capital. La lluvia parecía un torrente, y los truenos y relámpagos eran</t>
  </si>
  <si>
    <t>rador de los Franceses y su esposa, y en la izquierda el del Príncipe Josef, Grande Elector, y del. Príncipe Luis, Condestable, :colocá-&gt; dos todos con simetría. Se hallará iluminada á 4 rs. en las librerías de Escribano y Gutiérrez, calle de las Carretas, y de Argueta, calle de la Montera. E</t>
  </si>
  <si>
    <t>quando se estableció vuestra última constitución; y la oferta que hacéis de la Corona de Holanda al Príncipe Luis, es conforme á los verdaderos intereses de vuestra patria, á los .míos, y pro</t>
  </si>
  <si>
    <t>sa.__ _ Representantes del pueblo Bátavo, adhiero al voto de SS. AA. PP. Proclamo Rey de Holanda al Príncipe Luis. Vos, Príncipe, reynad sobre esos pueblos; sus padres no adquirieron su independencia sino por el socorro constante de la Francia.. Después la Holanda se unió con la Inglaterra; f</t>
  </si>
  <si>
    <t>arís, pasó por aquí ayer al amanecer con dirección al Haya, coíl la nueva de la próxima llegada del Príncipe Luis á Holanda. Parts ij de Junio. El Ministro de la Marina ha- comunicado al Emperador lo siguiente: ,,Señor, el Capitán de Navio Mr. Hérmite, Comandante de una de las divisiones nava</t>
  </si>
  <si>
    <t>2j de Setiembre. EL exército mandado por el Príncipe de Hohenlohe va caminando en tres colunas; el Príncipe Luis manda la vanguardia, y el General Pelet irá baxo sus órdenes. Mr. Durand, Enviado de Francia en Dresde, ha pasado al Ministro Electoral una Nota con motivo de la entrada de las tr</t>
  </si>
  <si>
    <t>n el bosque: quedaron i® hombres prisioneros, 690 muertos, y 30 cañones en nuestra poder. Viendo el Príncipe Luis la derrota de los suyos , como animoso y leal soldado, se puso á pelear cuerpo á cuerpo con un Sargento del 10 Regimiento de húsares. Daost Coronel, le dixa el Sargento’, ó sais muerto.</t>
  </si>
  <si>
    <t>Luis-Bartolomé Calvo</t>
  </si>
  <si>
    <t>se ha. mandado hacer saber á D; Ignacio GarciMartin ,. D. Fausto Esquerra-, IX Tomas. Ruiz Dávila, D. Luis-Bartolomé Calvo, D. Francisco Sarabia, D. Rafael Figueroa, D; Joaquín Martínez y D. Julián Guarisii, últimos tenedores respective que: fueron de 9 vales. Reales, de 150 pesos, creación de r 0 de</t>
  </si>
  <si>
    <t>Luis-Bisana-y Muñoz</t>
  </si>
  <si>
    <t>remate se verificará en el día 7 y siguientes del mes de Enero del año próximo. Por providencia de D. Luis-Bisana-y Muñoz , . Juez Comisionado Regio para la venta de. bienes eclesiásticos secularizados en la Diócesis de Cuenca, se lia,señalado el día, 31 del corriente para, el jem|re de las fincas, s</t>
  </si>
  <si>
    <t>Luisa María Margarita Vizcarreti</t>
  </si>
  <si>
    <t>ender la remisión del despacho, y que por medio de la Ga?eta de la Corte se emplace á la lima. Sra. Doña Luisa María Margarita Vizcarreti, como madre tutora y curadora del íCopde Roberto y demas sus hijos, á fin de que dentro de 6 meses contados desde el día en que se publique esta noticia comparezca en el juzgado d</t>
  </si>
  <si>
    <t>Lunier</t>
  </si>
  <si>
    <t>Mr. Kervegan ha presentado al Cuerpo Legislativo el Diccionario etimológico de ciencias y artes de Mr. Lunier. „Esta obra, dlxo Kervegan, cuya utilidad general ha determinado al Príncipe Murat á aceptar la dedicatoria, me parece que merecerá una acogida particular del Cuerpo Legislativo,</t>
  </si>
  <si>
    <t>Luosi</t>
  </si>
  <si>
    <t>ó S. A. I. el Príncipe Virey, en nombre de S. M. I. y R., con la Gran Cruz de la Corona de hierro á Mr. Luosi, Gran Juez, Ministro de la Justicia, y á los Consejeros de Estado Consultores Paradisi, Containi y Moscati, nombrados por decreto de S. M. en 16 .de Abril dignidades de la misma O</t>
  </si>
  <si>
    <t>Lupas</t>
  </si>
  <si>
    <t>rest que; habia llegado á Morlex un parlamentario, que traía á bordo al Almirante .Villeneuve : y á Mr. Lupas, Capitán de Navio, que fuéron hechos prisioneros en el combate de Trafalgar. Las cartas de Holanda hablan de la reunión próxima de 30© hombres en el campo de Zeist. Algunos cuerpo</t>
  </si>
  <si>
    <t>Luque y Lozano, Martín</t>
  </si>
  <si>
    <t>Martín Luque y Lozano</t>
  </si>
  <si>
    <t>a Colegial de Sta. Fe, en el Arzobispado de Granada, por muerte de D. Josef Antonio de los Ríos , á D. Martin Luque y Lozano: á D. Miguel Rivas y Aleu para un Beneficio^compuesto de dos unidos, vacante en la Parroquia de Cambrils, Diócesi de Tarragona, por fallecimiento de D. Miguel Planas: á D. Miguel</t>
  </si>
  <si>
    <t>Luque, Pedro</t>
  </si>
  <si>
    <t>Pedro Luque</t>
  </si>
  <si>
    <t>Idiaquez, D. Mateo de Soto, D. Sixto Carrera, D. Remigio.Diaz y D. Mauricio Zelaya; y de bandera á D. Pedro Luque y D. Juan Miguel Morazan, todos vecinos de la jurisdicción del mismo cuerpo. El Rey se ha dignado conceder la Sargentía mayor veterana del Esquadron de dragones de Milicias disciplina</t>
  </si>
  <si>
    <t>Macclesfield, Lord</t>
  </si>
  <si>
    <t>Lord Macclesfield</t>
  </si>
  <si>
    <t>ra no siguiese en esta ocasionóla misma conducta. Recordó que quando Mr. Whitbread citó ía causa de Lord Macclesfield había querido decir probablemente que Lord Melleville debía sér juzgado del mismo modo, es á saber , en la bafra de la Cámara de los Pares. La causa de Lord Macclesfield duró vein</t>
  </si>
  <si>
    <t>nación asistiese á,este acto , para que se convenciese ¡ de la inocencia ó del crimen del acusado. Lord Macclesfield fné juzgado en la ¡barra ¡de la Cámara, alta; pero .en aquel entonces se hizo una protesta iContra .ésta innovación. • ¡ ,Mr. W.' Dundas dixo no había oído alegar ninguna' razón q</t>
  </si>
  <si>
    <t>Machado, Ángel</t>
  </si>
  <si>
    <t>Ángel Machado</t>
  </si>
  <si>
    <t>s individuos que en su nombre dirigen el Colegio, del Maestro Don Juan de Dios Loftus y su Ayudante D. Angel Machado, acreditando cada uno al Soberano el respectivo desempeño de su ministerio para instruir con amor á estas desgraciadas criaturas, quienes en este acto dieron nuevas pruebas de la</t>
  </si>
  <si>
    <t>Machado, Juan</t>
  </si>
  <si>
    <t>Juan Machado</t>
  </si>
  <si>
    <t>as. Satisfecho el público del adelantamiento de estos niños, se presentó el alumno no contribuyente D. Juan Machado, quien se halla con mucha instrucción, por haber tenido la fortuna de vivir ai lado del citado D. Juan Loftus, y de haberse esmerado la beneficencia de este en su enseñanza dos añ</t>
  </si>
  <si>
    <t>Macía de Lleopart, Ramón</t>
  </si>
  <si>
    <t>Ramón Macía de Lleopart</t>
  </si>
  <si>
    <t>lde mayor de la villa de Sepúlveda: á D. Justo Martínez de Baños para la de la ciudad de Málaga : á D. Ramón Macía de Lleopart para la de la ciudad de Ecija; y á Don Josef Joaquín Santa María para el Corregimiento de Letras de la ciudad de Toledo. En América. S. M. se ha servido nombrar para el Beanato de</t>
  </si>
  <si>
    <t>Mack, General</t>
  </si>
  <si>
    <t>General Mack</t>
  </si>
  <si>
    <t>Bayreuth sobre la invasión de los Franceses; movimiento de lak^trohas Austríacas hasta la orden del General Mack para defender á Ulma; salida de la tropa F rancesa de Hannóver para Hamelen; senado-consulto agregando la Liguria á la Francia; continuación de las notas éntre la Corte de Viena y</t>
  </si>
  <si>
    <t>o una comisión particular compuesta de varios Generales y Auditores, para examinar la cotlducta del General Mack y de otros Oficiales superiores. La muerte ha dexado libre de esta pesquisa aLGeneral Werneck. El Emperador ha mandado comprar en Hungría 4fanegas de grano ara distribuirlas en alivio</t>
  </si>
  <si>
    <t>sgratz, en Bohemia, baxo la presidencia del Feld-Mariscal Conde de Colloredo. Hay noticias deque el General Mack ha remitido un papel justificativo y muy difuso de su conducta á S. M. el Emperador, quien ha tenido á Sien no recibirlo, y ha mandado que se le haga entender que al Consejo de Gu</t>
  </si>
  <si>
    <t>la paz. El Conde de Colloredo, Presidente del Consejo de la Guerra, que debe decidir la suerte del General Mack, ha solicitado el permiso de ir á tomar las aguas de Badén; S. M. I. ha tenido á bien no concedérselo.__ La causa del Príncipe de Avesperg está todavía en poder del Emperador; sem</t>
  </si>
  <si>
    <t>omandante en gefe del exército, y que Mr. de Novosiitzow Conseguirá el retiro que ha solicitado. El General Mack ha publicado en algunos periódicos la apología qué sigue: „ El Teniente Feld- Mariscal Barón de Mack se ve en la precisión declarar por las presentes, que en ningún tiempo ha proc</t>
  </si>
  <si>
    <t>e siempre ha sido y debido ser desventurado; el tai redactor ¿no debería haber indagado ántes si el General Mack ha sido con efecto siempre desventurado? En este caso se habría convencido, y por poco que hubiera conservado un modo de pensar noble, hubiera informado al público de que en las c</t>
  </si>
  <si>
    <t>o-Mannsfeld ha sido nombrado Presidente del Consejo de Guerra encargado de examinar la conducta del General Mack. Este Oficial se halla arrestado en el castillo de Josephstadt,y cada vez que le llaman los Jueces va acompañado del Comandante de. la plaza* El Conde de Harnancourt preside el Co</t>
  </si>
  <si>
    <t>Emperador de Austria ha conmutado la pena de muerte, pronunciada por el Consejo de Guerra contra el General Mack, en una prisión perpetua, y en sacarlo á la vergüenza una vez cada año el dia de la rendición de Ulma. • El Gabinete de Londres, que por el fallecimiento de Mr. Fox se ha entregad</t>
  </si>
  <si>
    <t>oso Ruso dividido en tres cuerpos diversos,.en el Niemen, y. en el Dniéster,” ' .. Han conducido al General Mack, cargado de grillos., á la fortaleza de* Sprelberg, en Moravia, donde permanecerá preso miéntras viva. Esta ca-, tástrofe ha hecho aquí mucha impresión. Por el contrario, el exáme</t>
  </si>
  <si>
    <t>Mackencie, Capitán</t>
  </si>
  <si>
    <t>Capitán Mackencie</t>
  </si>
  <si>
    <t>do dos velas del convoy de Jamayca; pero resulta de dos relaciones remitidas ai Almirantazgo por el Capitán Mackencie, que mandaba la fragata Mágica, en cuya conserva regresaba dicho convoy á Europa, que la pérdida ha sido mas considerable. En la primera relación dice Mackencie que 6 buques se ha</t>
  </si>
  <si>
    <t>Maclauglin, Félix</t>
  </si>
  <si>
    <t>Félix Maclauglin</t>
  </si>
  <si>
    <t>Capitán , Don '.Manuel Abellan ; y Subtenencia de bandera en el de las Ordenes Militares ral Cadete D. Félix Maclauglin. En América. A D. Manuel Rincón Gallardo&gt; Coronel del Regimiento de dragones provinciales de S. Carlos, en el Reyno de Nueva-España, se ha servido S. M.&gt; nombrarle Coronel del Reg</t>
  </si>
  <si>
    <t>Macón, General</t>
  </si>
  <si>
    <t>General Macón</t>
  </si>
  <si>
    <t>ha tenido ninguna mala resulta. DIARIO DECIMOTERCIO DEL EXERCITO GRANDE. Halle d 20 de Octubre. Ei General Macón ha hecho á los comerciantes y mercaderes de Leipsick la notificación siguiente : „ Señores: la suerte de las armas ha puesto á Leipsick en manos del Gran Napoleón. Vuestra ciudad</t>
  </si>
  <si>
    <t>itantes, y aun los Oficiales Franceses les han hecho varios regalos. Bamberga i.° de "Noviembre. El General Macón, Teniente Gobernador de las Tullerías, Comandante de la Legión de Honor, Gran Cruz de la Orden del León, y Comandante de Leipsick, ha fallecido allí el 27 del pasado. Francfort j</t>
  </si>
  <si>
    <t>Madama Narischkin</t>
  </si>
  <si>
    <t>hijo de un personage que hizo gran papel emlas turbulencias de su patria, y por Madama Narischkin, hija; del Príncipe Czetwertinsky, uno de los sugetos que desean con el mayor ahinco la independencia de la Polonia. Los Franceses han evacuado ya enteramente la fortaleza de Hameln , y</t>
  </si>
  <si>
    <t>Madrid, Diego</t>
  </si>
  <si>
    <t>Diego Madrid</t>
  </si>
  <si>
    <t>1098 sileros D. Diego Madrid, y á Subteniente de'bandera al Sargento primero de granaderos D. Domingo Patino. En la mañana del 10 del presente mes se executó, con las formalidades de estilo, en el patio princ</t>
  </si>
  <si>
    <t>Madrid, Joaquín</t>
  </si>
  <si>
    <t>Joaquín Madrid</t>
  </si>
  <si>
    <t>Alaría N oriega y D. Franciscp Xavier de Andrade, y a Subtenientes, dex bandera á D. Manuel Quirós, D. Joaquín Madrid y D.? Salvador Artacho.,. El Rey nuestro Señor, á consulta del Real y Supremo Consejo de Ca§&gt;, tilla, sé ha servido" conceder a la ciudad de Truxiilo-una feria anual,^que;. debe dar p</t>
  </si>
  <si>
    <t>Maestre y Maestre, Juan María</t>
  </si>
  <si>
    <t>Juan María Maestre y Maestre</t>
  </si>
  <si>
    <t>l González Cárdenas, D. Juan Ignacio Arespacochaga, D. Manuel Rodríguez Sotelo, D. Josef Gutiérrez, D. Juan María Maestre y Maestre, y el Dr. D. Manuel Céspedes. Los tres primeros fuéron examinados de Aritmética, Algebra, Geometría y Trigonometría, y recibiéron cada uno en premio la Geometría de Euclides por R</t>
  </si>
  <si>
    <t>Magendie</t>
  </si>
  <si>
    <t>ciones que tienen hechas sobre este particular. A petición del Almirante Villeneuve se ha embarcado Mr. Magendie, su primer Capitán, en Nore para el Texel, á bordo del parlamentario Ingles el Comercio, que conduce prisioneros de guerra Holandeses. Este Oíi— cial pasa áFrancia baxo palabra de</t>
  </si>
  <si>
    <t>Maiíland, General</t>
  </si>
  <si>
    <t>General Maiíland</t>
  </si>
  <si>
    <t>de 5 de Setiembre último, contiene lo que sigue: „E1 13 de Julio ha llegado á la punta de Gales el General Maiíland, nuestro nuevo Gobernador, y el 19 ha empezado sus funciones de Gobernador y Comandante en gefe en Colombo, capital de la isla. Ha hecho reformas y mudanzas considerables en los d</t>
  </si>
  <si>
    <t>Maisons, General</t>
  </si>
  <si>
    <t>General Maisons</t>
  </si>
  <si>
    <t>a; pues 200 húsares quedaron inmediatamente en el campo de batalla. Mandaba la infantería ligera el General Maisons: quedó muerto un Coronel enemigo; se tomaron 2 cañones, y se hiciéron 300 prisioneros; ascendiendo el número de muertos á 400 hombres. Nosotros hemos perdido poca gente: la infant</t>
  </si>
  <si>
    <t>Makensie, Capitán</t>
  </si>
  <si>
    <t>Capitán Makensie</t>
  </si>
  <si>
    <t>es ; pero 3 5 jque se hallaban en la isla de Sto. Tomas se salvaron el 3 mediante la diligencia del Capitán Makensie, que.los, hizo cortar los cables quandó el enemigo se hallaba á 5 leguas de ía islaa, Escriben de P ymouth que el General Simcoe se ha embarcado á bor1 do de la fragata Sta. Marga</t>
  </si>
  <si>
    <t>Malher, General</t>
  </si>
  <si>
    <t>General Malher</t>
  </si>
  <si>
    <t>la división del General Marchand, un Regimiento de infantería ligera y 3 de línea; la división del General Malher, un Regimiento de infantería ligera y 3 de línea; la división de caballería ligera, que está baxo las órdenes del General Dupré, un Regimiento.de húsares y otro de cazadores. En l</t>
  </si>
  <si>
    <t>Malo de Tejada, Pedro Antonio</t>
  </si>
  <si>
    <t>Pedro Antonio Malo de Tejada</t>
  </si>
  <si>
    <t>el zelo, actividad y vigilancia de su Alcalde mayor D* Josef Bállugera y Nuúez, y del Cura Párroco D. Pedro Antonio Malo de Tejada, quienes como Presidentes de la Junta de Sanidad y Socórro¿'v aplicáron todos sus desvelos á tan piadosos objetos, ya suministrando pdr; su&amp; propias manos el preciso alimento ^ lo</t>
  </si>
  <si>
    <t>Malsona, Pedro</t>
  </si>
  <si>
    <t>Pedro Malsona</t>
  </si>
  <si>
    <t>eOórdoba. Tiídela.,, D. Fernando de Ascarate, Valencia..,.,.,.,,' D.; Pedro Beyeya, Alicante....... D. Pedro Malsona ve, Burgos.......... D. Narciso Gonzalo del Rio, Malaga..,..,,.. D. Jayme Setta, Loustannau y Compañía. Cádiz.....Sresy Vienne y Larúe. Coruiia........... Sres. López, Sagastizaba</t>
  </si>
  <si>
    <t>Manchester, Lord</t>
  </si>
  <si>
    <t>Lord Manchester</t>
  </si>
  <si>
    <t>bían dado á )Lord Yarmouth; pues estaban concebidos en los mismos términos que 1q,s que se diéron á Lord Manchester en el año de 1763, y aun eran mas completos y mas amplios. ,, Mas la Corte de Londres, temiendo que los progresos rápidos de la ne</t>
  </si>
  <si>
    <t>Mantua Juan Gamis</t>
  </si>
  <si>
    <t>, que desempeña Q* Felipe Ratíiirezfde Brianes. Habiendo muerto en la ciudad de Mantua Juan Gamis, natural de Málaga, al servicio del Reyno de Italia en el ramo de Artillería, se da este aviso al pública por lo que pueda interesar á sus parientes., ; Secretos raros de ártes y ofidios v</t>
  </si>
  <si>
    <t>Manuel Vicente</t>
  </si>
  <si>
    <t>de las Ordenes Militares, que existe dentro la casa de los Reales Consejos. Por providencia del Sr. D. Manuel Vicente de-Torres*, Teniente Corregidor de esta villa , se subastan 2 casas: una, que es tahona, en la calle de Embaxadores, y vuelve á la de Mira el Sol y Santiago ei Verde , núm. 1, manz.</t>
  </si>
  <si>
    <t>Manuel Vicente Martín</t>
  </si>
  <si>
    <t>amo de Faneguilla en el Arciprestazgo de Ayllon, Diócesi de Sigiienza, vacante por fallecimiento de D. Manuel Vicente Martin, á D. Manuel Camps,Sub' diácono Tenor supernumerario de la Real Capilla, y Capellán titular del Convento de las Monjas Franciscas Descalzas Reales de esta Corte: para el Beneficio</t>
  </si>
  <si>
    <t>Manuela</t>
  </si>
  <si>
    <t>os haya encontrado. se servirá entregarlos en Molina á dicho Mocencos, y en Madrid al citado Presa. Doña Manuela.de Astigarraga, residente en S. Sebastian, remitió con fecha de 4 del corriente mes? de Julio un vale Real de 300 pesos, creación de Setiembre,</t>
  </si>
  <si>
    <t>ManuelRuiz</t>
  </si>
  <si>
    <t>drés Lastra; Subtenencia de granaderos al "de'fusileros D. Bernardo Pardo; y su resulta al agregado D. ManuelRuiz ~.j .D .O ..de., Monroy. 4 l' •, , , .j 4 ■ ' i ■ * ^ - f i En el Regimiento de dragones Provinciales de la Reyna en Nueva.EsparÉa.se ha servido el Rey promover á Capitán al Tenie</t>
  </si>
  <si>
    <t>Manüfel Vicente de Torres</t>
  </si>
  <si>
    <t>ostura á u'ná casa sita én la Caví baxa, num. 19 , manzana i 50, tasada én fs;y á'cücfi ante él Si. D. Manüfel Vicente de Torres, Teniente Gorrégidot dtr esta villa, pck la escribanía de D. Cristóbal de Vicuña, dentro de 30 días contados desde él 14 dél Corriente. En virtud de providencia dél Sr. D. Torquat</t>
  </si>
  <si>
    <t>Manzanilla, Juan</t>
  </si>
  <si>
    <t>Juan Manzanilla</t>
  </si>
  <si>
    <t>á 14 de Noviembre de 1805, en las quales les comunica el reconocimiento que ha hecho con su alumno D. Juan Manzanilla en los montes de Loxa y de Jaén de Bracamoros, de 32 especies de Cinchón# ó quina, distintas de las 12 ya publicadas por los referidos Botánicos del Perú en la Quinologia y Flora Pe</t>
  </si>
  <si>
    <t>Manzano, Ángel</t>
  </si>
  <si>
    <t>Ángel Manzano</t>
  </si>
  <si>
    <t>ubtenencia de bandera al Cadete D. Josef Joaquín Power: en el de GuadalaxaraTenencia al Subteniente D. Angel Manzano; y Subtenencia de bandera al Cadete D. Josef Menendez Cornellana: en el de Granada Tenencia al Subteniente de granaderos D. Josef de la Peña; y Subtenencia de bandera al Cadete D.</t>
  </si>
  <si>
    <t>Marat, Príncipe</t>
  </si>
  <si>
    <t>Príncipe Marat</t>
  </si>
  <si>
    <t>ntes; un gracioso divertimiento nuevo para piano,compues-' to de un minuete del General Hozyel, del Príncipe Marat, dos walses alusivos, una aiemanda y una grande marcha, 16 rs.: 6 contradanzas, de Riodon, para piano, 10; 6 minuetes para piano, de Mozart, 10: una grande aria bufa, con acompaña</t>
  </si>
  <si>
    <t>Marcaida, Jacinto</t>
  </si>
  <si>
    <t>Jacinto Marcaida</t>
  </si>
  <si>
    <t>e ambas fueron inmediatamente represadas, la una por los faluchos del mando del Teniente de Fragata D. Jacinto Marcaida, y la ©tra por un bote y dos cañoneros de Sancti Petri, baxo las órdenes del Teniente de Navio D. Fermín Argumosa. En cumplimiento de las Reales Cédulas de S. M. de 15 de Julio y</t>
  </si>
  <si>
    <t>Marcelino Pereyra, Luis</t>
  </si>
  <si>
    <t>Luis Marcelino Pereyra</t>
  </si>
  <si>
    <t>r la escribanía de D. Miguel García de la Madrid. En virtud de providencia dei Sr. Alcalde de Corte D. Luis Marcelino Pereyra *e ha señalado el dia 14 de este mes para el remate de una casa sita en la plazuela del Angel, núm. 25, manz. 234, tasada en 244.719 rs., y dan por ella 224,719 en vales, y ío® ma</t>
  </si>
  <si>
    <t>os dias, 14» 18» 21 y 22 del corriente. Por providencia de 2 2 de Setiembre próximo ipasado del Sr. D. Luis Marcelino Pereyra, del Consejo de S. M., y Alcalde de su Real Casa y Corte, se han mandado sacar á pública subasta tres casas sitas en esta Corte: una en la calle de la Paloma, núm. 14, manz. 112 ,</t>
  </si>
  <si>
    <t>Marcelino Pérez, Andrés</t>
  </si>
  <si>
    <t>Andrés Marcelino Pérez</t>
  </si>
  <si>
    <t>nuel Ventura Hurtado: para la Maestrescolía á D. Gerónimo Bonilla; y para la Tesorería al Magistral D. Andrés Marcelino Perez: para la Media-Ración de la Metropolitana de México, que vaco por ascenso de D. Josef María Alcalá á Magistral de ella, á D. Pedro González Aran jo, Cura en la misma Diócesi; y pa</t>
  </si>
  <si>
    <t>Marcelo de San Reman</t>
  </si>
  <si>
    <t>ue hallándose en esta Corte se ha desaparecido el día 4 de Julio , avisará en esta Corte en casa de D. Marcelo de San Reman, del comercio de esta Corte, en la plaza Mayor. Breve descripción de la fiebre amarilla padecida estos últimos años en las Andalucías, por D. Juan Manuel de Aréjula, Doctor en Med</t>
  </si>
  <si>
    <t>Marchand, General</t>
  </si>
  <si>
    <t>General Marchand</t>
  </si>
  <si>
    <t>el General Dupont, un Regimiento de infantería ligera, 2 de línea y uno de húsares; la división del General Marchand, un Regimiento de infantería ligera y 3 de línea; la división del General Malher, un Regimiento de infantería ligera y 3 de línea; la división de caballería ligera, que está baxo</t>
  </si>
  <si>
    <t>Marckham, Almirante</t>
  </si>
  <si>
    <t>Almirante Marckham</t>
  </si>
  <si>
    <t>aron en el exercicio de sus empleos. El nuevo Almirantazgo se compone de Mr. Grey, primer Lord; del Almirante Marckham, de Sir Carlos Pode, Sir P. Stephens, y de Lord Russel. '• Se anuncia que Lord San Vicente tendrá un mando muy considerable, que comprehenderá todos los mares de Europa. Acaba de</t>
  </si>
  <si>
    <t>Marco Laño, Juan Francisco</t>
  </si>
  <si>
    <t>Juan Francisco Marco Laño</t>
  </si>
  <si>
    <t>rciprestazgo de Santa María, Dignidad de la Metropolitana de Zaragoza, vacante por fallecimiento de D. Juan Francisco Marco Laño, á D. Jayme Salas: para la Canongía que este obtiene en lá Catedral de Huesca á Don Salvador Puicercus: á D. Ignacio Rives.para una Canongía de la Metropolitana de Tarragona, vaca</t>
  </si>
  <si>
    <t>Marco Lario, Juan Francisco</t>
  </si>
  <si>
    <t>Juan Francisco Marco Lario</t>
  </si>
  <si>
    <t>para la Capellanía mayor del Convento de la Encarnación de esta Corte, vacante por fallecimiento de D. Juan Francisco Marco Lario, á D. Jósef Amarilla y Huertos, Fiscal de la buprema y general inquisición: para la Canongía de la Catedral de Segovia, vacante por muerte de D. Josef Sanz Monroy, á D. Juan Benit</t>
  </si>
  <si>
    <t>Marechal, Pedro</t>
  </si>
  <si>
    <t>Pedro Marechal</t>
  </si>
  <si>
    <t>faltriquera ó de caxa; para los que dan cuerda á los reloxes de torre, ó los hacen de sol: su autor D. Pedro Marechal. Se hallará en-la librería de Dáviía, calle de las Carretas, en la de Ramos, carrera de S, Gerónimo, y en el puesto del diario de la plazuela de Santo Domingo; en Cádiz en la de P</t>
  </si>
  <si>
    <t>Marescalchi</t>
  </si>
  <si>
    <t>se presentó á S. M. el Emperador y Rey una Diputación de los departamentos Venecianos apadrinada de Mr. Marescalchi , Ministro de Relaciones exteriores del Reyno de Italia. Luis Pisani, uno de los 17 miembros de que se componia la Diputación, pronunció un discurso en Italiano, manifestando el r</t>
  </si>
  <si>
    <t>Maret</t>
  </si>
  <si>
    <t>la galería de Diana. A las 8 llegaron ai mismo parage SS. MM. con los novios y la familia Imperial. Mr. Maret, Secretario de Estado, leyó el contrato matrimonial, que firmaron SS. MM., los Príncipes, las Princesas y los testigos.»__El Príncipe Archi- Canciller del Imperio, exerciendo sus</t>
  </si>
  <si>
    <t>Margaron, General</t>
  </si>
  <si>
    <t>General Margaron</t>
  </si>
  <si>
    <t>e tiradores de la Córcega y del Pó; del cúérpo'de caballería ligera, que está" baxo las órdenes del General Margaron, de un Regimiento de húsares y de 2 de cazadores; y otro cuerpo de caballería mandado por el General Milhaud, que solo tiene 2 Regimientos de cazadores. 4.° El cuerpo del Mariscal</t>
  </si>
  <si>
    <t>Mariano</t>
  </si>
  <si>
    <t>ente al Alférez D. Jostf Duran; á Alférez al Portaguión D. Josef Manuel de Porras, y á Portaguión á D. Mariano lia» niirez de la Cuesta, vecino de ia demarcación del Regimiento,</t>
  </si>
  <si>
    <t>Mariano Alfaro</t>
  </si>
  <si>
    <t>s que siendo aptos para criarlos, no están destinados á otros ramos de agricultura ma&amp; ventajoso; y D. Mariano Alfaro, de primero, lá progresión de los estados del hombre en sociedad provino de la sucesiva acumulación de capitales. —Estos exercicios exactamente desempeñados causáron la mayor comp</t>
  </si>
  <si>
    <t>Mariano Alónsé</t>
  </si>
  <si>
    <t>la Traviesa, mirh. 6, manz. 185, apreciada en 49^,564 ifs. , actida arité el Si*; Alcalde dé Corte D. Mariano Alónsé, por la escriban íáde D. Miguel García de la Madrid, éh el térhiino de 30 días contados desde* ci 13 Hel corrientes : . Quien quísieré- hácer postura á. otras dos casas sitas, una</t>
  </si>
  <si>
    <t>Mariano Alonso</t>
  </si>
  <si>
    <t>de $b dlái cóntkdds desde el 4 déí corriente aiite dicho Sh Teniente y citada escribanía. ' El Sr¿ D. Mariano Alonso, del Consejo de S. M., su Alcalde de Casa y Corte, ha señalado para el remate de una casa sita en esta Corte, en el portal de ranos de la calle de Toledo, num.’ B, y por las acces</t>
  </si>
  <si>
    <t>56 Reales, acuda ante el Sr. Alcalde de Corte D. Mariano Alonso, y escribanía de Provincia de D. Miguel García de la Madrid. Discurso apologético por la nobilísima y antiquísima familia de los Velas, tronco y origen de la de Guevara, denigrada</t>
  </si>
  <si>
    <t>artó, contados desde el 25 del corriente; quien quisiere hacerla acuda ante ei Sr. Alcalde de Corte D. Mariano Alonso y escribanía de provincia de D. Miguel García de la Madrid. Quien quisiere hacer postura á 2 casas sitas en esta Corte, la una en la calle de la Vitoria", núm- 1 2 , manz. 207, que ti</t>
  </si>
  <si>
    <t>., á la que se ha hecho, postura ep 2,202? rs. en vales Realas^, acuda ante el Sr. Alcalde de Corte D. Mariano Alonso, y escribanía de provincia de D. Miguel García de la Madrid. = Por el mismo Sr. Alcalde y citada escribanía se ha señalado el día 5 del corriente..,á las r 2 de su mañana,para el</t>
  </si>
  <si>
    <t>uperficiales, valuados con la fábrica que incluye en 69,613 rs., acuda ante el Sr. Alcalde de Corte D. Mariano Alonso, y escribanía de provincia de D. Miguel García dé la Madrid, en el término de 30 dias contados desde el 28 de Enero último. Quien quisiere hacer postura _á una casa sita en esta C</t>
  </si>
  <si>
    <t>200,392 rs., propias de los Reales hospitales General y. Pasión, acuda ante el Sr. Alcalde de Corte D. Mariano Alonso, y escribanía de provincia de D. Miguel García de la Madrid, en el término de 30 dias contados desde el i.° del corriente. Habiéndose hecho postura á la casa sita en la calle del</t>
  </si>
  <si>
    <t>7 del presente, para la puja del quarto. Quien quisiere hacerla acuda ante el Sr. Alcalde de Corte D. Mariano Alonso, por la escribanía de provincia de D. Miguel García de la Madrid. . * Para hacer pago á los acreedores á los bienes del Sr. D. Pedro de Astrearena, *&gt;;Marques que füé*de Murillo,</t>
  </si>
  <si>
    <t>, jr por la anterior conel, 10 deJa manzana 414., en 87,462 rs., acuda ante el Sr. Alcalde de Corte D. Mariano Alonso., por la escribanía de provincia de D. Miguel García de la Mad rid* dentro del té¡rm i no; de 3p- di as .contados desde el. 2 o deli corrí ente. Deseando el Cpn$£jo mejorar quanto</t>
  </si>
  <si>
    <t>e el 20 de Febrero próximo pasado. Quien quisiere hacerla acuda ante el Sr. Alcalde de Casa y Corte D. Mariano Alonso, por la escribanía de provincia de D. Miguel García de la Madrid. El Sr. D. Torquato Antonio Collado, Teniente Corregidor, de esta villa, ha señalado para la celebración de remate</t>
  </si>
  <si>
    <t>por la escribanía de provincia de I). Mauricio Justo/leí Rincón. v , v 7 : £1 Sr. Alcalde de* Córte D. Mariano Alonso há señalado, el dia 8 del corriente para^cl remate de dos casas sitas en esta Corte, .una en la calle de Euencarral, número 3 , ^maiiz. -344, tasada en .217,788 ys., á la que se h</t>
  </si>
  <si>
    <t>sesión, las que luego que sean valuadas se anunciará al público, acuda ante el Sr. Alcaide de Corte D. Mariano Alonso, por la escribanía de D. Miguel García de la Madrid, en el término de 30 días contados desde el i.° del corriente. Quien quisiere hacer postura á una tienda ropería,, y parte del</t>
  </si>
  <si>
    <t>Corregidor de esta villa, por la escribanía de D. Ramón de Milla Cuellar. , El Sr. Alcalde de Corte D. Mariano Alonso ha señalado el día 26 del corriente para el remate de tres casas sitas, una en la calle del Bastero del Rey, núm. 17, manz. 95, tasada efí 66,327 rs*: 0ÍTa en la calle de la Victo</t>
  </si>
  <si>
    <t>rs., y verificado en 65© en vales reales. Quien quisiere hacerla acuda ante el Sr. Alcalde de Corte D. Mariano Alonso ppr la escribanía de Don Miguel García de la Madrid. En virtud de providencias del Sr. D. Torquato Antonio Collado .Teniente Corregidor de esta villa, se sacan á pública subasta p</t>
  </si>
  <si>
    <t>de 30 dias contados desde el 26 de Marzo. Quien quisiere hacerla acuda ante el Sr. Alcalde de Corte D. Mariano Alonso, por la escribanía de D. Miguel García de la Madrid. En virtud de providencia dei Sr. Alcalde de Corte D. Luis Marcelino Pereyra *e ha señalado el dia 14 de este mes para el remat</t>
  </si>
  <si>
    <t>de 30 dias contados desde el 26 de Marzo. Quien quisiere hacerla acuda ante el Sr. Alcalde de Corte D. Mariano Alonso, por la escribanía de D. Miguel García de la Madrid. Por decreto del Sr, Alcalde de Corte D. Mariano Alonso se ha señalado para el remate de las casas que se expresarán los días s</t>
  </si>
  <si>
    <t>dias contados desde el 11 del corriente. Quien quisiere hacerla acuda ante el Sr. Alcalde de Corte D. Mariano Alonso, por la escribanía de D. Miguel Josef García de la Madrid. Por providencia del Sr. D. Torquato Antonio Collado, Teniente i Corregidor de esta villa, y escribanía de D. Ramón de. M</t>
  </si>
  <si>
    <t>0 días contados desde el 14 del presente. Quien quisiere hacerla acuda ante el Sr. Alcalde de Corte D. Mariano Alonso', por la escribanía de D. Miguel Josef García de la Madrid. En virtud de providencia dei Sr. D. Torquato Antonio Collado, Teniente Corregidor de esta villa, se ha mandado sacar á p</t>
  </si>
  <si>
    <t>ompone su total valor 1.027,616 rs. Quien quisiere hacer postura acuda ante el Sr. Alcalde de Corte D. Mariano Alonso, por la escribanía de D. Miguel Josef García de la Madrid. Para pago de acreedores se vende Judicialmente una casa sita en el lugar de Vallecas, en la-calle que llaman de los Paje</t>
  </si>
  <si>
    <t>30 dias contados desde el 7 del presente. Quien quisiere hacerla acuda ante el Sr. Alcalde de Corte D. Mariano Alonso, por la escribanía de D. Miguel Josef García de la Madrid. - , , Quien quisiereTiacer postura á un solar ó sitio, con muy poca y mala fábrica, situado en la calle alta de la Magda</t>
  </si>
  <si>
    <t>Mariano Alonsq</t>
  </si>
  <si>
    <t>la pujadel quarto el» término de 30 días. Quien quisiere hacerla acuda ante el Sn Alcalde de Corte D. Mariano Alonsq^por la escribanía de D. Miguel García de la Madrid, dentro del citado término contado desde dicho dia 27 dé Febrero., ^ El Sr. Alcalde de Corte D. Tomas Moyano ha señalado el diá</t>
  </si>
  <si>
    <t>Mariano Añdreu</t>
  </si>
  <si>
    <t>n 1» forma siguiente: Escuela de Química: Los alumnos: disertaron, baxola disección del Catedrático D. Mariano Añdreu sobre: los asuntos que les había cabido por suerte, á saber: D. Genaro Nasarre, i del calórico: D. Tomas Mártinez, de la formación de los fluidos elásticos aériformes: D. Juan Ant</t>
  </si>
  <si>
    <t>Mariano Aznar</t>
  </si>
  <si>
    <t>las plantas hortenses en las quatro clases de verduras, ensaladas, raices y frutos de la tierra; y D. Mariano Aznar sobreda rotación de cosedlas, su descuido en la mayor ¡parte vde lias provincias de nuestra Península, y las razones ¡físicas en que se /funda su posibilidad .aun ven los terrenos</t>
  </si>
  <si>
    <t>Mariano Bustamante, Francisco</t>
  </si>
  <si>
    <t>Francisco Mariano Bustamante</t>
  </si>
  <si>
    <t>cción de cementerios, procedió á ponerlas en ejecución de acuerdo y conformidad con el Cura Párroco D. Francisco Mariano Bustamante , como delegado del R. Obispo, Prior de Santiago de Uclés; y precedida la aprobación del Sr. D. Adrián Míreos Martínez, Ministro del Consejo Real, y encargado de activar dichos es</t>
  </si>
  <si>
    <t>Mariano Calonge</t>
  </si>
  <si>
    <t>imiento de infantería de Cuba se ha servido el Rey promover á Capitán de granaderos al de fusileros D. Mariano Calonge, y á esta resulta á D. Josef Loreto de Torres, Teniente agregado al mismo Cuerpo. En el Regimiento de Milicias urbanas de Dragones de Palma, en el Rey no del Perú, se ha dignado S</t>
  </si>
  <si>
    <t>Mariano Calvete</t>
  </si>
  <si>
    <t>z, de la formación de los fluidos elásticos aériformes: D. Juan Antonio Pradas,5 de las afinidades: D. Mariano Calvete, de la electricidad: D. Victoriano Rodriguez, del gas hidrógeno: D. Sebastian Puertas, de los seres simples: p. Manuel Gascón, de los metales: D. Juan Josef Atorrasagasti, de la f</t>
  </si>
  <si>
    <t>el reyno mineral 3 Sus especies y aplicaciones útiles en las varias circunstancias de los terrenos: D. Mariano Calvete sobre los bosques, dividiéndolos en altos y baxos; detalló un bosque de la primera cíase de árboles glandíferos sistemáticamente, y probó la necesidad que tiene España de esta esp</t>
  </si>
  <si>
    <t>e una nación no: consiste en la cantidad de oro y plata que posee, sino en los valores que produce: D. Mariano Calvete, de tercero, una nación tiene á su favor la : balanza quando la suma de los valores que ha producido, satisfecho su consumó es mayor que la de- la nación con qüleu se comparar. D.</t>
  </si>
  <si>
    <t>Mariano Carrillo de Albornoz</t>
  </si>
  <si>
    <t>. Felipe del Arco Agüero , D. Josef Sánchez Tagle, D. Francisco Xaramillo, D. Dionisio López Pinto, D. Mariano Carrillo de Albornoz, Don Francisco Josef Justis, D. Bernardo Landaburu, D. Diego Rejón de Silva, D. Mariano Genaro Sentmanat, D. Luis Landaburu, D. Antonio y D. Pedro Romero de Tejada, D. Domingo de</t>
  </si>
  <si>
    <t>Mariano CasteU</t>
  </si>
  <si>
    <t>rimeros D. Juan de Cárdenas y D. Josef María Ar joña, y en el de Voluntarios de la Corona ai Cadete D. Mariano CasteU. S. M. se ha dignado promover á Tenientes del Real Cuerpo de“Artillería á los Subtenientes D. Josef Sánchez Boado, graduado de Teniente, Don Francisco Mena, D. Luis Lardizabal, D.</t>
  </si>
  <si>
    <t>Mariano de Atienza</t>
  </si>
  <si>
    <t>gial, vacante por promoción de D. Ma-* nuel Guarnan y Texera á la Dignidad de Arcipreste de ella, á D. Mariano de Atienza: para dos Raciones de la Colegial de Soria, Diócesi de Osma, vacantes por renuncia de D. Manuel Arguiaga y D. Matías Fernandez, á D. Manuel Burgos y á D. Simón piez: para la Canon</t>
  </si>
  <si>
    <t>Mariano de Campo</t>
  </si>
  <si>
    <t>rovincial de caballería de Lanceros de Veracruz se ha servido S. M. promover á Ayudante al Teniente D. Mariano de Campo; y á Tenientes á los Alféreces D. Josef Ignacio Duran, D. Antonio Cabello, D. Estéban Benedet y D. Antonio Videras. Asimismo en ei Regimiento de infantería Provincial de México se</t>
  </si>
  <si>
    <t>Mariano de Cárdenas</t>
  </si>
  <si>
    <t>Tenencias en los de Truxillo, Málaga y Orense á los Subtenientes D. Francisco Valdiosa de la Cerda, D. Mariano de Cárdenas, D. Juan Roldan y Baena y D. Manuel de la Sierra. Atendiendo el Rey á los servicios ir méritos del Comisario de Guerra</t>
  </si>
  <si>
    <t>Mariano de Echeverría</t>
  </si>
  <si>
    <t>ara una Media-Ración de la Metropolitana ¡de Lima, que vacó por muerte de D. Manuel de la Puerta, á D. Mariano de Echeverría, Cura en el propio Arzobispado. En el Batallón de infantería ííxo de Veraeruz se ha servido S. M. promover á Subteniente ai segundo Ayudante D. Nemesio Iberri, y á segundo Ayudant</t>
  </si>
  <si>
    <t>Mariano de León, Rafael</t>
  </si>
  <si>
    <t>Rafael Mariano de León</t>
  </si>
  <si>
    <t>a citada Escuela, sita en la calle de Atocha, casa del Real Colegio de Boticarios de Madrid, y ante D. Rafael Mariano de León, Secretario de la propia Escuela, entendidos que los que falten á su cumplimiento sufrirán el perjuicio anunciado en dichos avisos públicos. S. M. á consulta del Consejo ha conced</t>
  </si>
  <si>
    <t>Mariano de Sarrafea</t>
  </si>
  <si>
    <t>614 mím. 55108 , endosado á favor de D. Mariano de Sarrafea; y habiéndose extraviado en el correo, quien sepa de su paradero se servirá avisar al citado Sarratea, en la fonda de-la Aduana , calle de Alcalá. . A i/ Con fécba de zgdelMayo pr</t>
  </si>
  <si>
    <t>Mariano de Zayas</t>
  </si>
  <si>
    <t>. Quien quisiere hacer, postura á ellas acuda por la escribanía de la comisión, que está á cargo de D. Mariano de Zayas. Quien quisiere hacer postura á dos solares sitos en la Cava baxa de S. Miguel* núms. r 2 y 13 , manz. 199, que lindan con la casa arruinada, que pertenece á fe fábrica de S. Migu</t>
  </si>
  <si>
    <t>r postura, á qualquiera de dichas fincas acuda á la escribanía td* la comisión, que está á cargo de D. Mariano de Zayas; en la inteligencia de que los remates se executarán en las casas de Ayuntamiento de dicha ciudad, habiendo postores, la mañana del'día !i9; del présente, á la hora de las once. P</t>
  </si>
  <si>
    <t>ien quisiere hacer postura á dichas fincas acuda á la escribanía de la comisión que está á cargo de D. Mariano de Zayas. .. Don Felipe Gómez de Tortósa, Comisionado Real para la venta de bienes eclesiásticos de la ciudad de Almería,ha señalado el dia 28 del corriente para el remate délas 6 fincas s</t>
  </si>
  <si>
    <t>ales Cfn 110. Quien quisiere hacer postura lo executará por la escribanía de la comisión á cargo de D. Mariano de Zayas. En virtud de providencia deTComisioriadoRqgio en Cádiz para la venta de bienes eclesiásticos , se -mandan sacar a .pública subasta, por término de 30 dias contados desde 29 de No</t>
  </si>
  <si>
    <t>Mariano del Hoyo</t>
  </si>
  <si>
    <t>rtos; y para la Prestamera de Guadalmazanes, en la Diócesi de Córdoba, vacante por fallecimiento de D. Mariano del Hoyo, y no haber tenido efecto el nombramiento hecho para la</t>
  </si>
  <si>
    <t>Mariano Espejo</t>
  </si>
  <si>
    <t>vido conceder Subtenencias de bandera en el Regimiento de infantería de América al Sargento primero D. Mariano Espejo: en.el de Voluntarios de Castilla al Sargento primero de granaderos D. Pedro DomingoVelez, y al Cadete D. Joaquín Ximenajy en el de Extremadura Subtenencia de bandera al Sargento</t>
  </si>
  <si>
    <t>Mariano García de Cáceres</t>
  </si>
  <si>
    <t>guientes. Don Antonio Espinosa y Barraguer, D. Joaquín Vial y Vacaro, Don '"Josef Pilón y Tobalina, D. Mariano García de Cáceres, D. Justo Pasalagua y Martínez, D. Antonio Godoy y Castro, D. Pedro López de Carrizosa , D. Antonio Ribera y Vázquez , D. Josef Paez y Mesa, D. Carlos Soubiran y Mantelan, D. Migu</t>
  </si>
  <si>
    <t>Mariano Genaro Sentmanat</t>
  </si>
  <si>
    <t>o Carrillo de Albornoz, Don Francisco Josef Justis, D. Bernardo Landaburu, D. Diego Rejón de Silva, D. Mariano Genaro Sentmanat, D. Luis Landaburu, D. Antonio y D. Pedro Romero de Tejada, D. Domingo de la Iglesia, D. Juan Oromi,D. Antonio Ibarrola, D. Lorenzo Medrano y Treviño, D. Francisco Romo y Gamboa y</t>
  </si>
  <si>
    <t>Mariano Goyeneche, Pedro</t>
  </si>
  <si>
    <t>Pedro Mariano Goyeneche</t>
  </si>
  <si>
    <t>, y la ha conferido á D. Josef FuentesGonzález Bastillo, y la plaza de Oidor del Cuzco, que dexa, á D. Pedro Mariano Goyeneche. En cumplimiento de la Real cédula de S. M. de 13 de Agosto de 179J se recibirán en la Tesorería mayor y en las de Exército desde i.° de Diciembre próximo las 1524 acciones del Re</t>
  </si>
  <si>
    <t>Mariano Goyoneche y Barreda, Pedro</t>
  </si>
  <si>
    <t>Pedro Mariano Goyoneche y Barreda</t>
  </si>
  <si>
    <t>upremo Consejo de Indias, á D. Pedro Antonio Cernadas, Oidor de la del Cuzco, y para esta resulta ¿ D. Pedro Mariano Goyoneche y Barreda, Abogado-de la Audiencia de Lima, Asesor del Consulado y Tribunal de Minería de esta ciudad; y para una plaza de Agente de los del número de Indias, vacante por ascenso dé D. Balt</t>
  </si>
  <si>
    <t>Mariano Homboni</t>
  </si>
  <si>
    <t>añoles de Lima á D. Manuel Mayorga,* Subteniente veterano de la Asamblea de Santa; y esta resulta á D. Mariano Homboni, Sargento primero de la del partido de Nasca. Asimismo se ha dignado S. M. conceder á D. Pedro Antonio Cernadas, Oidor Decano de la Real Audiencia del Cuzco, en atención á sus dil</t>
  </si>
  <si>
    <t>Mariano Josef Cabo-Franco</t>
  </si>
  <si>
    <t>esia de la Puebla de los Angeles , á D. Josef Domingo Cortavarría, Cura en el Obispado de Oaxaca; á D. Mariano Josef Cabo-Franco, Presbítero del Arzobispado de México, y á D. Ignacio de Garnica. Asimismo se ha servido S. M. nombrar para la plaza de Asesor del Gobierno de Montevideo á D. Josef Eugenio de Eli</t>
  </si>
  <si>
    <t>Mariano Josef Vallejo</t>
  </si>
  <si>
    <t>en dicha enquadernacion á 32 rs. y en papel á 20. Adiciones á la Geometría de D. Benito Eails, por D. Mariano Josef Vallejo. Se hallará en la casa de la Real Academia de S. Fernando, calle de Alcalá, quarto del Conserge, á 9 rs. en pergamino y 11 en pasta. En la tienda de papel rayado para música, que</t>
  </si>
  <si>
    <t>Mariano la Torre</t>
  </si>
  <si>
    <t>ncia al Subteniente de granaderos D. Miguel Bray ; y en el de León Subtenencia de bandera al Cadete D. Mariano la Torre..- ■';■■■ i ‘ i’;’ El Rey ha venido en nombrar para una plaza supernumeraria de Alcalde de su Real Casa y Corte, y con el sueldo de las del número&gt; i Don</t>
  </si>
  <si>
    <t>Mariano Lafuente y Poyanos</t>
  </si>
  <si>
    <t>ua asistencia de los 4 vocales y Secretario de la Junta, en que se han distinguido el Alcalde mayor D. Mariano Lafuente y Poyanos, y ei Cura Párroco D. Manuel Antonio Acacio, con los caudales que han sacado del fondo de Propios de importe 7905 rs. y 17 mrs.; de sobrantes de obras pías &amp;440; de limosnas que h</t>
  </si>
  <si>
    <t>13 rs. Quien quisiere hacer postura acuda á la citada escribanía de Salazar. Por el juzgado del Sr. D. Mariano Lafuente y Poyanos, Alcalde mayor por S. M. de la villa de Yepes, y escribanía del número de Alfonso Martínez Barquero, se han mandado sacar á pública subasta, por el término de 30 dias, las fincas</t>
  </si>
  <si>
    <t>Mariano Maella</t>
  </si>
  <si>
    <t>na cruz, apoyado el brazo derecho á una calavera, y dos ángeles en nubes, por Muriílo, dibuxado por D. Mariano Maella, primer Pintor de Cámara de S. M., grabado y dedicado al Rey por su Grabador de Cámara D. Manuel Salvador Carmona. Se hallará en las librerías de Barco, Carrera de S. Gerónimo, de</t>
  </si>
  <si>
    <t>Mariano Narvaez y Narvaez</t>
  </si>
  <si>
    <t>ero, D. Pedro de la Llave y Coca, D. Josef Mariano del Pulgar y Varo, D. Francisco del BarcoGordon, D. Mariano Narvaez y Narvaez, D. Gerónimo Piáeyro y las Casas, D. Josef Arias de Saavedra Caro y Tavera, D. Antonio Moscoso y Vázquez,,D. Salvador Moreno de Guerra Navarro y Rio, D. Josef Barco y la Cendeja y</t>
  </si>
  <si>
    <t>Mariano Negre</t>
  </si>
  <si>
    <t>se ha servido conferir empleos de Conductores de Artillería a los Sargentos del propio Real cuerpo D. Mariano Negre, D. Alexandro Oiavarria, D* Pablo Iglesias, D* Francisco Guarro, D. Felipe Casalduc, D. Josef Moya, D* Domingo de los Santos, D. Marías Cruz, D. Josef Valenzueta, D. Cándido Turit</t>
  </si>
  <si>
    <t>Mariano Pacheco</t>
  </si>
  <si>
    <t>ndez á D. Pedro Agustín Cabrera: para la de Dongo á D. Manuel Ocampo; y para la Ración de Cabrera á D. Mariano Pacheco, Cura en el Obispado de Arequipa. Asimismo, y en consideración á los particulares y dilatados servicios de D. Miguel Gregorio de Zamalloa, Asesor del Gobierno de Montevideo, ha ve</t>
  </si>
  <si>
    <t>Mariano Pacheco de Peñalosa</t>
  </si>
  <si>
    <t>lesia á D. Nicolás Hore: para la Ración á Don Josef Romero Soriano; y para la Media que este dexa á D. Mariano Pacheco de Peñalosa, Cura en el Obispado de Arequipa. Para la Magistral de la Iglesia de Santiago de Chile á D. Miguel Rafael Palacios, Racionero de fa propia; y para la Canongía de merced de la Metr</t>
  </si>
  <si>
    <t>Mariano Paz y Pozo</t>
  </si>
  <si>
    <t>y Obregon» En América. El Rey se ha servido nombrar para el Arcedianato de la Catedral del Cuzco á D. Mariano Paz y Pozo: para la Chantría á D. Patricio Gabriel Melendez : para la Tesorería á D. Josef Narciso Dongo: para la Canongía que dexa Melendez á D. Pedro Agustín Cabrera: para la de Dongo á D.</t>
  </si>
  <si>
    <t>Mariano Pérez Uriondo</t>
  </si>
  <si>
    <t>exa á D. Bernardo Martínez, Cura .mas antiguo de la misma Catedral. Para Canónigo de la de la Paz á D. Mariano Perez Uriondo: para la Ración que este dexa á D. JoseFBernardino de Orihuela; y para la Media que este obtenía á D. Aiexandro Fernandez Sardón, Cura Rector de ella. Para otra Canongía de la pro</t>
  </si>
  <si>
    <t>Mariano Rodríguez de Cisneros</t>
  </si>
  <si>
    <t>Cadetes D. Juan de Valenzuela, D. Miguel de Nava y Mérida y D. Francisco .Xavier Ruiz y Torres, y á D. Mariano Rodríguez de Cisneros. En atención á la acreditada y distinguida -nobleza y particulares servicios de D. Juan Bautista Chacón, Maestrante de Ronda, y vecino de la</t>
  </si>
  <si>
    <t>Mariano Roxo</t>
  </si>
  <si>
    <t>ancia del tercer batallón del Regimiento de infantería de León al Sargento mayor del de Guadalaxara Don Mariano Roxo: Compañía en el Inmemorial del Rey al Ayudante, gradua-r do de Capitán, D. Miguel Zapiain: Ayudantía en el de infantería de la Corona al Teniente, graduado de Capitán, D. Alonso F</t>
  </si>
  <si>
    <t>Mariano Santander y Aferez</t>
  </si>
  <si>
    <t>o. En la de Agricultura, dirigida por el socio D. Patricio Pastor, se dió premio de primera clase á Don Mariano Santander y Aferez , único .aspirante. En la de Geografía, que regenta el socio D. Antonio de la Peña,r$e concedió primer premio al mismo D. Mariano Santander y Alvarez; él segundo á D. Mateo Seoane</t>
  </si>
  <si>
    <t>Mariano Santander y Álvarez</t>
  </si>
  <si>
    <t>En la de Geografía, que regenta el socio D. Antonio de la Peña,r$e concedió primer premio al mismo D. Mariano Santander y Alvarez; él segundo á D. Mateo Seoane, y el tercero á D. Miguel Antonio de Parra, habiéndose adjudicado el accésit á D. Manuel Blanco y Cieza; consistiendo todos estos premios en libros e</t>
  </si>
  <si>
    <t>Mariano Temple</t>
  </si>
  <si>
    <t>el empleo de Capitán primero al primer Ayudante D. Francisco Vila; esta resulta al Capitán segundo D. Mariano Temple; el empleo de Capitán segundo al segundo Ayudante D. Gerónimo Serra; esta vacante al Teniente D. Roque Garralon; la Tenencia que este dexa al Subteniente D. Francisco Montrós, y l</t>
  </si>
  <si>
    <t>Mariano Vallejo</t>
  </si>
  <si>
    <t>ón á la respuesta dada al discurso sobre la falsedad en que se funda el vot© de Santiago : carta de.D. Mariano Vallejo en contestación al anuncio astronómico, inserto en el número 36 de este periódico; el padre y sus dos hijos, apólogo: del dicho al hecho va mucho trecho, cuento moral. Se hallará á</t>
  </si>
  <si>
    <t>Marías Cruz</t>
  </si>
  <si>
    <t>* Pablo Iglesias, D* Francisco Guarro, D. Felipe Casalduc, D. Josef Moya, D* Domingo de los Santos, D. Marías Cruz, D. Josef Valenzueta, D. Cándido Turit, D* Nicolás Dehesa y D. Manuel Barba* El Rey nuestro Señor, á consulta del Supremo Consejo de Castilla de 5 de Octubre de 1806, se ha dignad</t>
  </si>
  <si>
    <t>Marimon y Henriquez, Vicente</t>
  </si>
  <si>
    <t>Vicente Marimon y Henriquez</t>
  </si>
  <si>
    <t>nidad de Tesorero de la misma, á D. Luis Josef Echagaray; y para la Doctoral de la propia Iglesia á D. Vicente Marimon y Henriquez, Promotor Fiscal de aquel Obispado. S. M. se ha dignado conferir el Gobierno Militar y Político de Popayan al Capitán D. Miguel Tacón y Rosique, Teniente de Fragata de la Real Arm</t>
  </si>
  <si>
    <t>Marín, Antonio Romualdo</t>
  </si>
  <si>
    <t>Antonio Romualdo Marín</t>
  </si>
  <si>
    <t>e de su Real Casa y Corte, y escribanía de D. Juan Garrido, se siguen los autos de testamentaría de D. Antonio Romualdo Marín, en la que la Comunidad de PP. Clérigos Menores del Espíritu Santo de esta Corte, como representante de D. Julián de íllescas, ha hecho varias proposiciones re’ativas al pago de a</t>
  </si>
  <si>
    <t>Marin, Francisco</t>
  </si>
  <si>
    <t>Francisco Marin</t>
  </si>
  <si>
    <t>n Morales y, Aranda: para la Media-Ración , vacante en la Iglesia Catedral dé Badajoz por muerte de D. Francisco Marin, á D. Francisco Alcántara González: para el Beneficio de la villa de Moron, en el Arzobispado de Sevilla, vacante por fallecimiento del limo. Sr. D. Manuel Abad y la Sierra, Arzob</t>
  </si>
  <si>
    <t>Markham, Almirante</t>
  </si>
  <si>
    <t>Almirante Markham</t>
  </si>
  <si>
    <t>geros. Los miembros que en el dia componen el Almirantazgo son Sir Tomas Grenville, primer Lord: el Almirante Markham, Sir H. Neale, Lord W. Russel, Lord Kensington, y Mrs. T. Treemantle, y W. Fuankland. No se enviará en adelante ningún convoy á Tonningen, y saldrá uno cada 15 dias para el desemb</t>
  </si>
  <si>
    <t>Marmont la Styria, General</t>
  </si>
  <si>
    <t>General Marmont la Styria</t>
  </si>
  <si>
    <t>urgo, capital de la Hungría: el Mariscal Soult ocupa á.Viena: el Mariscal Ney ocupa la Carintia: el General Marmont la Styria; el Mariscal Massena la Carniola: el Mariscal Augereau queda en reserva en la Suabia. El Mariscal Massena con el exército de Italia forma ya - \ el octavo cuerpo del exército gran</t>
  </si>
  <si>
    <t>Marmont, General</t>
  </si>
  <si>
    <t>General Marmont</t>
  </si>
  <si>
    <t>e se han dado al Senador Harville , primer Caballerizo de la Emperatriz, al Mariscal Kellerman y al General Marmont. El Emperador ha dado el gran cordon de la Legión de Honor al Elector, al Príncipe Electoral y al Príncipe Pablo, sus hijos; y á sus hermanos el Príncipe Eugenio Federico Henrique</t>
  </si>
  <si>
    <t>Franceses han evacuado la Carniola. El General Austríaco Cavasini, que habia venido á verse con el General Marmont, ha marchado á la Carinthia con las tropas Austríacas que estaban aun en ¿1 Friul. El nuevo Comandante militar de Trieste, el General Hach, no ha llegado todavía___ El comercio y</t>
  </si>
  <si>
    <t>opas, que se hallaban en la Istria, serán reemplazadas por 2 Regimientos del cuerpo de exército del General Marmont. Los Raguseos que hay en Trieste han manifestado mucho regocijo luego que han sabido que su ciudad estaba fuera de peligro á efecto de las disposiciones del General Francés, quien</t>
  </si>
  <si>
    <t>arán en saber que apénas desembarcó aquella división en las bocas del Cáttaro, fué derrotada por el General Marmont; que una parte quedó prisionera , y la otra se salvó en los barcos. Nada de esto puede impedir á los Rusos ei publicar la contrario, en vista de la declaración que h¡ zo el Senado</t>
  </si>
  <si>
    <t>rias; y que el Rey, pacífico en su capital , se consagra al gobierno de su Reyno y exército; que el General Marmont, al frente de los Franceses que están en Dalmacia, ha derrotado enteramente á los Rusos y Montenegrinos, los quales están ya discordes entre sí, pues los Montenegrinos imputan á l</t>
  </si>
  <si>
    <t>Puerta: tanto peor para él si es este su modo de pensar. Sus corresponsales de Viena le engañan: el General Marmont ha derrotado completamente á los Rusos y á los Montenegrinos, rechazándolos hasta Castel Nuovo, cuyos arrabales han quedado reducidos á cedizas, y destruyendo la guarnición de Cor</t>
  </si>
  <si>
    <t>Maroto, Rafael</t>
  </si>
  <si>
    <t>Rafael Maroto</t>
  </si>
  <si>
    <t>ñía al Anudante, graduado de Capitánj D. Josef Ximenez; y en el de Asturias Tenencia al Subteniente D. Rafael Maroto: en el de Murcia Compañía ai Ayudante, graduado de Teniente Coronel, D. Sebastian Cano.</t>
  </si>
  <si>
    <t>MarqiTez de Ja, Fernando</t>
  </si>
  <si>
    <t>Fernando MarqiTez de Ja</t>
  </si>
  <si>
    <t>togada .-del Consejo de Indias , vacante p^ori falfecmíiesito de D. Francisco lgnació Gcrrtines , á Don Fernando MarqiTez de Ja ?Pi&amp;tay Régehte dé lá Audiencia dé Chile:: para la Fiscalía de*l misiiwvGéíí’seJb1 yOáraaíá p&gt;bí lo 'pfertenécieWte á -Nueva España áD* Manuel del Cástilld'NegréfeyR'égefité de la</t>
  </si>
  <si>
    <t>Marques de Camarería la Real, Coronel</t>
  </si>
  <si>
    <t>Coronel Marques de Camarería la Real</t>
  </si>
  <si>
    <t>, • El Rey se ha servido conferir el empleo de Coronel del Regimiento de infantería de Valencia al Coronel Marques de Camarería la Real, Teniente Coronel del de Extremadura; y Subtenencias de bandera en los de Navarra y Ñapóles á los Cadetes dé los mismos cuerpos D. Demetrio García Arguelles'y D.: Antonio Rofizpní</t>
  </si>
  <si>
    <t>Márquez de la Plata, Fernando</t>
  </si>
  <si>
    <t>Fernando Márquez de la Plata</t>
  </si>
  <si>
    <t>de de S. Xavier : para la Regencia de Chile, asimismo vacante por promoción al expresado Consejo de D. Fernando Márquez de la Plata , á Don Juan Rodríguez Ballesteros *. para la plaza de Oidor de Lima que este dexa al Alcalde del Crimen de ella D. Josef Baquixano : para esta resulta al Oidor de Chile D. Josef</t>
  </si>
  <si>
    <t>Márquez y Fleuriot, Rafael</t>
  </si>
  <si>
    <t>Rafael Márquez y Fleuriot</t>
  </si>
  <si>
    <t>a ciudad de Alfaro á D. Juan Josef de Alfaro: para el Corrigimiento político de la ciudad de León á D. Rafael Márquez y Fleuriot; y para lá Vara de Alcalde mayor de la ciudad de Sigiienza á D. Juan Josef de Llovés y Rapela. S. M. se ha servido conferir la Comandancia general de la costa1 de Asturias y Santa</t>
  </si>
  <si>
    <t>Márquez, Francisco Xavier</t>
  </si>
  <si>
    <t>Francisco Xavier Márquez</t>
  </si>
  <si>
    <t>del termómetro, barómetro , telescopio y máquina neumática, con la que executd varias operaciones ; D. Francisco Xavier Márquez y D. Josef Pastor , en todos los ramos de Matemáticas puras, resolviendo quantos problemas se les propusiéron; D. Manuel Peralta y Astraudi, Marques de Casares, y Guardia de Corps de</t>
  </si>
  <si>
    <t>Márquez, Juan Francisco</t>
  </si>
  <si>
    <t>Juan Francisco Márquez</t>
  </si>
  <si>
    <t>ancisco Manuel López, al Maestrescuela D. Josef María S. Martin; y para su resulta al Penitenciario D. Juan Francisco Márquez: para la Dignidad de Tesorero de la de Puebla de los Angeles, vacante por fallecimiento de D. Juan Vicente Bernal, ¿ D. Josef Francisco Suarez: para la Canongía de este al Racione</t>
  </si>
  <si>
    <t>Martí, Tadeo</t>
  </si>
  <si>
    <t>Tadeo Martí</t>
  </si>
  <si>
    <t>eniente al Subteniente de granaderos D. Josef Galindo; a Subteniente de granaderos, al de fusileros D. Tadeo Martí, y á Subtenientes de bandera aí Cadete D. Francisco Canseco, y al Sargento primero de granaderos D. Josef Cano: se ha dignado conferir el Regimiento de infantería de la Luisiana a</t>
  </si>
  <si>
    <t>Martiii Mayol</t>
  </si>
  <si>
    <t>uel Rubiano. En Pálénciú.......... Viuda deD. Nicolas Cálonge é hijo twayOr. En Palma..... ........ D. Martiii Mayol. En Pamplona.*..... ;Srés. víudade Batbería^éhijo. En Salamanca..... Sres. Utrero y Casiseca. En Santander.*.... Sres. Vial é hijo y compañía. En Ségdvia........ . Sres. viuda de</t>
  </si>
  <si>
    <t>Martínez Colmenar, Juan Antonio</t>
  </si>
  <si>
    <t>Juan Antonio Martínez Colmenar</t>
  </si>
  <si>
    <t>o. Y últimamente se ha dignado S. M. nombrar para una plaza de Agente de los del número de Indias á D. Juan Antonio Martínez Colmenar. ^ La Excma. Sra. Doña María del Pilar Castejony Silva, Condesa de moruna &amp;c., Grande de España de primera cíase, Marquesa viuda de Belamazan, falleció á los 56 años, un mes y 16</t>
  </si>
  <si>
    <t>Martinez de Aparicio, Andrés</t>
  </si>
  <si>
    <t>Andrés Martinez de Aparicio</t>
  </si>
  <si>
    <t>viuda de Ramiro y Martin. En Sevilla...... ....... D. Josef María Gómez. En Soria................. D. Andrés Martinez de Aparicio. En Toledo.............. Sres. Chavarri y Posadillo. En Valencia Sres. D. Francisco Peyrolon y compañía. En Valladolid. Sres. D. Francisco Durango é hijo mayor. En Zamora.........</t>
  </si>
  <si>
    <t>Martínez de Aparicio, Andrés</t>
  </si>
  <si>
    <t>Andrés Martínez de Aparicio</t>
  </si>
  <si>
    <t>s. viuda de Ramiro y Martin. . En Sevilla............ D. Josef María Gómez. En Soria............... D. Andrés Martínez de Aparicio. En Toledo............. Sres. Chavarri y Posadillo. En Valencia..... . Sres. D. Francisco Peyrolon y compañía. En Valladolid...... D. Francisco Durango é hijo mayor. En Zamora....</t>
  </si>
  <si>
    <t>Martínez de Cor, Diego</t>
  </si>
  <si>
    <t>Diego Martínez de Cor</t>
  </si>
  <si>
    <t>dra de la Real Armada , Gobernador Político y Mili-tar de la plaza del Ferrol y villa de la Grana , D. Diego Martínez de Cor-* doba y Contador, observó el abuso de enterrar los cadáveres en las,Iglesias, y en especial la falta de ¡decoro y veneración. al •.templo de ¡Qips^y para remediar unos daños de ta</t>
  </si>
  <si>
    <t>Martínez de Galinsoga, Francisco</t>
  </si>
  <si>
    <t>Francisco Martínez de Galinsoga</t>
  </si>
  <si>
    <t>xardo y Faxardo: para la de la Audiencia de la Coruña, por ascenso del D. Francisco Diaz Bermudo, á D. Francisco Martínez de Galinsoga: para la de Alcalde del crimen de Granada, por ascenso de dicho Guaxardo, á D. Gonzalo de Heredia; y para otra igual plaza de la Audiencia de la Coruña, que resulta por ascenso de</t>
  </si>
  <si>
    <t>Martínez de Hermosiíla, Juan</t>
  </si>
  <si>
    <t>Juan Martínez de Hermosiíla</t>
  </si>
  <si>
    <t>xos, 12 que dio el Exorno. Sr. Arzobispo Direcjqr, 6 el Vice-Directpr Marques de Valera, 4 el Socio D. Juan Martínez de Hermosiíla con destino á las Escuelas Pias, uno la Señora Baronesa de Antella con destino á la Enseñanza de S. Pedro Mártir y de S. Nicolás, y los restantes la Real Sociedad. A mas djp un pr</t>
  </si>
  <si>
    <t>Martínez de la Piscina, Joaquín</t>
  </si>
  <si>
    <t>Joaquín Martínez de la Piscina</t>
  </si>
  <si>
    <t>gre íaproatatermú^cipu tá esta: dependencia : estos son., caraosc,hamanifestado antes, en-Mál^ga^er D. Joaquín Martínez de la Piscina, Tespreto^d^l Real Consulado; cn Madtid D. JosefFernandez y Garrida* Agentcdemegocios, plazuela de los TruxilI-os; en Santander Jos Señores Vial é,hijp, y compañía* ,ep,la2Cpruña;</t>
  </si>
  <si>
    <t>Martínez de Terroba, Vicente</t>
  </si>
  <si>
    <t>Vicente Martínez de Terroba</t>
  </si>
  <si>
    <t>itular de la Catedral de Plasencia, vacaute por muerte de D. Fernando Suarez Alvarez de Quiñones, á D. Vicente Martínez de Terroba; para la Canongía de la Colegial de Baza, en la Diócesi de Guadix, vacante por fallecimiento de D. Esteban SerraboBa,á D. Juan Antonio Ruiz de Mendoza: para la Prestamera menor de</t>
  </si>
  <si>
    <t>Martinez de Villela, Ignacio</t>
  </si>
  <si>
    <t>Ignacio Martinez de Villela</t>
  </si>
  <si>
    <t>á en esta Corte á la calle de la Concepción, núm. 32, quarto baxo. En virtud de providencia del Sr. D. Ignacio Martinez de Villela, del Supremo Consejo de la Guerra, y Juez Interventor nombrado por el Rey de los bienes y rentas de los Marqueses de Salas, se manda que D. Josef Septien, D. Miguel Llaguno, D. Fe</t>
  </si>
  <si>
    <t>Martínez Mazpule, Gerónimo</t>
  </si>
  <si>
    <t>Gerónimo Martínez Mazpule</t>
  </si>
  <si>
    <t>fmegas de tierra labrantía, con algunas viñas. Quién quisiere tratar de ajuste acuda á la tienda de D. Gerónimo Martínez Mazpule, en la puerta del Sol, Se halla vacante la plaza de Médico de la Villa de Gor, en el Reyno de Granada, Obispado de Guadix ,vsituadá entáre est3 ciudad y la de Baza, carrera de lev</t>
  </si>
  <si>
    <t>Martínez y Válete, Luis</t>
  </si>
  <si>
    <t>Luis Martínez y Válete</t>
  </si>
  <si>
    <t>y á D. Ignacio Torres y de Amat para el Deanato de la Catedral de Gerona, vacante por promoción de D. Luis Martínez y Válete á la Dignidad de Abad de la Colegiata.de S. Feliu. En cumplimiento de lo mandado en Real Pragmática-Sanción de 30 de Agosto de 180©,-desde i¿° de Diciembre próximo hasta 31 de Ene</t>
  </si>
  <si>
    <t>Martínez y Xime-nez, Manuel Vicente</t>
  </si>
  <si>
    <t>Manuel Vicente Martínez y Xime-nez</t>
  </si>
  <si>
    <t>Monasterio de la Visitación de está Corte los limos. Sres. D. Josef Ximenez, Obispo de Cartagena, y D. Manuel Vicente Martínez y Xime-nez, que lo es de Astorga, habiendo sido consagrante de ambos el Emo. y Excmo. Sr. Cardenal Arzobispo de Toledo, y asistentes los limos. Señores Obispos D. Atar.asio Puyai y Poveda, A</t>
  </si>
  <si>
    <t>Martinez, Andrés</t>
  </si>
  <si>
    <t>Andrés Martinez</t>
  </si>
  <si>
    <t>de Capitaa, D. Josef Lanzarote y D. Antonio Abaurre: en el de dragones del Rey Tenencia al Alférez D. Andrés Martinez: en el de Lusitania empleo de Portaguión al Cadete D. Pedro 'Virraeí; y en e! de húsáies' de María Liíisa Tenencia al Alférez D. Josef Maestre. ' ‘ ’ • ”'*••• • o • En el Real Cue</t>
  </si>
  <si>
    <t>Martínez, Antonio</t>
  </si>
  <si>
    <t>Antonio Martínez</t>
  </si>
  <si>
    <t>vincial de Soria; Tenencia al Subteniente de granaderos D. Josef García, y Subtenencia de bandera á D. Antonio Martínez, Cadete de la Compañía de caballería de la plaza de Ceuta. En consideración al mérito que contraxo D. Manuel García del Barrio, Teniente de Milicias Urbanas de la Nueva Barcelona,</t>
  </si>
  <si>
    <t>Martínez, Bernardo</t>
  </si>
  <si>
    <t>Bernardo Martínez</t>
  </si>
  <si>
    <t>olía á D. Antonio García: para la Tesorería á D. Blas Josef Clá; y para la Canongía que este dexa á D. Bernardo Martínez, Cura .mas antiguo de la misma Catedral. Para Canónigo de la de la Paz á D. Mariano Perez Uriondo: para la Ración que este dexa á D. JoseFBernardino de Orihuela; y para la Media q</t>
  </si>
  <si>
    <t>Martínez, Blas</t>
  </si>
  <si>
    <t>Blas Martínez</t>
  </si>
  <si>
    <t>arcelona al expresado D. Miguel dé Lluch , en Guadálaxára á í&gt;. Ramón Antonio Moreno, y en Madrid á D. Blas Martínez1 de‘Tejada , del comercio en los portales de Sta. Cruz. Sin embargo de lo que se avisó ál público en la Gazeta del viernes pasado 25 de' Abril, relativo á la puja del quarto de la</t>
  </si>
  <si>
    <t>Martínez, Francisco</t>
  </si>
  <si>
    <t>Francisco Martínez</t>
  </si>
  <si>
    <t>es el agregado de esta clase D. Luis de Hiriojosa, los Subtenientes de granaderas Don Tomas Gandía, D. Francisco Martínez y D. Domingo Postigo , y los de fusileros D/ Rafael Ramírez, D. Manuel Otero y D. Joaquín Delgado ; á</t>
  </si>
  <si>
    <t>e Ayudante en la plana mayor de Blancos, agregada ai Batallón de Morenos de laHavana,al Subteniente D. Francisco Martínez, Sargento primero de la mi&amp;ma plaña mayor: Compañía en ei Regimiento de las de infantería de la Ilavana al Subteniente de granaderos D. Francisco Menocal: esta resulta al de fusil</t>
  </si>
  <si>
    <t>Martínez, Henrique</t>
  </si>
  <si>
    <t>Henrique Martínez</t>
  </si>
  <si>
    <t>. En el Regimiento de dragones de Buenos-Ayres sé ha servido el Rey promover á Portaguión al Cadete D. Henrique Martínez. El Gefe de Esquadra de la Real Armada , Gobernador Político y Mili-tar de la plaza del Ferrol y villa de la Grana , D. Diego Martínez de Cor-* doba y Contador, observó el abuso d</t>
  </si>
  <si>
    <t>Martínez, Juan Antonio</t>
  </si>
  <si>
    <t>Juan Antonio Martínez</t>
  </si>
  <si>
    <t>roquial de la villa de Zafra, Diócesi de Cuenca, vacante por fajlecimienro de D. Ezequiel Moreno, á D. Juan Antonio Martínez, Presbítero, Capellán de la ermita rural de S. Pantaleon en aquel Obispado; y para un Beneficio de la Parroquial de la villa de Epila, Diócesi de Zaragoza , á Don Josef Lostao. El</t>
  </si>
  <si>
    <t>Martínez, Lorenzo</t>
  </si>
  <si>
    <t>Lorenzo Martínez</t>
  </si>
  <si>
    <t>221 de dragones de Pavía y Sagunto á los Tenientes D. Francisco Fernandez j D. Lorenzo Martínez. En América. En el Regimiento de Milicias disciplinadas de caballería de Ferreñafe, en el Reyno del Perú, se ha dignado el Rey conceder Compañía á D. Josef Chavarría, Teniente del</t>
  </si>
  <si>
    <t>Martinez, Martín</t>
  </si>
  <si>
    <t>Martín Martinez</t>
  </si>
  <si>
    <t>rrores con que se procede comunmente en su plantación, escamonda ó poda, y recolección de su fruto: D. Martin Martinez sobre las viñas en sus, tres clases de altas, medianas y baxas, dando la preferencia en nuestro clima á eptas últimas; demostró no puede darse esta cosecha sino en los países situ</t>
  </si>
  <si>
    <t>Mártinez, Tomás</t>
  </si>
  <si>
    <t>Tomás Mártinez</t>
  </si>
  <si>
    <t>reu sobre: los asuntos que les había cabido por suerte, á saber: D. Genaro Nasarre, i del calórico: D. Tomas Mártinez, de la formación de los fluidos elásticos aériformes: D. Juan Antonio Pradas,5 de las afinidades: D. Mariano Calvete, de la electricidad: D. Victoriano Rodriguez, del gas hidrógen</t>
  </si>
  <si>
    <t>Martínez, Vicente</t>
  </si>
  <si>
    <t>Vicente Martínez</t>
  </si>
  <si>
    <t>y Ayudante del mismo cuerpo; á Ayudante al Teniente D. Juan Chenard; á Tenientes á los Subtenientes D. Vicente Martínez, D. Lorenzo Díaz, D. Manuel Chenard y D. Josef Ignacio de la Torre y Cárdenas, los tres primeros de granaderos; á Subtenientes de granaderos á los de fusileros D. Francisco Xavier</t>
  </si>
  <si>
    <t>Mártir, Pedro</t>
  </si>
  <si>
    <t>Pedro Mártir</t>
  </si>
  <si>
    <t>l Teniente D. Bernardino de la Seda; á Tenientes los Alféreces D. Antonio Esteban, de Carabineros y D. Pedro Mártir * García; á Alférez de Carabineros al Alférez D. Alonso Dávila; y á Alféreces los Sargentos primeros D. Francisco Aldao, de Carabineros, y D. Juan Benito Piñeyro. También se ha di</t>
  </si>
  <si>
    <t>Martorel Caxa y Espejo, Juan</t>
  </si>
  <si>
    <t>Juan Martorel Caxa y Espejo</t>
  </si>
  <si>
    <t>es de Enero. Quien quisiere hacer postura acuda ante el Escribano de Ablitas Josef María de Arnazu. Don Juan Martorel Caxa y Espejo, hijo del Teniente de Navio de la Real Armada del Departamento de Cartagena D. Jayme Martorel, que estaba en la Ha vana en el año de 1792, y según noticias del año de 93 pasó á Tr</t>
  </si>
  <si>
    <t>Marzo y Torres, Jacinto</t>
  </si>
  <si>
    <t>Jacinto Marzo y Torres</t>
  </si>
  <si>
    <t>él de Calatrava, á D. Luis Josef Valdivia ; y para la de Segura de León, en el de la de Santiago, á D. Jacinto Marzo y Torres, todas tres de primera clase ó entrada. En la Compañía Flamenca del Real Cuerpo de Guardias de Corps ha promovido el Rey á Cadete de número aL Supernumerario D. Juan Sibas; y á Su</t>
  </si>
  <si>
    <t>Mas, Juan</t>
  </si>
  <si>
    <t>Juan Mas</t>
  </si>
  <si>
    <t>ago i para el Beneficio residencial de Palacios, de Goda, Obispado de Avila-, vacante por muerte de D. Juan Mas, á D. Josef Pascaste Figueroa, y para el Beneficio simple de la Parroquia de S. Juan, dé Tremanes, en el Arciprestazgo de Gijon, Diócesi de Oviedo, á. D.. Lorenzx). Nielfa. En ate</t>
  </si>
  <si>
    <t>el Beneficio servidero de la Parroquia de Palacios de Goda, Diócesi de Avila, vacante por muerte de D. Juan Mas, mediante haber quedado sin efecto'la gracia que S. M. hizo de él á D.Hosef , Pascasio Figueroa,. á D. Salvador Ferraz, Capellán de los expresados Hospitales en Roma. &gt; El Rey se</t>
  </si>
  <si>
    <t>Mas, Juan Bautista</t>
  </si>
  <si>
    <t>Juan Bautista Mas</t>
  </si>
  <si>
    <t>uelas de las casas de huérfanos de S. Vicente , nuestra Señora de la Misericordia, y fundaciones de D. Juan Bautista Mas, y de D. Francisco Xavier Navarro y Doña María Caudevila, baxo las mismas condiciones y examen. Para estimular á la buena educación en otras poblaciones de este Reyno se darán 6 p</t>
  </si>
  <si>
    <t>Mascaré, Manuel</t>
  </si>
  <si>
    <t>Manuel Mascaré</t>
  </si>
  <si>
    <t>división de Indias ha promovido S. M. á Brigadier de infantería y Director Subinspector al CoTonel D. Manuel Mascaré: á Teniente Coronel al Sargento mayor de brigada D. Fiancisco Lemaur: á este empleo al Capitán primero D. Eleuterio Cebollino; y al que este dexa al Capitán segundo D. Fernando La</t>
  </si>
  <si>
    <t>Maschek, Coronel</t>
  </si>
  <si>
    <t>Coronel Maschek</t>
  </si>
  <si>
    <t>te en 2 brigadas á las órdenes del Mayor General Dury y el Coronel Maschek___ Un tren considerable de artillería Bátava á caballo marcha á Deventer. , FRANCIA. Botona 15 de Diciembre. La segunda expedición Inglesa, que salió de las Dunas el 10 de Diciemb</t>
  </si>
  <si>
    <t>Masena, General</t>
  </si>
  <si>
    <t>General Masena</t>
  </si>
  <si>
    <t>yr, que consta de 40® hombres, lia hecho alto en la frontera del Reyno de Nápoies , y que espera ai General Masena, que va á tomar el mando, y á reunir 12© hombres. El lunes último llegó aquí una parte de 1as tropas enviadas al país de Plasencia, lo que tíos asegura que la tranquilidad está en</t>
  </si>
  <si>
    <t>Massena la Carniola, Mariscal</t>
  </si>
  <si>
    <t>Mariscal Massena la Carniola</t>
  </si>
  <si>
    <t>l Mariscal Soult ocupa á.Viena: el Mariscal Ney ocupa la Carintia: el General Marmont la Styria; el Mariscal Massena la Carniola: el Mariscal Augereau queda en reserva en la Suabia. El Mariscal Massena con el exército de Italia forma ya - \ el octavo cuerpo del exército grande. * El Príncipe Eugenio tiene e</t>
  </si>
  <si>
    <t>Massena, Mariscal</t>
  </si>
  <si>
    <t>Mariscal Massena</t>
  </si>
  <si>
    <t>la Styria; el Mariscal Massena la Carniola: el Mariscal Augereau queda en reserva en la Suabia. El Mariscal Massena con el exército de Italia forma ya - \ el octavo cuerpo del exército grande. * El Príncipe Eugenio tiene el mando en gefe de todas las tropas que están en el país de Venecia y en</t>
  </si>
  <si>
    <t>ro Colegio# y ha rehusado reconocer en su'persona el carácter de Enviado de la Corte de Nápoles. El Mariscal Massena llegó á Spoleto el 17 del corriente, y al día siguiente hizo publicar una proclama,encargando al exército de su mando que en la nueva guerra en que va á entrar observe las leyes y</t>
  </si>
  <si>
    <t>nuestro vasto anfiteatro. FRANCIA. Kjénova 2p de Enero. Se sabe por las cartas de Roma que S. E. el Mariscal Massena habia llegado el 12 á Tolentino, á las orillas del Adriático, donde fué recibid© con todos los honores de su graduación por la división del General Reynier. El día siguiente por l</t>
  </si>
  <si>
    <t>artel general. Los Mariscales Ney y Soult hacen parte de la numerosa comitiva ae aquel Príncipe. El Mariscal Massena, General en gefe, se ha dirigido también hacia Albano. Vene cía 2$ de Enero. El General Miollis ha convocado los principales negociantes de Venecía , y les ha propuesto que le com</t>
  </si>
  <si>
    <t>ancés en aquella provincia se compondrá según dicen de 60® hombres , y lo mandará en cierto caso él Mariscal Massena.__ Los Comandantes de los buques de transporte que Uegáron á esta ciudad ayer de la Dalmacia Veneciana aseguran unánimemente que los Rusos eran aun dueños de Cáttaro y Ragusa la s</t>
  </si>
  <si>
    <t>e se creen allí las fábulas de los papeles Ingleses. Así es que están persuadí Jos en Paisia que el Mariscal Massena ha sido muerto; que la ciudad de Nápoles se ha sublevado, y se halla ocupada por los Calabreses; que el Rey fe ha refugía lo á/Roma, y que los Ingleses.con 5 ó. 62&gt; hombres son du</t>
  </si>
  <si>
    <t>tentan desembarcar en sus costas con tropas de línea, no lo harán fia encontrar resistencia; que el Mariscal Massena no ha dexado de alean</t>
  </si>
  <si>
    <t>de Malmocco. En fin, todos estos noveleros se ceban en nuestros Mariscales y Generales; matando al Mariscal Massena en Ñapóles, y en Alemania al Gran Duque de Berg y ai Mariscal Soult, mientras todos ellos gozan de la mas perfecta salud. Capitulación de la ciudad y fortaleza de Magdeburgo, firmad</t>
  </si>
  <si>
    <t>Maté y Negro, Vicente</t>
  </si>
  <si>
    <t>Vicente Maté y Negro</t>
  </si>
  <si>
    <t>ros D. León de Villota. S. M. se ha servido nombrar para la Vara de Alcalde mayor de Cinco Villas á D. Vicente Maté y Negro. En América. S. M. se ha servido conferir Compañía en el esquadron de caballería de Milicias disciplinadas de la ciudad de Caracas al Teniente del propio Cuerpo D. Antonio Siso; e</t>
  </si>
  <si>
    <t>Matee, Pablo</t>
  </si>
  <si>
    <t>Pablo Matee</t>
  </si>
  <si>
    <t>tán subastando las heredades pertenecientes á la obra pía que en la Catedral de dicha ciudad fundó' D. Pablo Matee, sitas en término de la villa de Paredes; á saber: 50 fanegas y</t>
  </si>
  <si>
    <t>Mathieu, General</t>
  </si>
  <si>
    <t>General Mathieu</t>
  </si>
  <si>
    <t>eros tienen ya tomadas casas en Munich para ^sístir á esta gran íiesta. __ La división Francesa del General Mathieu, del • cuerpo de exército del General Augereau-, está actualmente pasando por ef Electorado de Wurtemberga, con destino á Francfort___ Se ha comunicado de oficio que á últimos del</t>
  </si>
  <si>
    <t>Matson, Capitán</t>
  </si>
  <si>
    <t>Capitán Matson</t>
  </si>
  <si>
    <t>escador, que habia salido de Boloña: ayer á las 7 de la mañana se descubrió á la vista de Dover. El Capitán Matson de la fragata Venus, fue á tomar los pliegos de manos del: Oficial Francés, á cuyo cargo se habían confiado, y se llevaron inmediatamente al Almirante Holloway á Deai, Habiéndose dado u</t>
  </si>
  <si>
    <t>MáttUél Cérdan</t>
  </si>
  <si>
    <t>484 da, D., Josef María Feiiu, D. Peiro Lorien, D. MáttUél Cérdan;y hallándose igualmente pronto el Esquadron de Reales Guardias de Corps mandado del Teniente General D. Carlos Morí, primer Teniente de la Compañía Italiana, Comandante del Esquad</t>
  </si>
  <si>
    <t>Mauduit, Miguel</t>
  </si>
  <si>
    <t>Miguel Mauduit</t>
  </si>
  <si>
    <t>gimiento de caballería de la Reyna se ha servido S. M. conceder empleo de Portaestandarte al Cadete D. Miguel Mauduit: en el de Algarbe Tenencia al Alférez D. Francisco Amat; empleo de Alférez al Portaestandarte D. Narciso Carcer, y esta resulta á D. Josef Tinajero, Carabinero distinguido de los</t>
  </si>
  <si>
    <t>Mauri, Cardenal</t>
  </si>
  <si>
    <t>Cardenal Mauri</t>
  </si>
  <si>
    <t>levar armas no paguen ningún derecho, ni esten sujetos á justificar la propiedad. Se asegura que el Cardenal Mauri ha sido nombrado Limosnero mayor de S. A. I. el Príncipe Gerónimo Bonaparte, y que se halla en el numero de los Cardenales Franceses. El Emperador recibió ayer en audiencia partic</t>
  </si>
  <si>
    <t>Mauricio Justo del Rincón</t>
  </si>
  <si>
    <t>Sr. D. Tomas Moyano, del Consejo de S. M., su Alcalde de Casa y Corte, y escribanía de provincia de D. Mauricio Justo del Rincón, se ha mandado sacar á pública subasta, por término de 30 días contados desde el 14 de Diciembre próximo pasado, 3 casas sitas en esta Corte: una en la calle de la Quadrí, núm. 14</t>
  </si>
  <si>
    <t>su mañana, en la audiencia del Sr. Alcalde de Corte D. Tornas Moyano, y escribanía de provincia de D. Mauricio Justo del Rincón, la qual se halla tasada en 946,710 rs., y tiene de sitio 10,776 pies quadrados superficiales. Quien quisiere hacer postura, acuda ante dicho Sr. Juez y citada escribanía. Quien q</t>
  </si>
  <si>
    <t>embre último por el juzgado del Sr. Alcalde de Corte D. Tomas Moyano,' y escribanía de provincia de D. Mauricio Justo del Rincón, señalando por su valor el de 440,903 rs., se tasase por los Arquitectos nombrados por la propia Hermandad y Agente de la Real Caxa,Jo han verificado expresando que su sitio se co</t>
  </si>
  <si>
    <t>Mauricio Justó del Rincón</t>
  </si>
  <si>
    <t>Corté para-que los hérédéroS’de] difunto comparezcan ante dicho Señor y escribanía de provincia de D. Mauricio Justó del Rincón, con justificación bastante que lo acredíte, para aplicar á los legítimos herederos cierto haber que les pertenece.:, lo que. cumplan én e¡fí preciso término de 30 dias., qtíe por</t>
  </si>
  <si>
    <t>D. Tomas Moyano, del Consejo de S M., su Alcalde de Casa y Corte, por la escribanía de provincia de D. Mauricio Justo del Rincón en el término de 30 dias contados desde el 3 r de Enero proxímo pasado. . A voluntad de su dueño se vende una ventilla, llamada el Cotarro, en la. isla de León: tiene de sitio 10,16</t>
  </si>
  <si>
    <t>61 , tasada en 218,090 rs. Quien quisiere hacer postura acuda ante dicho Señor por la escribanía de D. Mauricio Justo del Rincón. A la casa sita en la calle del Molino del Viento. que sirve de almacén de carbón, núm. 3, manz. 450, tasada en 19,278 rs., se ha hecho postura en las dos tepceras partes del todo</t>
  </si>
  <si>
    <t>e hacerla acuda ante el Sr. Alcalde de Corte D. Felipe Gil de Taboada y Lemos, por la escribanía de D. Mauricio Justo del Rincón. El Sr. Intendente de esta provincia ha señalado el 23 del corriente para la puja del quarto de los remates aprobados de las casas siguientes: el de la casa calle del Molino de vi</t>
  </si>
  <si>
    <t>e hacerla acuda ante el Sr. Alcalde de Corte D. Felipe Gil de Taboada y Lemos, por la escribanía de D. Mauricio Justo del Rincón. En virtud de Real facultad se vende un molino harinero, llamado de Moyarniz, situado en término y jurisdicción de la villa de Cavaniilas del Campo, sobre el río Nares, que tiene</t>
  </si>
  <si>
    <t>D. Felipe Gil de Taboada y Lemos, del Consejo de S. M., su Alcalde de Casa y Corte, y escribanía de D. Mauricio Justo del Rincón, se ha mandado sacar á pública subasta, por término de 15 dias, que principian á correr desde el 19 del presente, una casa sita en la baxada de Santa Cruz, calle de los Esparteros</t>
  </si>
  <si>
    <t>D. Felipe Gil de Tabeada y Lemos, del Consejo de S. M., su Alcalde de Casa y Corte, y escribanía de D. Mauricio Justo del Rincón , se ha señalado el miércoles 13 del corriente mes, á las once en punto de su mañana, para el remate de la casa sita en la baxada de Santa Cruz, y calle de Jos Espartercs, níim.,3</t>
  </si>
  <si>
    <t>Mauricio Zelaya</t>
  </si>
  <si>
    <t>Laso de la Vega , D. Vicente Perez Idiaquez, D. Mateo de Soto, D. Sixto Carrera, D. Remigio.Diaz y D. Mauricio Zelaya; y de bandera á D. Pedro Luque y D. Juan Miguel Morazan, todos vecinos de la jurisdicción del mismo cuerpo. El Rey se ha dignado conceder la Sargentía mayor veterana del Esquadron</t>
  </si>
  <si>
    <t>Mauricio, Tomás</t>
  </si>
  <si>
    <t>Tomás Mauricio</t>
  </si>
  <si>
    <t>Inglaterra, Alemania , Suizá-y GéApvVdél ¿a?sri(ió'autor, otras obras &lt;íe este , y las de su Üiijo Don Tomas Mauricio , cálle1 dé'Atoctíá,írénte álos Cinco Gremios, quarto 2.0, donde hay asimismo éxém^larés del de .PoAugál , puestos en lienzo con su caxa para el bolsillo; y se pondrá iánjbien quá</t>
  </si>
  <si>
    <t>MaurL, Cardenal</t>
  </si>
  <si>
    <t>Cardenal MaurL</t>
  </si>
  <si>
    <t>l 12 del corriente llegáron á Turin, viniendo á París, el Príncipe Archi-Canciller del Imperio y el Cardenal MaurL</t>
  </si>
  <si>
    <t>Maury, Cardenal</t>
  </si>
  <si>
    <t>Cardenal Maury</t>
  </si>
  <si>
    <t>M. ei Emperador y Rey.__ También se hallan ya en París pl Príncipe Archi-Tesorero del Imperio y el Cardenal Maury. El Emperador ha dirigido al Senado un mensage, el 19 de este mes, comunicándole que había nombrado á plazas de él á Mr. Demont, General de división , que fué herido en la batalla</t>
  </si>
  <si>
    <t>s y grandes Oficiales del Imperio : S. Erna, el Cardenal Arzobispo de París, el Cardenal Legado, ei Cardenal Maury, los Obispos del Cabildo de S. Dionisio, los Senadores, Consejeros de Éstadq &amp;c. &amp;c. Era asombroso el concurso que habia en las calles: general el alborozo, y completo el sosiego.</t>
  </si>
  <si>
    <t>Maury, Juan María</t>
  </si>
  <si>
    <t>Juan María Maury</t>
  </si>
  <si>
    <t>, núm. 12, quarto principal, esquina á la calle de las Maldonadas. La Agresión Británica: poema por D. Juan María Maury. Se hallará á 4 rs. en la librería de Castillo, frente á las gradas de S. Felipe. Colección de estampas, que representan los misterios, festividades y santos que contiene la obra</t>
  </si>
  <si>
    <t>Maxwell, Capitán</t>
  </si>
  <si>
    <t>Capitán Maxwell</t>
  </si>
  <si>
    <t>a por las fuerzas Francesas que se sabia en Gotea hallarse á la altura de la costa. ,, Así que ;ei; Capitán Maxwell, del Arabe, tuvo noticia de la. esquadra Francesa, envió un buque Americano con un</t>
  </si>
  <si>
    <t>Mayer, General</t>
  </si>
  <si>
    <t>General Mayer</t>
  </si>
  <si>
    <t>de Wels en él Austria Superior , de Willadi eií la Carinthia, y de Budweis en Bohemia, en donde el General Mayer ha propuesto que se construyan fortificaciones.__ Anuncian también dichas cartas como probable que el Conde de Stadion, que ha sido Ministro de Bohemia cerca de la Dieta, aera pro</t>
  </si>
  <si>
    <t>Mayol, Martín</t>
  </si>
  <si>
    <t>Martín Mayol</t>
  </si>
  <si>
    <t>nuel Rubiano. En Patencia.......... Viuda de D. Nicolás Calonge é hijo mayor. En Palma............. D. Martin Mayol. En Pamplona___ Sres. viuda de Barbería é hijo. En Salamanca...... Sres. Urrero y Casaseca. En Santander. ..... Sres. Vial é hijo y compañía. En Segovia............. Sres. viuda d</t>
  </si>
  <si>
    <t>. Manuel Rumano. En Palenda......... Viuda de D. Nicolás Calonge é hijo mayor. En Palma............ D. Martin Mayol. En Pamplona....... Sres. viuda de Barbería é hijo. En Salamanca..... Sres. Urrero y Casaseca. En Santander...... Sres. Vial é hijo y compañía. En Segovia........... Sres. viuda d</t>
  </si>
  <si>
    <t>Mayorga, Manuel</t>
  </si>
  <si>
    <t>Manuel Mayorga</t>
  </si>
  <si>
    <t>dignado conceder Tenencia veterana en el batallón de Milicias disciplinadas de Españoles de Lima á D. Manuel Mayorga,* Subteniente veterano de la Asamblea de Santa; y esta resulta á D. Mariano Homboni, Sargento primero de la del partido de Nasca. Asimismo se ha dignado S. M. conceder á D. Pedro</t>
  </si>
  <si>
    <t>Maza, Gerónimo</t>
  </si>
  <si>
    <t>Gerónimo Maza</t>
  </si>
  <si>
    <t>Cendeja, D. Manuel Abbad, D. Carlos Van-Zoelen, D. Juan Ortiz de Zarate, D. Sebastian de Navarrete, Don Gerónimo Maza, D. Juan Maza, D; Luis Berganza , D. Alexandro lagoa, D. Bernabé de Otalora, D. Eugenio de Zuloaga, D. Josef María de Bassoco y D. Vicente de Bassoco. Ganáron el premio extraordin</t>
  </si>
  <si>
    <t>. Eugenio de Zuloaga, D. Josef Bassóco, D. Vicente Bas$óco,D. Matías de la Torre, D. Joaquín Ossés, D. Gerónimo Maza, D. Juan Maza, Don Bernabé de Otálora, D. Juan de Mazarredo, D. Cárlos Van-Zoelen y Don Sebastian Fernandez Navarrete. Ganaron el premio extraordinario de instrucción religiosa lo</t>
  </si>
  <si>
    <t>Maza, Juan</t>
  </si>
  <si>
    <t>Juan Maza</t>
  </si>
  <si>
    <t>Abbad, D. Carlos Van-Zoelen, D. Juan Ortiz de Zarate, D. Sebastian de Navarrete, Don Gerónimo Maza, D. Juan Maza, D; Luis Berganza , D. Alexandro lagoa, D. Bernabé de Otalora, D. Eugenio de Zuloaga, D. Josef María de Bassoco y D. Vicente de Bassoco. Ganáron el premio extraordinario de instru</t>
  </si>
  <si>
    <t>ga, D. Josef Bassóco, D. Vicente Bas$óco,D. Matías de la Torre, D. Joaquín Ossés, D. Gerónimo Maza, D. Juan Maza, Don Bernabé de Otálora, D. Juan de Mazarredo, D. Cárlos Van-Zoelen y Don Sebastian Fernandez Navarrete. Ganaron el premio extraordinario de instrucción religiosa los Caballeros G</t>
  </si>
  <si>
    <t>Mé, Lord</t>
  </si>
  <si>
    <t>Lord Mé</t>
  </si>
  <si>
    <t>ropuso que los Comunes formados eá junta de toda' la Cámara asistiesen el 29 de Abril á la causa de Lord Mé-^ lleville. Mr. R* Dundas (hijo de Lord Melleville ) se opuso á esta propuesta, por los grandes* gastos que ocasionaría se viese la causa en la sala grande de Westminster, y las di</t>
  </si>
  <si>
    <t>Mead</t>
  </si>
  <si>
    <t>r el Dr. ICaau Boerhaave, Médico de la Emperatriz de Rusia. Noticia de la vida y circunstancias del Dr. Mead , y asimismo de Hipócrates, creador del arte de la Medicina, de sus obras y de los documentos científicos y morales que en ellas da á sus</t>
  </si>
  <si>
    <t>Mead, Ricardo</t>
  </si>
  <si>
    <t>Ricardo Mead</t>
  </si>
  <si>
    <t>o Procurador del pueblo D. Pedro Antonio Olleros. Consejos y preceptos de Medicina, escritos por el Dr. Ricardo Mead, Médico que fué del Rey de Inglaterra. Un discurso sobre las qualidades que constituyen y perfeccionan á los Médicos, pronunciado en la Academia de Petersburgo por el Dr. ICaau Bo</t>
  </si>
  <si>
    <t>Mechain</t>
  </si>
  <si>
    <t>Oriente de Madrid..... ..... 13 18 ,72 Por la observación del eclipse de Sol de 1803, calculado por Mr. Mechain........................................ 13 20,10 Diferencia.................:........... .................................. E',38, que solo \ralen 2o/;,7 de longitud terrestre. .</t>
  </si>
  <si>
    <t>Medardo Vergara</t>
  </si>
  <si>
    <t>vacante por promoción de D. Joaquin Sarroca al Gurato del lugar de Zaydin de la misma Diócesi; y á D. Medardo Vergara para otra de la misma Iglesia, vacante ■por fallecimiento de D. Francisco Faro. En los Regimientos de infantería de Zaragoza y Mallorca se ha servido el Rey promover á Tenientes á</t>
  </si>
  <si>
    <t>Mediano Sartolo, Antonio</t>
  </si>
  <si>
    <t>Antonio Mediano Sartolo</t>
  </si>
  <si>
    <t>á Subteniente de bandera al Cadete D. Joaquín María de Arespacochaga. S. M. se.ha servido nombrar á D. Antonio Mediano Sartolo para la Vara de Alcalde mayor de la villa de Brozas, territorio de la Orden de Alcántara,Me primera clase ó entrada. En América. En el Regimiento de infantería de Nueva-España se</t>
  </si>
  <si>
    <t>Medrano y Treviño, Lorenzo</t>
  </si>
  <si>
    <t>Lorenzo Medrano y Treviño</t>
  </si>
  <si>
    <t>. Antonio y D. Pedro Romero de Tejada, D. Domingo de la Iglesia, D. Juan Oromi,D. Antonio Ibarrola, D. Lorenzo Medrano y Treviño, D. Francisco Romo y Gamboa y D. Andrés Rodríguez. S. M. se ha servido nombrar para el Corregimiento de Letras de la ciudad de Barbastro á D. Andrés Santolaria; y para la Vara de</t>
  </si>
  <si>
    <t>Meerveidt, General</t>
  </si>
  <si>
    <t>General Meerveidt</t>
  </si>
  <si>
    <t>fio reiteradas del Austria. En la parada, á presencia de muchas gentes, ha asegurado S. M. I. al General Meerveidt que ya se han enviado órdenes á sus tropas de evacuar sin demora todas las plazas que ocupan en la Albania, y señaladamente las bocas del Cáttaro. Creemos que el Emperador visitar</t>
  </si>
  <si>
    <t>Meileville, Lord</t>
  </si>
  <si>
    <t>Lord Meileville</t>
  </si>
  <si>
    <t>as: no se permitió la entrada en la Cámara. Dicen se trató de las pruebas producidas en la causa de Lord Meileville: con todo se juntará nuevamente el Parlamento el viernes para tratar del mismo asunto. Lo cierto es que en está semana no se dará la sentencia. Luego que los'Pares den sis parecer</t>
  </si>
  <si>
    <t>Meiville, Lord</t>
  </si>
  <si>
    <t>Lord Meiville</t>
  </si>
  <si>
    <t>einfurth y el país de Fulda. GRAN BRETAÑA. Londres 12 de Junio. Al cabo se ha terminado la causa de Lord Meiville cómo se - esperaba,</t>
  </si>
  <si>
    <t>conducta y la del Marques de YVellesLey, y se opuso á la comunicación de los. documentos que pedia Lord Meiville. Los Lores Háwesburg, Eldon y: Redésdale ;opináron como Lord Melvide: fúéronde distinto parecer los Lores MintoyBiickiogharjihire y Elienborough, y se desestimáron las propuestas</t>
  </si>
  <si>
    <t>Mel</t>
  </si>
  <si>
    <t>omensalía ó Ración de Ja Metropolitana de Tarragona, vacante por muerte de D. Francisco Sangenis, á D. Mel chor Junca: para un Beneficio de la Parroquia de la Selva, Diócesis de Tarragona, vacante por fallecí niento de D. Francisco Guillemó, á D. Lorenzo Guinovar; y para otro Beneficio</t>
  </si>
  <si>
    <t>Melgar, Francisco</t>
  </si>
  <si>
    <t>Francisco Melgar</t>
  </si>
  <si>
    <t>laga, Murcia, Alcázar y Salamanca á los de fusileros D. Juan Laso y Velazquez, D. Antonio Callejas, D. Francisco Melgar y D. Juan Pineda; y á Subtenientes de bandera en los de Sevilla,, Málaga, Bujalance y Valladolivi á ios Cadetes D. Juan de Valenzuela, D. Miguel de Nava y Mérida y D. Francisco .Xavie</t>
  </si>
  <si>
    <t>Melgarejo, Lorenzo</t>
  </si>
  <si>
    <t>Lorenzo Melgarejo</t>
  </si>
  <si>
    <t>e ha servido nombrar para una CanOngía de lá Metropolitana de Sevilla, vacante por fallecimiento de D. Lorenzo Melgarejo, á D.Josef Isidoro’Morales, Racionero de la propia Iglesia : para la Ración que este dexa^a D. Ignacio María del Mármol: á D. Antonio Soler y Planas para un Beneficio de la Colegi</t>
  </si>
  <si>
    <t>Melieviiie, Lord</t>
  </si>
  <si>
    <t>Lord Melieviiie</t>
  </si>
  <si>
    <t>iaristas que den razón de los discursos hechos en ella;-__Los Secretarios leyéron los cargos contra Lord Melieviiie y sus respuestas. A la¿ 12 y quarto el Lord Canciller pidió se abriese la causa, y que Mr. Whitbread produxese sus cargos como comisionado del impeachement. Los Consejeros de Lord M</t>
  </si>
  <si>
    <t>Melieville, Lord</t>
  </si>
  <si>
    <t>Lord Melieville</t>
  </si>
  <si>
    <t>a diputación de la Cámara de los Comunes, presentó en la barra una réplica á la respuesta hecha por Lord Melieville al nuevo capítulo de impeachement, y declaró en nombre de la de los Comunes, que el Vizconde Melleville era reo de alto crimen y malversaciones, y se obligaba á probarlo. La répli</t>
  </si>
  <si>
    <t>Mellado, Pedro</t>
  </si>
  <si>
    <t>Pedro Mellado</t>
  </si>
  <si>
    <t>itán , D. Eusebio de Villa: en el de Ultonia Subtenencia de bandera al Sargento primero distinguido D. Pedro Mellado: en el de Zaragoza Subtenencia de bandera al Cadete D. Antonio de la Paz y Alfaro : en el de la Corona Ayudantía ai Teniente, graduado de Capitán , Don '.Manuel Abellan ; y Subten</t>
  </si>
  <si>
    <t>Melleviile, Lord</t>
  </si>
  <si>
    <t>Lord Melleviile</t>
  </si>
  <si>
    <t>ntaren en la sala de Westminster, formadas en tribunal supremo del Parlamento, para ver la causa de Lord Melleviile. A las 9 de la mañana varios destacamentos de los 3 Regimientos de Guardias cercaron las inmediaciones de la sala de Westminster para mantener el buen orden, y facilitar la salida</t>
  </si>
  <si>
    <t>Melleville</t>
  </si>
  <si>
    <t>ausa de Lord Macclesfield duró veinte y un dias, y la de Mr. Hastings ocho años. Aunque el acusado (Mr. Melleville) había preferido el impeachement á una causa criminal, esperaba que Mr. Whitbread no se contradixese proponiendo un medio mas riguroso que el que se había indicado anteriormente:</t>
  </si>
  <si>
    <t>Melleville, Lord</t>
  </si>
  <si>
    <t>Lord Melleville</t>
  </si>
  <si>
    <t>tardará en venir á la Lithuania. GRAN BRETAÑA. Londres 27 de Marzo. Cantara de los Pares. El 24 el Lord Melleville puso sobre la tabla de la Cámara su respuesta al nuevo capítulo de acusación que se le hace; protestó contra el artículo de impeachement (acusación pública), que se ha unido al ac</t>
  </si>
  <si>
    <t>ziimpeachement su publicidad é importancia. No podía compararse la causa de Mr. Hastings con la de Lord Melleville, por ser diferentes absolutamente, tanto por su naturaleza, como por la de los documentos que son necesarios. Quando se trató,añadió, de averiguar los millones que se gastaron con</t>
  </si>
  <si>
    <t>Según Mr. Fox debía recusarse la autoridad de los que están unidos por los vínculos de la sangre á Lord Melleville; pero este raciocinio podia igualmente aplicarse en sentido inverso á los que se han mostrado siempre los antagonistas del noble Lord. Mr. Canning añadió: ,, El Canciller del Echi</t>
  </si>
  <si>
    <t>os Duques de York, Cumberland y Glocester. El Lord Canciller mandó al Macero impusiese silencio.__ .Lord Melleville estaba sentado de la parte de adentró de la barra, y fuera de ella, pero inmediatos á él, sus Abogados, á su izquierda estabáft los comisionados del impeachemmt gestaba todo vestido</t>
  </si>
  <si>
    <t>sentar los testigos; de los quales solo dos habian sido examinados ayer. Mr. Adara se sentó junto á Lord Melleville despue&amp; de haber pronunciado un discurso muy patético. . r-:i En la Cámara de los Comunes hubo ayer una larga discusión con motivo de la segunda lectura del bilí , en que se desestim</t>
  </si>
  <si>
    <t>ce al parecer ninguna disposición para hacerse á la vela. Hoy es el sexto dia que se ve la causa de Lord Melleville, y continúa el mismo concurso á ©irla. Hasta ahora solo se han oido los testigos: el defensor del acusado no ha hablado sino sola una vez. Todos convienen en que este negocio dura</t>
  </si>
  <si>
    <t>504 £n la sesión undécima de la causa de Lord Melleville, Mr. Palmer em pezó la defensa del acusado, pretendiendo,que el ex-Ministro no había to*&lt; mado parte en las dilapidaciones del erario público. HOLANDA. Haya jj de Mayo. En algunos</t>
  </si>
  <si>
    <t>resar todas las embarcaciones con bandera Prusiana, de Lubeck y de Pappenburg. Continúa la causa de Lord Melleville: créese que el viernes se pronunciará sobre la evidencia de los hechos y cargos que se le bacen, y se sometieran á los Jueces algunas qiiestiones sobre puntos de derecho. En la Cá</t>
  </si>
  <si>
    <t>Melvide, Lord</t>
  </si>
  <si>
    <t>Lord Melvide</t>
  </si>
  <si>
    <t>de los. documentos que pedia Lord Meiville. Los Lores Háwesburg, Eldon y: Redésdale ;opináron como Lord Melvide: fúéronde distinto parecer los Lores MintoyBiickiogharjihire y Elienborough, y se desestimáron las propuestas de Lord Meiville. El y en la Cámara de losíComunes.Lopd HénriqiiePett</t>
  </si>
  <si>
    <t>Melviile, Lord</t>
  </si>
  <si>
    <t>Lord Melviile</t>
  </si>
  <si>
    <t>íSir Joba Newpoxt lo apoyó. La mayoría se desestimó á mayoría de iix votos contra 54. Los amigos de Lord Melviile e« Edimburgo, así que supieron la sentencia de la Cámara de los Pares, trataron de iluminar sus casas en prueba del regocijo que les ha causado esta noticia; pero como había mayor n</t>
  </si>
  <si>
    <t>los diarios de la Cámara de los Pares, con motivo de la opinión dada por los Jueces en el asunto de Lord Melviile, que ai principio de la sesión próxima se tenga en consideración el acta relativa á las funciones del Tesorero de la Marina. Once Jueces opinaron que podían los empleados hacer us</t>
  </si>
  <si>
    <t>Melville, Lord</t>
  </si>
  <si>
    <t>Lord Melville</t>
  </si>
  <si>
    <t>e las Potencias beligerantes. PARLAMENTO IMPERIAL. En la junta de la Cámara de los Pares del dia 22 Lord Melville ha presentado su respuesta á los artículos de la acta de acusación, pronunciada</t>
  </si>
  <si>
    <t>de guerra y de innovación adoptado en este país. En 1783 la deuda no era mas que de 14 millones, y Lord Melville se quejaba amargamente de que fuese tan considerable___ Mr. Francis se quejó de la inexecucion de la acta del Parlamento, que ordena á todos los Capitanes echar al mar sus pliegos</t>
  </si>
  <si>
    <t>e juntó, informó el Lord Canciller á los Pares que estaban reunidos para pronunciar la sentencia de Lord Melville, y poniendo la qiiestion sobre el primer capítulo de la acu-&gt; sacion al Barón mas ióven, y sucesivamente á los demás Pares, concluyó con S. A.R. el Duque de Yorck^ (hallándose aus</t>
  </si>
  <si>
    <t>io® libras esterlinas después de la publicación del acta en que se arreglaba el empleo de Tesorero. Lord Melville ha declarado en la Cámara de los Comunes, el n de Enero de 1805 , que se creía obligado por motivos que dependían de sus obligaciones públicas y de su honor particular, á no revel</t>
  </si>
  <si>
    <t>a Junta para examinar en los registros de la Cámara dé los Pa-, res todo lo ocurrido en la causa de Lord Melville, y dar luego cuenta de ello á la Cámara: ha declarado que creía muy importante saber las-opiniones de los Jueces; pero que por ahora no. podia explicarse mas. Mr. Fuller dixo se a</t>
  </si>
  <si>
    <t>untase la Cámara todos los días á las 11 de la mañana, como la de los Pares lo hizo en el asunto de Lord Melville, y examinase los testigos hasta las 4 de la .tarde, hora en que empieza de ordinario la sesión. La Cámara decidió ántes de. separarse que todos ios dias se juntase temprano, y-á l</t>
  </si>
  <si>
    <t>ve que es tal la conduca de Holkar que merezca esta : prueba de aprecio. Antes de ayer se presentó Lord Melville en-la Cámara de los Pares por la primera vez después de la conclusión de su causa. Habló sobre los asuntos de la India, y declaró que el lunes próximo haría ciertas preguntas á un n</t>
  </si>
  <si>
    <t>ido licencia para 6 meses, y no se le ha concedido. GRAN BRETAÑA. Londres 3 de Julio. Antes de ayer Lord Melville ha hecho en la Cámara de los Pares las preguntas que había anunciado acerca de los asuntos de la India. Preguntó si existia ahora un Gobierno general en aquel pais,:y cómo se comp</t>
  </si>
  <si>
    <t>Gobierno hácia este manantial principal de la riqueza nacional. Resulta que ya en el tiempo en que Lord Melville decía que podía la Inglaterra sacar grandes recursos de estas rentas, existia un déficit anual de 3 millones de libras esterlinas. Háse desvanecido enteramente esta ilusión, y es tal</t>
  </si>
  <si>
    <t>r qué los Señores de la Oposición no buscan un gefe de entre ellos? ¿Por qué no ponen á su cabeza á Lord Melville, á quien ya poseen en virtud de una sentencia? Es verdad que 58 Pares de la mayor distinción •le declaráron reo.;! pero la mayoría le declaró inocente. Lord Melville está á su ser</t>
  </si>
  <si>
    <t>Mena, Francisco</t>
  </si>
  <si>
    <t>Francisco Mena</t>
  </si>
  <si>
    <t>ntes del Real Cuerpo de“Artillería á los Subtenientes D. Josef Sánchez Boado, graduado de Teniente, Don Francisco Mena, D. Luis Lardizabal, D. Josef Medrano, D. Joaquín Escario y D. Joaquín Vivanco. En la extracción de la Real lotería executada él lunes 19 del corriente salíéron los números 84, 32</t>
  </si>
  <si>
    <t>Mena, Manuel</t>
  </si>
  <si>
    <t>Manuel Mena</t>
  </si>
  <si>
    <t>emperamento, saludable. El feeirltativo’ que. le acomode; .«ate partido podrá dirigir ** memorial á D. Manuel Mena y D. Masuel Antonio Hidalgo., P^resbíteró» , ¿nCatf.ado» .para éste negocio* en el concepto de que la provisión será el z6 de Abril próximo. Imitación de Cristo y menosprecio del mund</t>
  </si>
  <si>
    <t>Mendaro, Lorenzo</t>
  </si>
  <si>
    <t>Lorenzo Mendaro</t>
  </si>
  <si>
    <t>ya lugar. Por auto del Tribunal del Consulado de Cádiz, dictado en los del concurso de acreedores á D. Lorenzo Mendaro, se manda citar á qualesquiera interesados que tengan derecho á los bienes de dicho concurso, para que comparezcan por sí ó por apoderados, con los documentos de su acreencia, en</t>
  </si>
  <si>
    <t>Mendez Acuña, Pedro</t>
  </si>
  <si>
    <t>Pedro Mendez Acuña</t>
  </si>
  <si>
    <t>Beneficio simple de Sta. Columba de Riánjo en el Arzobispado de Santiago? vacante por promoción de D. Pedro Mendez Acuña á una Canongía de aquella Metropolitana, á D. Manuel García Moreno, primer Teniente de Cura de la Iglesia de nuestra Señora de las Angustias del Real Sitio del BueqRetiro; y para</t>
  </si>
  <si>
    <t>Mendez de Vigo, Santiago</t>
  </si>
  <si>
    <t>Santiago Mendez de Vigo</t>
  </si>
  <si>
    <t>co. Premias adjudicados por el patriótico Cuerpo d otros alumnos de la misma escuela* Cien reales á D. Santiago Mendez de Vigo: á D. Manuel Berruezo,idem: i I&gt;. Ignacio Collas, ídem; y á D. Cayetano Suarez de la Vega, idem. Escuelas gratuitas d expensas de la Real SociedadEscuela primera ae ninas. A María</t>
  </si>
  <si>
    <t>Mendez, Manuel</t>
  </si>
  <si>
    <t>Manuel Mendez</t>
  </si>
  <si>
    <t>án al Subteniente de granaderos Don Manuel Josef Frayre; á esta resulta ai Subteniente de fusileros D. Manuel Mendez, y á Subteniente de bandera al Cadete D. Josef Simón Ortega. En el Cuerpo de caballería de Blandengues de la frontera de Buenos** Ayres se ha servido S.?M. promover á Capitán al T</t>
  </si>
  <si>
    <t>Mendez, Pedro</t>
  </si>
  <si>
    <t>Pedro Mendez</t>
  </si>
  <si>
    <t>les, apreciado todo en 14,304 rs. Quien quisiere comprar estas fincas, acudirá á tratar de ello con D. Pedro Mendez, vecino de esta Corte, y habitante en la casa de la Compañía de la Havana, calle de Embaxadores. A voluntad de su dueño se vende una casa á la malicia, sita en esta Corte en la ca</t>
  </si>
  <si>
    <t>Mendieta, Miguel Martín</t>
  </si>
  <si>
    <t>Miguel Martín Mendieta</t>
  </si>
  <si>
    <t>l Tiallos, Secretario de Cmiara del Obispo de esta Diócesis; y para una Ración dé la de Gua man^a á D. Miguel Martin Mendieta, Cura en aquel Obispado. Quen quibicK. Pacer postura á una casa sita en la calle de la Abada, núm. 3, tmnz. 365, propia de la santa y Real hermandad del Refugio y Piedad de esta C</t>
  </si>
  <si>
    <t>Mendivil y Mariano González, Juan</t>
  </si>
  <si>
    <t>Juan Mendivil y Mariano González</t>
  </si>
  <si>
    <t>rnel de Voluntarios de la Corona.Tenencias á lo# Subtenientes de granaderos, graduados de Teniente, D. Juan Mendivil y Don Mariano González, y Subtenencia de bandera al Cadete D. Josef María Guerrero. .......... En el Regimiento de infantería de Voluntarios de Castilla se ha servido S. M. conceder Tenencia al Subtenie</t>
  </si>
  <si>
    <t>Mendoza, Antonio</t>
  </si>
  <si>
    <t>Antonio Mendoza</t>
  </si>
  <si>
    <t>de la ciudad de Orense, pues tiene que comunicarles asuntos que les interesan. Antonio Mendoza, natural de la villa de Fuentes de la Campana, servia en los Artilleros de tierra , y en fin de Noviembre de 1804 pasó á la Compañía de Tejas; pero habiendo desertado de la Isla de León, s</t>
  </si>
  <si>
    <t>Menéses, Gabriel</t>
  </si>
  <si>
    <t>Gabriel Menéses</t>
  </si>
  <si>
    <t>nceder la Tenencia de la Compañía Urbana de caballería de la villa de Santo Espíritu ai Subteniente D. Gabriel Menéses: la Subtenencia al Alférez D. Josef Belen Zamora; y esta resuira ai Sargento D. Pedro Luís Quintanilia. __ Hn ei Regimiento de. dragonea Provinciales de Puebla, en el Reyno de Nue</t>
  </si>
  <si>
    <t>Menocal, Francisco</t>
  </si>
  <si>
    <t>Francisco Menocal</t>
  </si>
  <si>
    <t>ña mayor: Compañía en ei Regimiento de las de infantería de la Ilavana al Subteniente de granaderos D. Francisco Menocal: esta resulta al de fusileros D. Pedro Armenteros, y Subtenencia de bandera al Cadete D. Antonio Josef de Vey.tia: Compañía en eFRatallon de las, Quatro Villas á D. Antonio Josef</t>
  </si>
  <si>
    <t>Menou, General</t>
  </si>
  <si>
    <t>General Menou</t>
  </si>
  <si>
    <t>ertos del Reyno de Italia en caso que la guerra continúe. ". FRANCIA. / - ! ~ Turin i ¡ de AbriL El General Menou, Comandante general de los departamentos del otro» lado de los Alpes, ha hecho publicar la relación siguiente: ,, La Gendarmería Imperial no cesa de dar pruebas de su zelo, de su</t>
  </si>
  <si>
    <t>, desarmado y acompañado por la Gendarmería Francesa. Los Oficiales solo conservaban sus sables. El General Menou, Comandante General , acompañado del General Gauloisy Comandante del departamento, se puso al frente del batallón , hizo salir á un Sargento y á un soldado, y los mandó meter en u</t>
  </si>
  <si>
    <t>qual sea su lengua natural. Algunas palabras provienen del Español, y las mezcla con Francesas. El General Menou mandó que la recibiesen en la Providencia, uno de los hospitales civiles de Turin. Se sorprehendió de la frugalidad de la mesa en que comió, lo que ha causado mil conjeturas ridic</t>
  </si>
  <si>
    <t>Mercado, Pedro</t>
  </si>
  <si>
    <t>Pedro Mercado</t>
  </si>
  <si>
    <t>á los Alféreces D. Fernando Aragón, D. Adrián Caballero, D. Francisco Verdejo, D. Josef Valderrago, D. Pedro Mercado, y á los Portaguiones D. Santiago Borda y D. Bernardo Arroyo ; á Alférez al Sargento primero D. Clemente Zapata, yá Portaguiones al Sargento primero D. Gregorio Duran, y al Cadete</t>
  </si>
  <si>
    <t>Merino Diez, Juan</t>
  </si>
  <si>
    <t>Juan Merino Diez</t>
  </si>
  <si>
    <t>iento, y se entregó igual documento á D. Miguel Alvarez y Neyra, á Don Cleto Félix de Eguizabal y á D. Juan Merino Diez. D. Francisco Xavier Mocencos, vecino de la villa de Molina de Aragón, remitió por el correo en 6 de Mayo de este año, con su firma, en blanco, y dirección á Doña Micaela de S. Fr</t>
  </si>
  <si>
    <t>Merino, Ángel</t>
  </si>
  <si>
    <t>Ángel Merino</t>
  </si>
  <si>
    <t>y Cámara de S. M. Don Josef Solana, D. Ignacio García de Diego, D. César Madrazo, D. Félix Angulo, D. Angel Merino, D. Pedro Gómez, D. Manuel de la Maza y Don Agustín Manuel de Borricón : de ios^ Caballerizos de Campo D. Fernando María de la Cueva, D. Josef de la Alcázar, D. Joaquin Bermejo y</t>
  </si>
  <si>
    <t>Merino, Félix</t>
  </si>
  <si>
    <t>Félix Merino</t>
  </si>
  <si>
    <t>riente se extravió un vale-dinero de 300 pesos, creación de Mayo, núm. 470038 , endosado ¿ favor de D. Félix Merino. Quien supiere de su paradero se servirá avisar en la librería de Villareal, calle de las Carretas. Ei Sr. Intendente de esta Provincia, por su decreto de 13 del pasado, ha .aprob</t>
  </si>
  <si>
    <t>Merlán</t>
  </si>
  <si>
    <t>icado á los 19 Cantones haber entregado los. sellos del Estado y los archivos de la Confederación á Mr. Merlán, nuevo Land-Ammán de la Suiza. Mr* Glutz se ha valido de esta ocasión para manifestar su agradecimiento á los Gobiernos cantonales por su zelo y por las señales de estimación que</t>
  </si>
  <si>
    <t>Mermer</t>
  </si>
  <si>
    <t>absolutamente la inoculación de las viruelas naturales. *J " : uv w c • , . St. Gali z 2 de. Junio. Mr. Mermer, Consejero del Gobierno, tomó posesión la semana pasada de los bienes y fondos pertenecientes al antiguo Convento de S. Qall, situados en los países dél Príncipe de Lichtenstein.</t>
  </si>
  <si>
    <t>Metía y Aramia, Diego</t>
  </si>
  <si>
    <t>Diego Metía y Aramia</t>
  </si>
  <si>
    <t>Ayudante, graduado de Capitán, D. Manuel Ruiz; y "en el de Africa Subtenencia de bandera al Cadete D. Diego Metía y Aramia. En el Real Cuerpo de Artillería se ha servido S. M. promover á Teniente al Subteniente D. Ignacio de Cárdenas. En el Real Cuerpo de Ingenieros del Exército ha promovido el Rey á</t>
  </si>
  <si>
    <t>Metzger, Tomás</t>
  </si>
  <si>
    <t>Tomás Metzger</t>
  </si>
  <si>
    <t>Antonio Kay~? ser ?: en reí de- Récjing!, numero /2.0-* áí&amp;ubteniente de granaderos al de fusileros D. Tomas Metzger ; á Teniente» al Subteniente de granaderos D. Francisco Gugger : en el de Traxler á Capitanes primeros á los de granaderos D. Antonio Stultz y D. Antonio Christen; á Capitanes de</t>
  </si>
  <si>
    <t>Mexia, Andrés</t>
  </si>
  <si>
    <t>Andrés Mexia</t>
  </si>
  <si>
    <t>ín Richarte, Capitán del mismo Cuerpo; á Capitanes al Ayudante D. Diego de Mesa , y á los Tenientes D. Andrés Mexia y D. Tadeo González; á Tenientes á los Alféreces D. Fernando Aragón, D. Adrián Caballero, D. Francisco Verdejo, D. Josef Valderrago, D. Pedro Mercado, y á los Portaguiones D. Santiago</t>
  </si>
  <si>
    <t>Mexía, Luis</t>
  </si>
  <si>
    <t>Luis Mexía</t>
  </si>
  <si>
    <t>ciud Esteban Tountureüe, Profesor de la escuela de sanidad de Sirasburgo, traducidos con notas por D. Luis Mexía, Cirujano en esta Corte: 2 tomes en 8.°: obra íítil á los eruditos, y a todas las personas que quieran conservar la salud: trata de la vida la salud y las fuerzas vivificantes, la</t>
  </si>
  <si>
    <t>Mexia, Luis María</t>
  </si>
  <si>
    <t>Luis María Mexia</t>
  </si>
  <si>
    <t>onservar la salud: escritos en francés por el ciudadano Esteban Tourtelle, traducidos con notas por D. Luis María Mexia , Cirujano de esta Corte: tomo i.° que trata de la vida, la salud y las fuerzas vivificantes: 2 tomos en 8.°: el 2.0 está en prensa, y se dará con la posible brevedad. Se hallará</t>
  </si>
  <si>
    <t>Meyer, Coronel</t>
  </si>
  <si>
    <t>Coronel Meyer</t>
  </si>
  <si>
    <t>de este mes á presencia de S. A. R. el Archiduque Carlos se ha hecho la primera prueba del plan del Coronel Meyer, del Regimiento dé Kcrpen, dirigido á acelerar la marcha de las tropas quando están en movimiento, de manera que se gane una considerable porción de tiempo. A la mañana siguiente</t>
  </si>
  <si>
    <t>Michaiud, Teniente General</t>
  </si>
  <si>
    <t>Teniente General Michaiud</t>
  </si>
  <si>
    <t>06. = Luis. Nimega 28 de Setiembre. Hoy ha marchado al campamento de Zeyst el General Dumonceau. El Teniente General Michaiud llegó ayer aquí , y desde luego tomó el mando de la vanguardia del exército que se junta en estas inmediaciones. Las tropas que le han de componer llegan diariamente, y en seguida</t>
  </si>
  <si>
    <t>Michaud, General</t>
  </si>
  <si>
    <t>General Michaud</t>
  </si>
  <si>
    <t>o que salga de Utrech el quartel general del exército del Norte , entrará en la misma ciudad el del General Michaud, Comandante de las tropas Francesas acantonadas ea esta República. • SUIZA.¡ t. ■ Basilea 13 de Marzo.. El Emperador Napoleón ha escrito lá carta siguiente al Land-Ammán de la Sui</t>
  </si>
  <si>
    <t>SS. MM. y muchas personas de distinción ; y ayer noche asistieron á igual función, dispuesta por el General Michaud en el pabellón Real de Maiiebaan. Hoy ha pasado revista S. M. á las tropas que hay en el Haya. Se hacen en Bois-le-Duc los preparativos mas brillantes para recibir á S. M. quando va</t>
  </si>
  <si>
    <t>olanda son dos Regimientos de infantería de línea y tres compañías de carabineros á las órdenes del General Michaud,. El General de división Monnet quedará mandando en Zelanda.. FRANCIA. Coblentza 2 3 de Julio. Ayer tarde llegó á esta, ciudad la Reyna de Holanda, y se alojó en la: casa de posta</t>
  </si>
  <si>
    <t>ist, que se compondrá de 16© hombres. Mandará estas tropas, baxo las órdenes inmediatas del Rey, el General Michaud. Las fronteras de la Frisia se hallan en el mejor estado de defensa. Las fortificaciones de Groninga y de Delfzyl se lian reparado y aumentado. Las tropas están muy animosas. Rote</t>
  </si>
  <si>
    <t>las tropas del Reyno están en movimiento para reunirse en el campamento deZeyst, que lo mandará el General Michaud, baxo las órdenes inmediatas del Rey. : ' * Esta mañana han presentado al Rey sus credenciales los Ministros de Dinamarca y de Portugal; y á las 2 de la tarde han salido de aquí l</t>
  </si>
  <si>
    <t>zas en el' mejor estado^de"defensa. ' •i*-; Se forma cerca de Wesel un exército de ioo© hombres. El General Michaud mandará la.vanguardja. C rciñviUé 8 'ele Üctlibre. Los Ingleses se dexáron ver ayer en nuestras costas, y anclaron cerca de las Islas de^Chaseyuna fragata, dos bergantines, y un -</t>
  </si>
  <si>
    <t>as gUaN iliciones de Hamdcn y cíe Nieuburgó. La vanguardia del exército del ÑorI te, mandada por el General Michaud, observa aquellas, guarniciones desde mas allí de Rinteln. El octavo cuerpo del exército grande, a las órdenes del Mariscal Mortier, se ha ¡untado con el exército del Norte, cerca</t>
  </si>
  <si>
    <t>Michaux, General</t>
  </si>
  <si>
    <t>General Michaux</t>
  </si>
  <si>
    <t>de la comisión Bátava en Francia. Los Diputados Goel y Six vendrán con S. M. el Rey de Holanda. El General Michaux, Comandante en gefe de las tropas Francesas, llegó también aquí ayer mañana acompañado de su Estado mayor, y de un numeroso destacamento de caballería. Los Generales Ciozel, Rouss</t>
  </si>
  <si>
    <t>Migúef García de la Madrid</t>
  </si>
  <si>
    <t>uien quisiere hacerla acuda ante el Sr. Alcalde de Corte EX. Mariano''Alonso, por lk escribanía5 de D. Migúef García de la Madrid; Por la* audiencia del Sr. D. Torquato Antonio Collado, Teniente Corregidor de esta villa, y escribanía que eXercióD. Gervasio Fernandez Izquierdo', fué rematada una casa sita en</t>
  </si>
  <si>
    <t>Miguei Gonzalo</t>
  </si>
  <si>
    <t>postura en 126$ rs. en vales. Quien quisiere hacer mejora á dichas casas acuda por la escribanía de D. Miguei Gonzalo. Por providencia del Sr. D. Torquato Antonio^ Gol lado, Teniente Corregidor de esta villa, y escribanía de D. Ramón de Mtíla Cuellar, se ha mandado volver á sacar á pública subast</t>
  </si>
  <si>
    <t>Miguel Gonzalo</t>
  </si>
  <si>
    <t>providencia dei Sr. D.Torquato Antonio Collado, Teniente Corregidor de esta villa, y escribanía de D. Miguel Gonzalo, se ha señalado el dia ro del corriente para el remate de dos casas sitas en la calle de la Encomienda, nútns. 9 y 10, manz. 63 , tasada la primera en 249,136^., y la segunda en 2</t>
  </si>
  <si>
    <t>a audiencia del Sr. D. Torquato Antonio Collado, Teniente Corregidor de esta villa, y escribanía de D. Miguel Gonzalo,, se ha señalado el dia 23 del corriente para el remate de dos casas.sitas en esta Corte: una en la calle de Atocha, mim. 10, manz. 237, tasada en 113,546 rs.; y otra en la calle</t>
  </si>
  <si>
    <t>ere hacerla acuda ante el Sr. Teniente Corregidor D. Torquato Antonio Coilado, por la escribanía de D. Miguel Gonzalo. Por providencia de D. Andrés Benito Quintana, Comisionado Regio para la venta de bienes eclesiásticos en la Diócesi de Calahorra y Santo Domingo de la Calzada, residente en la ci</t>
  </si>
  <si>
    <t>a audiencia del Sr. D. Torquato Antonio Collado, Teniente Corregidor de esta villa, y escribanía de D. Miguel Gonzalo, se cita, llama y emplaza á todos los que se consideren herederos de Felipe García, natural del lugar de S. Martin de Bercelos, Obispado de Lugo, que muiió eñ el hospital General</t>
  </si>
  <si>
    <t>rovidencia del Sr. D. Torquato Antonio Collado, Teniente Corregidor de esta villa , y escribanía de D. Miguel Gonzalo, se han mandado sacar á pública subasta 3 casas, sitas en esta Corte: una en la calle de la Cabeza, núm. 12, manz, 9, tasada en 83,325 rs.: otra en la calle de la Encomienda, núm.</t>
  </si>
  <si>
    <t>Miguelee, Cayetano</t>
  </si>
  <si>
    <t>Cayetano Miguelee</t>
  </si>
  <si>
    <t>e Pajáres* y en Barcelona en la de Sierra. » Arte de curtir, ó Instrucción general de curtidos, por D. Cayetano Miguelee. Se hallará en el despacho de la Imprenta Real, á 8 rs. en rústica y 12 en pasta. ' Descripción de los baños de Arnedillo, y análisis de sus aguas, por el profesor de Química D. P</t>
  </si>
  <si>
    <t>Miians, Francisco</t>
  </si>
  <si>
    <t>Francisco Miians</t>
  </si>
  <si>
    <t>cino de Granada, los hijos de D.‘Santiago Irrisarri, los herederos de D. Cirios y D. Josef Perez, y D. Francisco Miians, ha mandado su Señoría se les dé este aviso, por el que se les cita y emplaza, y á sus herederos por el expresado término; en la inteligencia de que pasado, sin mis citación ni em</t>
  </si>
  <si>
    <t>Miirat, Príncipe</t>
  </si>
  <si>
    <t>Príncipe Miirat</t>
  </si>
  <si>
    <t>tiuy de ;cerca el campamento de DlitiaT. ■Bonaparte envió en su seguimientó al Mariscal:Eannes;y al Príncipe Miirat con 12® hombres-escogidos devinfantería y .6® caballos. El Archiduque fué alcanzado en ^íordlingen; y ,pensó unicafnent^en^salvarse.: jSigúióle .parteder su^xército; la otra fue c</t>
  </si>
  <si>
    <t>Milagro, Juan Antonio</t>
  </si>
  <si>
    <t>Juan Antonio Milagro</t>
  </si>
  <si>
    <t>rcunstancias sean las mas propias por razón de la estación , y estado de la atmósfera para inxerir: D. Juan Antonio Milagro sobre los abonos sacados del reyno mineral 3 Sus especies y aplicaciones útiles en las varias circunstancias de los terrenos: D. Mariano Calvete sobre los bosques, dividiéndolos e</t>
  </si>
  <si>
    <t>Milhaud, General</t>
  </si>
  <si>
    <t>General Milhaud</t>
  </si>
  <si>
    <t>e; él mismo arrancó al bandolero Mayno la cruz de Oíicial de la Legión de Honor que’había robado ál General Milhaud, y la llevaba siempre puesta.”-__El 12 á las 9 de la noche fué quando sorprehendiéron á Mayno, que estaba solo; desde luego se subió al tejado para huir; pero le hiciéron fuego, y</t>
  </si>
  <si>
    <t>rgaron, de un Regimiento de húsares y de 2 de cazadores; y otro cuerpo de caballería mandado por el General Milhaud, que solo tiene 2 Regimientos de cazadores. 4.° El cuerpo del Mariscal Mortier, en lo interior de la Franconia, comprehende la división Gazan, un Regimiento de infantería ligera y</t>
  </si>
  <si>
    <t>heniohe, y el 1miente Coronel Guillarme, del Regimiento, Ig de cazadores á caballo,, en 'nombre del General Milhaud } Comandante de la caballería de vanguardia-¡ y por orden de S. A. I. el Gran Duque de Berg y dé Clevés. artículo 1. La coluna cortada por la caballería del General Milhaud, y que</t>
  </si>
  <si>
    <t>aupetií. Passewalk á 29 de Octubre de 1806.=Firma •* do, Guillaume y Hagei.=Visto y aprobado por el General Milhaud..^De érden del Gran Duque de Bergaprobada la presente capitulación, para que sea executada.=: Firmado, Béliard, General en gefe del Estado mayor general. =rLoknitz á 29 de Octubre</t>
  </si>
  <si>
    <t>de Octubre. Stettin ha capitulado. Mientras que la izquierda del Gran Duque de Berg, mandada por el General Milhaud, hacia rendir las armas á una coluna de 6© hombres en Passewalk; la derecha, á las órdenes del General Lasalle, intimaba á la ciudad de Stettin que se rindiese baxo la capitulació</t>
  </si>
  <si>
    <t>e Berg HegL el 27 á Hasleben con una división de dragones, habiendo ántes enviado á B itzcmburgo al General Milhaud con el 13 Regimiento de caza lores, yá Prentzlow con la brigada de caballería ligera al General Lasalle. Informado- el Gran Duque de qiie el enemigó se había hecho fuerte en Boitz</t>
  </si>
  <si>
    <t>ipe de Hoheniohe y á sus 17® hombres; el 29 una coluna enemiga de 6© hombres capituló en .manos del General Milhaud. (Véase la capitulación al fin de este diario. ) Con esto tenemos 2© caballos mas con sus arreos y armas; de modo que después de haber remontado toda su caballería) todavía le que</t>
  </si>
  <si>
    <t>MilhaudX, General</t>
  </si>
  <si>
    <t>General MilhaudX</t>
  </si>
  <si>
    <t>t,. Klein y Becker, de la división de coraceros del General Nansouty, y de la caballería ligera del General MilhaudX__«El Príncipe Gerónimo sitia á Gros-Glogau con la división de los aliadosel. tren dé sitio se ha fcrmadp en Custrin ; una. de. sus divisiones cerca á Breslauy él'toma posesión de</t>
  </si>
  <si>
    <t>Millot</t>
  </si>
  <si>
    <t>guas, por D. A. C. B.: nuevos medios de conservar la vida á los niños que nacen prematuramente, por Mr. Millot; noticia sobre la planta llamada bella dama, por Mr. Willemet; método para adquirir harinas; sin necesidad de granos, por Mr. Abraham Undredown; romance, á C., por D. M. B. G. S.;</t>
  </si>
  <si>
    <t>Mimo, Lord</t>
  </si>
  <si>
    <t>Lord Mimo</t>
  </si>
  <si>
    <t>Laüderdale ,l Gobernador de la India’ por la1 Cómpíáñí&amp;, lós Ministros1 sé han decidido‘á nombrar á Lord Mimo para este empleo. Los Directores han confirmado ayér este nombramiento en la junta que han tenido, y en la misma han decretado se detrgraísias á 'Sir Jorge -Barlow y á Lord Lake-</t>
  </si>
  <si>
    <t>Ministro Americano</t>
  </si>
  <si>
    <t>ericana de i.° de Marzo dice haber recibido el Gobierno noticias de Mr. Monroe, Ministro Americano en Londres, que anuncian</t>
  </si>
  <si>
    <t>Ministro Austríaco</t>
  </si>
  <si>
    <t>fort 31 de Marzo. Escriben de Viena que ya no irá el Conde de Elz á España cómo Ministro Austríaco, sino el Conde de Metternich-Winneburgo, el hijo, que ántes fué Ministro de Austria én Berlín. Aunque han sido considerables las mudanzas acaecidas en la Alema</t>
  </si>
  <si>
    <t>levarlo al trono de Polonia. Maneé alta mente repos tumi El Conde de Meerfeidt, Ministro Austríaco, sufre unos desayres todavía mayores. Muchas personas de distinción no le han pagado la visita, que á algunas se la ha hecho dos veces. El Conde Orloíf ha mand</t>
  </si>
  <si>
    <t>ia. Parece que no se han terminado todavía estas negociaciones, y que pasará ®n Ministro Austríaco al quartel general Francés en Berlin. El Gabinete de Viena está muy ocupado; aun no ha tomado determinación definitiva sobre el exército reunido en Bohemia y G</t>
  </si>
  <si>
    <t>Ministro Austríacos</t>
  </si>
  <si>
    <t>mania &amp;c. El General Francés Mr. Andreosi tiene freqüentes conferencias con los Ministros Austríacos, y de quando en qúando, hacé algunos viages á Hungría i con el objeto de que esten, bien provistas las tropas Francesas que hay en Dalmacia. Sin embargo de hal</t>
  </si>
  <si>
    <t>Ministro Británico</t>
  </si>
  <si>
    <t>ocia-rcion conPrusia. El número i.° contiene un despacho de Mr. James Jackson,: Ministro Británico en Berlin , incluyendo una carta del Barom de PIardem-; berg coniecha de 23 de.Enero , en que le participa; haberse estipulado , pa-* xa, la seguridad del norte</t>
  </si>
  <si>
    <t>Ministro Conde</t>
  </si>
  <si>
    <t>, que se celebran muchos: Consejos de Estado y reiteradas conferencias entre el Ministro Conde de ■» Berastorff y los Enviados de Suecia y de Inglaterra. Parece que el Gabine-;</t>
  </si>
  <si>
    <t>Ministro Condé de Hardehberg</t>
  </si>
  <si>
    <t>ital Mr. Steube, Ministro del Rey de^Wurtembérg cerca de la Corte de Rusia.” El Ministro Condé de Hardehberg ha hecho saber por medio de una circular dirigida á los comerciantes Prusianos, que ya estkn renovados los vínculos de paz y amistad entré la Prusia y las demá</t>
  </si>
  <si>
    <t>Ministro Conde Francisco de Cor</t>
  </si>
  <si>
    <t>de Marzo murió de una fiebre agudísima, y después de pocos dias de cama, el ex-Ministro Conde Francisco de Cor lloredo. En los 6 grandes establecimientos para remedio de los enfermos que presenta aquella ciudad, se han socorrido con auxilios medicinales 23,579 personas,</t>
  </si>
  <si>
    <t>Ministro Directoría</t>
  </si>
  <si>
    <t>En la;sesión:que hoy ha celebrado la Dieta lia dgdonpuenta el Bároit de Albiní, Ministro Directoría!, de las reclamaciones de-ílaJOrden Teutdnica9 y de la de S. Juan de Jerusaleri,’y del Cantón de' la; Orden: E^iiessrre: del líraichgau, contra los procedimien</t>
  </si>
  <si>
    <t>Ministro Directorial</t>
  </si>
  <si>
    <t>disposiciones referidas: la copia de una carta dirigida por el Barón de Albini, Ministro Directorial, comunicando á la Dieta Germánica el nombramiento de coadjutor que S. A. el Elector Archi-Canciller babia hecho en la persona del Cardenal Fesch ; los dos nomb</t>
  </si>
  <si>
    <t>Ministro Electoral</t>
  </si>
  <si>
    <t>et irá baxo sus órdenes. Mr. Durand, Enviado de Francia en Dresde, ha pasado al Ministro Electoral una Nota con motivo de la entrada de las tropas Prusianas en Saxonia, y en seguida ha pedido sus pasaportes. Ya estará en camino de Maguncia. Wurizburgo i.° de</t>
  </si>
  <si>
    <t>Ministro Electoral de Brunswick-Luneburgo</t>
  </si>
  <si>
    <t>corto número para causar sobresalto á la Corte de Berlín. El Barón de Ompteda, Ministro Electoral de Brunswick-Luneburgo cerca de la Corte de Sgxopig, ha tenido una audiencia del Elector, en la qual ha presentado á S. A. S. sus credenciales. El ii del corriente llegaron ú Augsbur</t>
  </si>
  <si>
    <t>Ministro Electoral de Estado</t>
  </si>
  <si>
    <t>una: nueva-invasión de los Franceses. La protesta hecha:con este motivo por mv.Ministro Electoral de Estado fué sin. efecto. El Rey de Prusia jhizo ocupar- la mayor parte del Electorado encLmomento en que.misi tropás.se reembarcaban; yestasdiáposieibnes 'serexeciitár</t>
  </si>
  <si>
    <t>Ministro Gomiciales de los Erírt</t>
  </si>
  <si>
    <t>la Dieta una declaración de mancomún á nombre de sus Soberanos respectivos los Ministros Gomiciales de los Erírt</t>
  </si>
  <si>
    <t>Ministro Hannoveriano</t>
  </si>
  <si>
    <t>39° de____El Barón de Ompteda, Ministro Hannoveriano cerca de nuestra Corte, ha salido también para Dresde, en donde aguardará las órdenes ulteriores. del Rey de Inglaterra. El Emperador Alexandro ha mandado á su</t>
  </si>
  <si>
    <t>Ministro Holandés</t>
  </si>
  <si>
    <t>avios que hay en las radas de Helvoet-Sluis y de Fiesinga. Mr. Dedem de Geider, Ministro Holandés cerca de la Corte de Berlín , ha llegado al Haya, y también el General Daendels. Estos dias últimos llegaron á Zwolle muchos barcos cargados de municiones de g</t>
  </si>
  <si>
    <t>Ministro Ingles</t>
  </si>
  <si>
    <t>ALEMANIA. Hamburgo 16 de Abril. El sábado pasado, 12 del corriente, recibió el Ministro Ingles en esta ciudad un correo, que á poco rato siguió su camino para Berlin, y al mismo tiempo salió otro despachado para Copenhague. Creemos que esta freqiiencia de</t>
  </si>
  <si>
    <t>Pronto saldrá, de Ratisbona, y regularmente no volverá mas, el Barón de Reden , Ministro Ingles cerca de la Dieta Germánica. Mr. Becker, Consejero de Gotha, ha exhortado á todos los Directores de los teatros de Alemania para que le remitan el producto de</t>
  </si>
  <si>
    <t>ico de Deal, en que se anuncia la llegada de un correo con la noticia de que el Ministro Ingles saldría de París el dia 9. La fragata Clyde tenia orden de pasar á la costa de Francia á tomarle á bordo. El Corregidor pasó inmediatamente este aviso á los su</t>
  </si>
  <si>
    <t>con el grande sufrimiento de su Ministerio , á pesar de la poca formalidad del Ministro Ingles: pues no quiso sacrificar á qiiestiones nimias y de pura etiqueta ni aun Ja esperanza mas remota de un convenio entre ámbas Potencias. „Con .todo, al mismo tie</t>
  </si>
  <si>
    <t>Ministro Ingles Mr</t>
  </si>
  <si>
    <t>¡IpgteSft Mrl Ricli de no haber sidoiaduútida áií^ delib^acjoné? 4o' k Dieta eí Ministro Ingles Mr. Hilí. ;r ¡r rr.n r.r:* /; : 1= c-rír-co ., . Hoy es&gt; regular que llegue aquí S. Erna. Monseñor Genga y Nuncio Apostólico i ayer llegó el Conde de Tronni. ,r .</t>
  </si>
  <si>
    <t>Ministro Ingleses</t>
  </si>
  <si>
    <t>2If Negocio* extrangeros, lia sido escribir á los Ministros Ingleses en las Cortes extrangeras participándoles la mudanza de Ministerio, y el deseo que tiene de contribuir en quanto pueda al restablecimiento de la paz en Üqropa. M</t>
  </si>
  <si>
    <t>a exclusión perpetua de los Ingleses de todos los puertos déla Europa------ Los Ministros Ingleses, Rusos y Sardos, y un puñado de descontentos de todos los países habian elegido á Roma por centro de sus, tramas; el Emperador demandó que fuesen echados, y qu</t>
  </si>
  <si>
    <t>El tratado de paz puede tener muchos obstáculos para concluirse; mas quandó los Ministros Ingleses tiendan la vista por el Continente, deben ver que no pueden esperar ninguna diversión,y que por consiguiente la guerra no les ofrece ya ninguna mudanza favorab</t>
  </si>
  <si>
    <t>Ministro Laforest</t>
  </si>
  <si>
    <t>, Kleist y otros varios. Escriben de Leipsick que aunque ha salido de Berlín el Ministro Laforest, permanecerán allí por algún tiempo Mrs. Caillard y Cajard, Secretarios de la l egación Francesa. Todos los dependientes de la Secretaría de Negocios extranger</t>
  </si>
  <si>
    <t>Ministro Mr</t>
  </si>
  <si>
    <t>vuelva á ocupar su empleo de Gobernador del Austria Inferior. Parece que el ex-Ministro Mr. el Barón de Thugut ha presentado al Emperador un plan nuevo de rentas muy preferible á todos los proyectos presentados hasta ahora. La guarnición de esta capi</t>
  </si>
  <si>
    <t>Príncipe armado después de la declaración que se había entregado en París ¿ su Ministro Mr. de Malsbourg, cuyo contenido era en substancia, que el menor armamento seria mirado !como un acto de hostilidad, no solo habían violado su territorio los Prus</t>
  </si>
  <si>
    <t>Ministro Otomano</t>
  </si>
  <si>
    <t>esidente del Consejo de la Guerra el General de Felgenhauen. Mr. de Argiropolo, Ministro Otomano cerca de nuestra Corte, ha tenido y a*su primera audiencia del Conde.de Haugwitz, Ministro de Gabinete. S. M. ha mandado que en 9 de Mayó próximo, dia aniversa</t>
  </si>
  <si>
    <t>obiernos; y de resultas del convenio efectuado entre el Embaxador de Rusia y el Ministro Otomano, la Legación Rusa podrá arreglar los asuntos comerciales, de concierto con el Almirantazgo de esta capital.” f ¿ Mr.de Nowosiltzolf ha conseguido su dimisión d</t>
  </si>
  <si>
    <t>Ministro Otomanos</t>
  </si>
  <si>
    <t>evas propuestas á la Puerta relativas á la renovación de ciertos convenios. Los Ministros Otomanos han dado una respuesta negativa, declarando que la Sublime Puerta no quiere contraer empeños contrarios al sistema dé neutralidad absoluta, en el qual ha de pe</t>
  </si>
  <si>
    <t>lenipotenciario de los Beyes que está £quí ha entrado ya en negociación con los Ministros Otomanos, quienes manifiestan disposiciones favorables para una composición amistosa. Parece 'cierto que la Puerta consentirá en restituir á los Beyes todas las preroga</t>
  </si>
  <si>
    <t>Ministro Pleiiipontenciarió</t>
  </si>
  <si>
    <t>ar la paz entre ambos Estados. „ Informado de todo el Emperador, .nombró por su Ministro Pleiiipontenciarió al General Mr¿ Clarcke, Consejero de Estado, Secretario de Gabinete, dándole poderes iguales-á los de Mr. d’Oubril, para tratar, ajustar y firmar la paz con el</t>
  </si>
  <si>
    <t>Ministro Plenipotenciario</t>
  </si>
  <si>
    <t>el; á Mr. G. Branzen Maestro mayor de ceremonias; al Teniente General Dumonceau Ministro Plenipotenciario cerca del Emperador Napoleón; al Teniente General Noguez Ballestero mayor; al Coronel Broc Mayordomo</t>
  </si>
  <si>
    <t>os en Alemania. . . :: : ■ ,,S. M. Prusiana ha nombradó á Mr; de Humboldt: su 1 Ministro Plenipotenciario en Ñapóles.!También ha nombrado Ministros cerca dei Rey de Holanda y del Gran Duque de Cleves. y de Rerg; . ' 5» El Emperador'de Austria ha reconocido igualmente</t>
  </si>
  <si>
    <t>los Estados-Unidos Americanos y la Gran Bretaña.—. El Doctor Erskioe, nombrado Ministro Plenipotenciario al Congreso de los Estados-Unidos Americanos, lia salido el jueves pasado para su destino. El mismo dia salió Mr. Graham con una comisión para la Corte de Lisb</t>
  </si>
  <si>
    <t>nistro de Negocios extrangeros ha notificado á nuestro Enviado extraordinario y Ministro Plenipotenciario, que el Rey su amo reconocia la Confederación del Rhin, y que no tenia el menor reparo que poner al arreglo efectuado en el mediodia de Alemania. ¿Los armament</t>
  </si>
  <si>
    <t>Ministro Plenipotenciario de la Orden de Malta</t>
  </si>
  <si>
    <t>res 4© florines, y 1200 á los barrios de Pfuhl y Gffenhausen. El Conde de Arco, Ministro Plenipotenciario de la Orden de Malta cerca de la Corte de Munich, al pasar por Ulma, quando iba á Stuttgardt, envío á los Magistrados 300 florines para que se distribuyesen á los pobres mas necesi</t>
  </si>
  <si>
    <t>Ministro Plenipotenciario de Prusia</t>
  </si>
  <si>
    <t>ha pasado de incógnito por esta ciudad; vuelve á Inglaterra con el carácter de Ministro Plenipotenciario de Prusia. Los Gabinetes de Londres y de Berlín parece que tácitamente caminan de común acuerdo; y es verosímil que ya tendrán ajustado el tratado de paz, baxo la mediac</t>
  </si>
  <si>
    <t>Ministro Plenipotenciario del Rey de Dinamarca</t>
  </si>
  <si>
    <t>del puerto Prusiano de Swinemunda, á fin de dexarla cegada. El Barón de Eyben, Ministro Plenipotenciario del Rey de Dinamarca en el Círculo de Saxonia la Inferior, ha comunicado de oficio i nuestro Senado el matrimonio del Príncipe Cristiano Federico de Dinamarca con Ja Princesa Carlota</t>
  </si>
  <si>
    <t>Ministro Plenipotenciario del Rey de Prusia</t>
  </si>
  <si>
    <t>Prusiana. En esta audiencia presentó el Marques sus credenciales en calidad de Ministro Plenipotenciario del Rey de Prusia, cerca de 5. M. el Emperador, como Rey de Italia. Escriben del Havre que el 5 de Abril por la; mañana se botó al mar la nueva fragata la Vénus de 44 cañones, y</t>
  </si>
  <si>
    <t>Ministro Plenipotenciarios de las Potencias</t>
  </si>
  <si>
    <t>ue vencer y nuevas perfidias que, castigar. La mayor parte de los Embaxadores y Ministros Plenipotenciarios dé las Potencias extrangeras cerca del Emperador, han marchado ó deben marchar á Maguncia. El General de KnobelsdorfF, Ministro Plenipotenciario de S. M. Prusiana, ha salido de P</t>
  </si>
  <si>
    <t>Ministro Prusiano</t>
  </si>
  <si>
    <t>ión de ?toda a^tqríflad, extran^ gera. Ebdespáchó. dirigido én 2jy* de Enero át Ministro Prusiano,.¡y cuyo objeto era justificar su proceder, fué firmado de mano del Rey: concluía en estos términos. „ Creo inútil probar lo satisfechos, que estos países debe</t>
  </si>
  <si>
    <t>y pacífico. Tampoco pueden mirarse como la obra de sus Ministros, porque ningún Ministro Prusiano,. si fuese libre en manifestar su sentir, podía aconsejar procederes tan violentos y tan contrarios á los intereses de su Soberano. Si se consideran estas prov</t>
  </si>
  <si>
    <t>Ministro Prusiano Barón</t>
  </si>
  <si>
    <t>lgunas familias extrangeras que habían huido al comenzarse las hostilidades. El Ministro Prusiano Barón* de Brockhause» permanece todavía en esta ciudad. Los Enviados Ruso é Ingles salieron luego que las tropas confederadas entraron, y han pasado- a Toeplitz en B</t>
  </si>
  <si>
    <t>Ministro Prusiano Conde de Schuleaburgo</t>
  </si>
  <si>
    <t>ha tomado de resultas de una proclama, dada el 28 del pasado en Hannóver por el Ministro Prusiano Conde de Schuleaburgo, en la qual se dice que la entrada del Weser, del Eiba y de los puertos del mat del Norte está prohibida á los buques Ingleses. Ya habíamos advertido en la sem</t>
  </si>
  <si>
    <t>Ministro Prusianos</t>
  </si>
  <si>
    <t>n del General Bar bou , cu-¡ yo objeto es evidente, el de vigilar y dirigir los Ministros Prusianos...../La Francia trata á la Prusia con la poca ceremonia que se merece. . - .■ j „ ¿Y no es en efecto una especulación vergonzosa.aquella en que; con* vienen en</t>
  </si>
  <si>
    <t>evantado indignado, al saber la capitulación vergonzosa que nos propusieron los Ministros Prusianos, cagados por su delirio. Lo* caminos y ciudades fronterizas de nuestro Imperio están llenas de conscriptos, que arden en deseo de seguir vuestras huellas. Ya n</t>
  </si>
  <si>
    <t>Ministro Residente de la Corte de Ru</t>
  </si>
  <si>
    <t>mania y de la Europa. BAVIERA. Munich j) de Mayo. Ayer salid de esta capital el Ministro Residente de la Corte de Ru‘ia. Era el único que había quedado de todos, los individuos de laEtnbaxada de aquella Potencia. Este acaecimiento destruye casi del todo la noticia que se habi</t>
  </si>
  <si>
    <t>Ministro Ruso</t>
  </si>
  <si>
    <t>berg, y al momento ha despachado ufi Correo á Pétersbiirgo coto ésta noticia el Ministro Ruso que hay en Berlín. GRAN BRETASA. : ^ Lándr€tGdc AMk ¡ -i • En la Gaateta de la Corté del 24 de Marzo se ha publicado el cilicio siguiente dei Almirantazgo ¿con</t>
  </si>
  <si>
    <t>r el país de Lauenburgo. El Rey ha venido en ello ; y luego que ha regresado el Ministro Ruso, han recibido orden de volverse á sus guarnic iones respectivas los Regimientos que componían los cuerpos de exército de los Generales Conde de’Kalkreuth y de</t>
  </si>
  <si>
    <t>eva Constitución de Alemania. Luego que reciba los plenos poderes necesarios el Ministro Ruso que hay en Berlín, acabarán de arreglarse tan importantes mudanzas, cuyo proyecto ha llevado á Petersburgo el Consejero de Estado Mr. de Oubril. Dícese que la</t>
  </si>
  <si>
    <t>erar una autorización, y con este fin dio cuenta á su Corte de la solicitud del Ministro Ruso. Tuvo orden idef dar /¿inmediatamente pasaportes á Mr. d’Oubril: pues aun que el Emperador haya estado siempre resuelto á,no sufrir que la Rusia se mezclase im</t>
  </si>
  <si>
    <t>Ministro Ruso Mr</t>
  </si>
  <si>
    <t>as evoluciones y maniobras al estilo europeo. El Reis-Effendi ha hecho saber al Ministro Ruso Mr. Italinsky que la Sublime Puerta no ha podido mirar con indiferencia la conducta de los Montenegrinos, sus vasallos, en la ocupación de Cáttarof en donde hicid</t>
  </si>
  <si>
    <t>Ministro Rusos</t>
  </si>
  <si>
    <t>ificar el tratado de paz ajustado en París el 20 de Julio. Parece que todos los Ministros Rusos, acreditados en Alemania , van esparciendo con profusión una Nota recibida de Petersburgo, en la qual intenta la Corte de Rusia justificar este paso que acaba</t>
  </si>
  <si>
    <t>Ministro Schuíenbourg</t>
  </si>
  <si>
    <t>udad, comunicaba al enemigo los movimientos dé los Francesés.Su muger, hija del Ministro Schuíenbourg, filé á echarse á los pies de S. M. 1.^, creyendo que su maridó es1taba preso de resultas del odio que dicho Ministro profesaba á los Franceses ; pero el Emper</t>
  </si>
  <si>
    <t>Ministro Sueco</t>
  </si>
  <si>
    <t>a posesión el Comisionado Prusiano Mr. de Magler. Dícese que el Barón de Reden, Ministro Sueco en la Dieta general del Imperio, saldrá muy pronto de Ratisbona. El Reyno de Suecia, inclusa la Pomerania, tiene 3.770® habitantes. El exércitode tierra, inclusa</t>
  </si>
  <si>
    <t>el yugo de la opresión ; obedecen ú las leyes sin necesidad de gendarmes ; y el Ministro Sueco tiene luces muy cortas y muy poca experiencia, si piensa que sea posible ocultar sucesos de bastante entidad para influir en los asuntos políticos del mundo. £</t>
  </si>
  <si>
    <t>Ministro Togadodel Supremo Consejo de Indias</t>
  </si>
  <si>
    <t>diencia de Quito, vacante por promoción del Sr. D. Francisco Ignacio Cortones á Ministro Togadodel Supremo Consejo de Indias, á D. Pedro Antonio Cernadas, Oidor de la del Cuzco, y para esta resulta ¿ D. Pedro Mariano Goyoneche y Barreda, Abogado-de la Audiencia de Lima, Asesor del Co</t>
  </si>
  <si>
    <t>Minto, Lord</t>
  </si>
  <si>
    <t>Lord Minto</t>
  </si>
  <si>
    <t>ec-cion. ’ " • GRAN BRETAÑA. Londres ij de Jurihí . . - La voz que ha corrido &lt;ter nombramiento "dé Lord Minto al Gobierno de lá India no tiene el menor fundamento. La Junta de Directores ha representado contra la.disposición del Gabinete acerca de retirar á Sir G. Barlow; pero no ha hecho</t>
  </si>
  <si>
    <t>untos de la India. Preguntó si existia ahora un Gobierno general en aquel pais,:y cómo se componía. Lord Minto respondió que existía todavía el mismo Gobierno que en tiempo de la muerte del Marques de Cornwallis; que había S. M. tenido por conveniente suspender la comisión, lo que era conf</t>
  </si>
  <si>
    <t>anual de 4® libras esterlinas. Estas rentas se asegurarán y transferirán á los fondos consolidados. Lord Minto ha sido nombrado ai Gobierno general de la India, á cuyo destino pasará quanto antes.__ Lord Lauderdale sucede al Duque de (Sordon en el empleo de Guarda del Gran Sello de Escocia</t>
  </si>
  <si>
    <t>mas pronto de mejorar los caminos para acrecentar el tráfico. _ GRAN BRETAÑA. Londres 19 de Julio. Lord Minto se halla ya en Spithead con su familia pronto á embarcarse para la India. Le acompañarán varios Oficiales generales: entre otros se cita al General Póster. También se dice que se</t>
  </si>
  <si>
    <t>Mintó, Lord</t>
  </si>
  <si>
    <t>Lord Mintó</t>
  </si>
  <si>
    <t>rte William en Bengala, y sucesor eventual del Gobernador en caso de muerte, dimisión o ausencia de Lord Mintó. El Rey ha nombrado al Conde de Lauderdale, de su Consejo privado: á Mr. David Erskine, Ministro plenipotenciario á los Estados-Unidos de América: á Mr. II. Grey, Comandante de la</t>
  </si>
  <si>
    <t>Miollis, General</t>
  </si>
  <si>
    <t>General Miollis</t>
  </si>
  <si>
    <t>dia. Desde luego se dirigieron á la plaza de S. Marcos, en donde formadas en quadro, hallándose el General Miollis en su centro, se leyó la proclama siguiente: „ Venecianos, vosotros hacéis parte del Reyno de Italia. Teneís por garante de vuestra suerte venturosa la suerte de Napoleón el Grande,</t>
  </si>
  <si>
    <t>El Mariscal Massena, General en gefe, se ha dirigido también hacia Albano. Vene cía 2$ de Enero. El General Miollis ha convocado los principales negociantes de Venecía , y les ha propuesto que le comuniquen sus votos y sus ideas sobre los medios de regenerar ei comercio y de restablecer sobre t</t>
  </si>
  <si>
    <t>Mir, Miguel</t>
  </si>
  <si>
    <t>Miguel Mir</t>
  </si>
  <si>
    <t>comercio fomenta la agricultura y artes, y aumenta prodigiosamente la cantidad de sus producciones: D. Miguel Mir, de segundo, combatir por medio de empréstitos es una operación ventajosa á las naciones florecientes, que han llegado al colmo de su riqueza, y ruinosa á las que empiezan á engra</t>
  </si>
  <si>
    <t>Miranda, Antonio</t>
  </si>
  <si>
    <t>Antonio Miranda</t>
  </si>
  <si>
    <t>: á Subtenientes de granaderos de los de Guadix, Santiago y Tuy á los de fusileros D. Juan de Isla, D. Antonio Miranda y D. Josef Benito Barbeyto; y á Subtenientes de bandera de los de Avila, Guadix, Lugo, Ciudad-Real y Murcia á D. Francisco Xavier Alaría de Alexo, D. Vicente Gómez de Mercado , D. Ram</t>
  </si>
  <si>
    <t>Miranda, Francisco</t>
  </si>
  <si>
    <t>Francisco Miranda</t>
  </si>
  <si>
    <t>mpreso en la memoria todo lo que este tan útil Abeceda* rio en sí encierra; compuesto y grabado por D. Francisco Miranda; Se hallará en las librerías de Hurtado , calle de las Carretas, de.Drea, calle de la Montera., y de Villa, plazuela de Santo Domingo, .Carta de Safo á Faon&gt; heroida xn y última d</t>
  </si>
  <si>
    <t>Mocencos, Francisco Xavier</t>
  </si>
  <si>
    <t>Francisco Xavier Mocencos</t>
  </si>
  <si>
    <t>gual documento á D. Miguel Alvarez y Neyra, á Don Cleto Félix de Eguizabal y á D. Juan Merino Diez. D. Francisco Xavier Mocencos, vecino de la villa de Molina de Aragón, remitió por el correo en 6 de Mayo de este año, con su firma, en blanco, y dirección á Doña Micaela de S. Francisco, Abadesa del Convento</t>
  </si>
  <si>
    <t>Modesto del Corral</t>
  </si>
  <si>
    <t>ficios enquanto tengan relación con ella, y los medios mas directos y eficaces de perfeccionarla.__ D. Modesto del Corral pronunció otro discurso, y el Dr. D. Manuel María Reconco, primer Médico titular de esta ciudad, una oda alusiva á los objetos^del día; concluyéndose la sesión con el tierno place</t>
  </si>
  <si>
    <t>MoeIlendorf, Mariscal</t>
  </si>
  <si>
    <t>Mariscal MoeIlendorf</t>
  </si>
  <si>
    <t>campamentos, creyendo que era de su nación. El Rey de Prusia intenta penetrar hasta Magdehurgo. El Mariscal MoeIlendorf está muy enfermo en Erfurth : el Gran Duque de Berg le ha enviado su Médico. Nuestros puestos han divinado varias veces a la Reyna de Prusia; la quai, la víspera de la batalla, pasó</t>
  </si>
  <si>
    <t>Moéliendorff, Mariscal</t>
  </si>
  <si>
    <t>Mariscal Moéliendorff</t>
  </si>
  <si>
    <t>gran Consejo de Guerra, al qual han asistido ios Príncipes sus hermanos, el Duque de Brunswick, el Mariscal Moéliendorff, los Generales Ruchel, Kalkreuth, Bluchel, Kleist y otros varios. Escriben de Leipsick que aunque ha salido de Berlín el Ministro Laforest, permanecerán allí por algún tiempo Mrs.</t>
  </si>
  <si>
    <t>Moellendorff, Mariscal</t>
  </si>
  <si>
    <t>Mariscal Moellendorff</t>
  </si>
  <si>
    <t>cckesihi'zzZastro'iv: En muchos periódicos: de esta capital se habia anunciado que' había muerto el Mariscal Moellendorff de resultas de las heridas que recibió en lá batalla de Jena. Esta noticia la desmienten las cartas de Berlín , pues nos dicen que aquel respetable* militar había; llegado á aquella</t>
  </si>
  <si>
    <t>MoellendoríF, Mariscal</t>
  </si>
  <si>
    <t>Mariscal MoellendoríF</t>
  </si>
  <si>
    <t>s y heridos, 6c® prisioneros, 300 cañones, y mas de 50 banderas. El Príncipe heredero de Orange, el Mariscal MoellendoríF y otros muchos Generales se cuentan en el número de los prisioneros.__ El Rey de Prusia ha pedido un armisticio de algunas semanas, y se le ha negado. (Gazeta de Francia.) Se dice e</t>
  </si>
  <si>
    <t>Moellendoríf, Mariscal</t>
  </si>
  <si>
    <t>Mariscal Moellendoríf</t>
  </si>
  <si>
    <t>ometía un irán yerro. Los que se han apartado de los parciales de la guerra son el respetable Feld- Mariscal Moellendoríf y eíGeneral Kalkreuth. Corre por cierto que después de la famosa carga de los Regimientos 9 y 10 de húsares Franceses en Saalfeld, dixo el Rey: „ Decíais que no valía nada la caballer</t>
  </si>
  <si>
    <t>Moellendortif, FeldMariscal</t>
  </si>
  <si>
    <t>FeldMariscal Moellendortif</t>
  </si>
  <si>
    <t>s es inmenso en el exército Prusiano, pues se cuenta que ha habido mas de 2©$ muertos ó heridos. El FeldMariscal Moellendortif salió herido; el Duque de Brunswick y el General Ruchel fueron muertos, y el Príncipe Henrique de Prusia gravemente herido. Según dicen los prisioneros, los desertores y los parla</t>
  </si>
  <si>
    <t>Mohr</t>
  </si>
  <si>
    <t>de Lucerna, en donde el Consejo menor ha creado una dirección de los estudios puesta al cuidado de Mr. Mohr, Ministro que fué del Departamento de la instrucción pública, y de varios profesores igualmente recomendables por su ciencia y por su buena conducta. En el Cantón de Zurich se ha</t>
  </si>
  <si>
    <t>Moiiendorff, Mariscal</t>
  </si>
  <si>
    <t>Mariscal Moiiendorff</t>
  </si>
  <si>
    <t>mpaña del Rey saldrían el 2 al 3. El dia que el Rey debe ponerse en marcha no se habla señalado. El Mariscal Moiiendorff no se separa del lado de S. M. Se asegura generalmente, de dos dias á esta parte, que se han dad® órdenes para que permanezcan las tropas,Francesas en Alemania y que las. que se h</t>
  </si>
  <si>
    <t>Moira, Lord</t>
  </si>
  <si>
    <t>Lord Moira</t>
  </si>
  <si>
    <t>nsejo el General Moore. Lord Hutchinson sucede á Sir David Dundas en el mando del distrito del Sur. Lord Moira mandará desde el Támesis hasta el Humber en la provincia de Yorck. Los avisos despachados á las Antillas por el Almirantazgo han llevado la noticia de la próxima llegada de una es</t>
  </si>
  <si>
    <t>hora providencias convenientes , podría suceder que la Gran Bretaña se hallase en el mayor apuro.__ Lord Moira desaprobó la propuesta de Lord Stanhope, por quanto era muy propia para dar inquietud y hacer temer una carestía , que hasta ahora no habia ninguna razón de rezelar. Lord Hawlani ase</t>
  </si>
  <si>
    <t>Móira, Lord</t>
  </si>
  <si>
    <t>Lord Móira</t>
  </si>
  <si>
    <t>a engrandecerse, descuida los que le hubieran grangeado el afecto de sus aliados (4). ¡ ¡. . ^ • .. Lord Móira asiste algunos dias ha á la Secretaria .de Negocios extrangeros , con cuya dirección corre en el dia. El Conde de Fitz*-Williams y. Lord Holland son las únicas personas á quienes</t>
  </si>
  <si>
    <t>Molina Fernández de la Peña, Francisco</t>
  </si>
  <si>
    <t>Francisco Molina Fernández de la Peña</t>
  </si>
  <si>
    <t>n -á metálico. Quien quisiere mejorarla lo exccutará por la escribanía de la comisión que desempeña D. Francisco Molina Fernandez de la Peña; en la inteligencia de que se ha señalado el dia 24 del corriente para su remate. * - 1 . . i 1 1 ;. * ‘ ;' i Dictamen sobre el plan propuesto para la oposición al Magisterio deCá</t>
  </si>
  <si>
    <t>Molitor, General</t>
  </si>
  <si>
    <t>General Molitor</t>
  </si>
  <si>
    <t>^escribió la carta á los Oficiales del Regimiento de Thurn, el Cornisa^ rio general dirigió otra al General Molitor dándole cuenta que una.multitud de Montenegrinos por tierra, y una esquadra Rusa intimáron la rendición de las fortalezas en un término muy corto, á cuya intimación tuvto que cede</t>
  </si>
  <si>
    <t>rlas, y la exportación ó la venta no podrá realizarse sin permiso de las Autoridades superiores. El General Molitor, Comandante de las tropas Francesas en Dalmacia, lia dado cuenta ai Virey de Italia que el 29 de Abril un navio y "muchos bricks Rusos , mandados por el Almirante Biely, se presen</t>
  </si>
  <si>
    <t>Mollendorf, General</t>
  </si>
  <si>
    <t>General Mollendorf</t>
  </si>
  <si>
    <t>os extraordinarios que, ocurran* La precipitada salida del Teniente Coronel Kreuzeinark, Edecán del General Mollendorf, que-se puso ien cauxirio ef 24 del Corriente para Bete rsburgo , ha dado motivo á muchas conjeturas * Algunos sujetos piensan que dicho viage es relativo á la sesión que tuviéroñ</t>
  </si>
  <si>
    <t>Mollier</t>
  </si>
  <si>
    <t>el convoy que va escoltando: desde el 20 del mes pasado estaba detenido por los vientos contrarios. Mr. Mollier, el .último Ministro que ha habido de Hannóver en la Corte de Petersburgo, ha llegado con pliegos de Mr. S.tuart¿ Secretario de la Legación de Lord Gower cerca de aquel Gobierno :</t>
  </si>
  <si>
    <t>Momediano, Ambrosio</t>
  </si>
  <si>
    <t>Ambrosio Momediano</t>
  </si>
  <si>
    <t>tivo. S. M. se ha servido nombrar para la Canongía vacante en la Catedral de Segovia, por muerte de D. Ambrosio Momediano, á D. Ignacio García del Castillo, Cura de la Parroquia del Real Palacio: para la Ración vacante en la de Avila, por fallecimiento de D. Baltasar de Lazaeta y Zúñiga, á D. Gabriel</t>
  </si>
  <si>
    <t>Mondragon, Manuel</t>
  </si>
  <si>
    <t>Manuel Mondragon</t>
  </si>
  <si>
    <t>s&lt;: una pieza de 2 fan., en45P°::'Otra de una-fan.,.en 2250; y una casa ^ 84ir: la otra por el Lie. Don Manuel Mondragon y el Concejo de dicha villa, baxo la denominación dé Almas: sus bienes.-son: una pieza.de 8 fan..ren .16,800-. otra de 4 fan., en .7200: otra de 2 fm., en:45oo : una casa,.comsu arren</t>
  </si>
  <si>
    <t>Monnet, General</t>
  </si>
  <si>
    <t>General Monnet</t>
  </si>
  <si>
    <t>or su territorio para países extrangeros de todo género de granos y de ganado vacuno y de cerda. El General Monnet habia dado dos decretos el 21 de Setiembre: en uno mandaba á los habitantes de Flesinga que se proveyesen de víveres; y en el otro, que cortasen los árboles que hay en las inmedia</t>
  </si>
  <si>
    <t>Monroe</t>
  </si>
  <si>
    <t>ecoger sus presas. Una Gazeta Americana de i.° de Marzo dice haber recibido el Gobierno noticias de Mr. Monroe, Ministro Americano en Londres, que anuncian</t>
  </si>
  <si>
    <t>Monroy, Vicente</t>
  </si>
  <si>
    <t>Vicente Monroy</t>
  </si>
  <si>
    <t>parp ia Dignidád ide Arcediano de Euénte-Saúco ,:en la Car tedral de Zamora, vacante por muerte de D. Vicente Monroy, á D. Francisco Antonio Gutiérrez,iCuráPárroco del lugar de Pelilla en aquella Dióssesi s para- la -Dignidad de Maestres cuela de1 laColegial deLoígroño, vacante por promoción de</t>
  </si>
  <si>
    <t>Mont de Prado, Pedro</t>
  </si>
  <si>
    <t>Pedro Mont de Prado</t>
  </si>
  <si>
    <t>de D. Andrés del Campo y Galicia, á D. Juan Pablo Fretes; y para la Ración que este dexa en ella á D. Pedro Mont de Prado, Cura de la villa de Logroño en aquella Diócesi ; y para la Penitenciaría de la Metropolitana de Santa Fe á D. Fernando Caycedo, Medio-Racionero de ella. El Rey se ha dignado conc</t>
  </si>
  <si>
    <t>Montaigu, Almirante</t>
  </si>
  <si>
    <t>Almirante Montaigu</t>
  </si>
  <si>
    <t>ña: alcanzaron á la distancia de mas de 2® toesas, y ardiéron en el agua como cosa de un minuto. El Almirante Montaigu y varios Oficiales de Marina y de Artillería han asistido á este experimento, del qual han formado una idea muy favorable. La fragata nombrada Tártaro, procedente de Halifax, ha arr</t>
  </si>
  <si>
    <t>Montaña, Félix</t>
  </si>
  <si>
    <t>Félix Montaña</t>
  </si>
  <si>
    <t>eneficio de: sangre de la Catedral de Vique, baxo la invocación de San Feliú, vacante por muerte de D. Félix Montaña: á D. Victoriano Poblador para un Beneficio de las Parroquiales unidas de la ciudad de Fraga,- Diócesi de Lérida, vacante por fallecimiento de D. Francisco Galicia: á D. Fr. Franc</t>
  </si>
  <si>
    <t>Montañána, Vicéñté</t>
  </si>
  <si>
    <t>Vicéñté Montañána</t>
  </si>
  <si>
    <t>n determinados lindes, sujeta á la obra pia qué en dicho Convento fué fundada por María Magdalena y D. Vicéñté Montañána, la qual ha sido valuada en 1758 libras, 15 sueldos y 4 dineros en vénta, y 51 libras en renta: el otro, también de otra casa de habitación y morada, sita en dicha ciudad, Parroqu</t>
  </si>
  <si>
    <t>Montero y Losada, Francisco Xavier</t>
  </si>
  <si>
    <t>Francisco Xavier Montero y Losada</t>
  </si>
  <si>
    <t>municadas generalmente para la construcción de cementerios, procedió el Alcalde mayor de esta villa D. Francisco Xavier Montero y Losada á dar las mas activas providencias para su edificación en ella, de acuerdo y conformidad con D. Josef</t>
  </si>
  <si>
    <t>Montes de Oca, Lorenzo</t>
  </si>
  <si>
    <t>Lorenzo Montes de Oca</t>
  </si>
  <si>
    <t>El Rey se ha servido nombrar para la Ración de la Catedral de Cana-* ria, vacante por promoción de D. Lorenzo Montes de Oca á la Dignidad de Tesorero de ia misma Iglesia, á D. Agustín Cabral y Jaymes, Cura de la Parroquia del lugar de Tenor, de aquella Diócesi; y para el Arciprestazgo de Alcaraz, en el</t>
  </si>
  <si>
    <t>Montes, Capitán</t>
  </si>
  <si>
    <t>Capitán Montes</t>
  </si>
  <si>
    <t>al está hoy en Wi^emherg. t ‘ Carta del Emperador de los franceses al Rey de Prusia, llegada por el Capitán Montes quiou, Oficial de ordenanza., quien sallo de forera el ip¡ de Octubre d las 10 de la mañana , y llegó á leis 4 de^la tarde al campamento del General Hohenlohe. Señor hermano: No r</t>
  </si>
  <si>
    <t>Montes, Juan</t>
  </si>
  <si>
    <t>Juan Montes</t>
  </si>
  <si>
    <t>ía de la Havana se ha dignado S. M. promover á Capitanes á D. Juan Serrano y D. Juan Montes, Teniente y Ayudante del mismo cuerpo; á Ayudante al Teniente D. Juan Chenard; á Tenientes á los Subtenientes D. Vicente Martínez, D. Lorenzo Díaz, D. Manuel Chenard y D. Josef Ignacio de l</t>
  </si>
  <si>
    <t>Montrós, Francisco</t>
  </si>
  <si>
    <t>Francisco Montrós</t>
  </si>
  <si>
    <t>erónimo Serra; esta vacante al Teniente D. Roque Garralon; la Tenencia que este dexa al Subteniente D. Francisco Montrós, y la Subtenencia de bandera al Cadete D. Francisco Delgado. En el Regimiento de caballería de la Reyna se ha servido S. M. conceder empleo de Portaestandarte al Cadete D. Miguel</t>
  </si>
  <si>
    <t>Montufar, Rafael</t>
  </si>
  <si>
    <t>Rafael Montufar</t>
  </si>
  <si>
    <t>el Rest conferir Compañía,ai Subteniente D. Josef Ramón Zelaya, y Tenencias á D. Juan de Irís&amp;rrj y D, Rafael Montufar, vecinos de aquella ciudad. En el Batallón veterano de Castilla, fixo de Campeche, ?e ha dignado S. M. promover á Capitán al Teniente D. Joaquín de Traba; á Teniente de granaderos</t>
  </si>
  <si>
    <t>Moore, General</t>
  </si>
  <si>
    <t>General Moore</t>
  </si>
  <si>
    <t>mérito con quienes se honra la nacioq. El Presidente es Lord Hutchinson: también es del Consejo el General Moore. Lord Hutchinson sucede á Sir David Dundas en el mando del distrito del Sur. Lord Moira mandará desde el Támesis hasta el Humber en la provincia de Yorck. Los avisos despachados á</t>
  </si>
  <si>
    <t>Mora, Antonio</t>
  </si>
  <si>
    <t>Antonio Mora</t>
  </si>
  <si>
    <t>iento de infantería de México se ha servido el Rey promover á Teniente al Subteniente de granaderos D. Antonio Mora; á Sub</t>
  </si>
  <si>
    <t>Morales y Sánchez, Julián</t>
  </si>
  <si>
    <t>Julián Morales y Sánchez</t>
  </si>
  <si>
    <t>Josef Marco y Espejo, D. Ramón Arias y Toubes, D. Ignacio Chacón, D. Angel Valdes y Diaz Canalizo, D. Julián Morales y Sánchez, D. Flaminio Agacini y Bilbao, D. Tomas de Torres y Zapata, y D. Manuel Croquer. En América. El Rey se ha dignado promover á Capitán de la Compañía de infantería veterana íixa de</t>
  </si>
  <si>
    <t>Morales, Gaspar</t>
  </si>
  <si>
    <t>Gaspar Morales</t>
  </si>
  <si>
    <t>Rey promover á Cadete áe número al supernumerario D. Joaquín Somal o, y á supernumerario al Guardia D. Gaspar Morales. El Rey se ha servido .conferir el empleo de Coronel del Regimiento de infantería de Aragpn al Coronel D. Esteban Porlier, Teniente Coronel del de Voluntarios de Castilla; Subtene</t>
  </si>
  <si>
    <t>ier D. Manuel Mozota; á Siibrigadier al Cadete D. Manuel Coll; á Cadete de número al Supernumerario D. Gaspar Morales; y á Supernumerario al Guardia D. Juan Talero. En el Regimiento de infantería de la Corona se lia servido el Rey promover d Teniente al Subteniente' D. Josef Joaauin Delgado. S. M</t>
  </si>
  <si>
    <t>Morales, Juan</t>
  </si>
  <si>
    <t>Juan Morales</t>
  </si>
  <si>
    <t>da, vacante por promoción de D. Agustín Diez de Lara á Canongía de aquella Iglesia Metropolitana, á D. Juan Morales y, Aranda: para la Media-Ración , vacante en la Iglesia Catedral dé Badajoz por muerte de D. Francisco Marin, á D. Francisco Alcántara González: para el Beneficio de la villa de Mor</t>
  </si>
  <si>
    <t>Morales, Manuel Domingo</t>
  </si>
  <si>
    <t>Manuel Domingo Morales</t>
  </si>
  <si>
    <t>S. M. sejha servido nombrar para una plaza de Alcalde del crimen de la Real Audiencia de Valencia á D. Manuel Domingo Morales. Y en atención á los méritos y servicios de D. Bruno Ballarino, Promotor-Fiscal del Juzgado de Ingenieros, y Asesor de todas Rentas de la Provincia de Cádiz, ha venido también S.</t>
  </si>
  <si>
    <t>Moran, Francisco Alonso</t>
  </si>
  <si>
    <t>Francisco Alonso Moran</t>
  </si>
  <si>
    <t>María del Castillo, el primero de granaderos y el tercero de bandera; á Subteniente de granaderos á D. Francisco Alonso Moran; de fusileros á D. Francisco Xavier de Llamas, y de bandera á D. Juan María Fernandez Muñoz, los tres últimos vecinos de la expresada ciudad. Asimismo S. M. se ha servido conceder</t>
  </si>
  <si>
    <t>Morato, Manuel</t>
  </si>
  <si>
    <t>Manuel Morato</t>
  </si>
  <si>
    <t>e monte, pasto, terrena labrantío, huerta y jardín. La persona á quien acomode po4 drá enterarse de D. Manuel Morato^ vecino de esta villa, que vive en la calle de los Carros , esquina á la de las Tabernülas , núm. 6. &gt; De los autos de la testamentaría de D. Valentín Rubio, que remitió el Juez d</t>
  </si>
  <si>
    <t>Mordelía, Santiago</t>
  </si>
  <si>
    <t>Santiago Mordelía</t>
  </si>
  <si>
    <t>éncio Bobílá, D. Francisco Irigóyen, D. Luis Potestá ,, D. Nicasio* Zamora, D. Lorenzo Ruiz Mateos, D. Santiago Mordelía, D. Jfosef-Cálvi, D. Ántoniq "EHzaldé, D. Benigno Risueño, D. Baltasar B,alagqervljL josef FernandezsRanes, D, Diego Mosquera, D. Ezequiel £ai?e&gt;y;¿p.Antótuo RolapdÁ*:Vt o V T ^ *</t>
  </si>
  <si>
    <t>Morder, General</t>
  </si>
  <si>
    <t>General Morder</t>
  </si>
  <si>
    <t>echo mayor sensación sobre todo ha sido la ocupación del Electorado de Wurtzburgo por el cuerpo del General Morder, cuyas tropas han entrado en aquel país el 21 del corriente , con visos de encaminarse hacia las fronteras de la Saxonia. Pero estos movimientos no han sido dirigidos contra el El</t>
  </si>
  <si>
    <t>e algunos. El dia 21 llegó á Gotinga el Rey de Holanda con la vanguardia del exército del Norte. El General Morder entró en Fulda el 26 con las 2 divisiones del octavo cuerpo.del exército grande, mandadas por los Generales Lagrange y Dupas. El Rey de Holanda ha encontrado en Munster, en el Conda</t>
  </si>
  <si>
    <t>y de retirarse inmediatamente-Cassel 29 de Octubre de 1806. = Genes t.” La proclama que ha hecho el General Morder es la siguiente. Proclama del 31 de Octubre. „ Eduardo Morder, Mariscal del Imperio &amp;c----- Habitantes de Hesse, vengo á tomar posesión de vuestro país. Este es el único medio de ev</t>
  </si>
  <si>
    <t>Morder, Mariscal</t>
  </si>
  <si>
    <t>Mariscal Morder</t>
  </si>
  <si>
    <t>bre. La posición del exército en el dia es como sigue : el Mariscal Bernadotte ocupa la Bohemia: el Mariscal Morder la , Moravia: el Mariscal Davoust ocupa á Presburgo, capital de la Hungría: el Mariscal Soult ocupa á.Viena: el Mariscal Ney ocupa la Carintia: el General Marmont la Styria; el Maris</t>
  </si>
  <si>
    <t>aden; el 2 del corriente llegó á Nuremberg el Mariscal Berthier, y en el mismo dia llegó á Furth el Mariscal Morder. Escriben de Ratisbona, no sabemos con qué fundamento, que muy en bireve se hará en la Dieta Germánica la propuesta de conferir la Dignidad Electoral á S. A. S. el nuevo Duque de</t>
  </si>
  <si>
    <t>pándau, y en restablecer, las fortificaciones de Wittemberg, de Erfurt, de Custrin y;de Stettin. El Mariscal Morder, Comandante del 8.° cuerpo del exército grande,, se puso en marcha el 30 de Octubre para Casse! , adonde llego .ai dia: si-; guíente___ He aquí la Nota que el Encargado de.Negocio</t>
  </si>
  <si>
    <t>Morell, Juan</t>
  </si>
  <si>
    <t>Juan Morell</t>
  </si>
  <si>
    <t>spinosa, Canónigo de la Catedral de Huesca: para otra de dicha Metropolitana, vacante por muerte de D. Juan Morell, á D. Francisco Tru^ yolls, Beneficiado de la Catedral de Mallorca: para una Ración de la misma Iglesia á D. Antonio Pastor, Beneficiado de dicha: para una Ración patrimonial de l</t>
  </si>
  <si>
    <t>Morell, Pedro</t>
  </si>
  <si>
    <t>Pedro Morell</t>
  </si>
  <si>
    <t>ha servido conceder Tenencia en el Regimiento de infantería de Toledo al Subteniente de granaderos D. Pedro Morell; y Subtenencias de bandea en los de Africa y Sevilla i los Sárgeritos primeros D. Henriqoe Arenillas y D. Juan Lample. Habiéndose enterado el Rey del acuerdo que ha dirigido el Co</t>
  </si>
  <si>
    <t>Moreno de Guerra Navarro y Rio, Salvador</t>
  </si>
  <si>
    <t>Salvador Moreno de Guerra Navarro y Rio</t>
  </si>
  <si>
    <t>rónimo Piáeyro y las Casas, D. Josef Arias de Saavedra Caro y Tavera, D. Antonio Moscoso y Vázquez,,D. Salvador Moreno de Guerra Navarro y Rio, D. Josef Barco y la Cendeja y D. Vicente Vázquez y Moscoso. El Rey se ha servido conferir el Regimiento de caballería de Algarbe al Coronel D. Josef de Yebra/ Teniente Coronel de</t>
  </si>
  <si>
    <t>Moreno y Acevedo, Antonio</t>
  </si>
  <si>
    <t>Antonio Moreno y Acevedo</t>
  </si>
  <si>
    <t>de la ley, y se ha de rematar en el mejor postor ea dicha ciudad de Plasencia, por la escribanía de D. Antonio Moreno y Acevedo, el dia 11 de Mayo: dich¿ postura es su pago á vales Reales. A voluntad de su dueño se vende lina casa sita en la calle de la Puebla, número 38, manz. 551, tasada en 177,188 rs. Q</t>
  </si>
  <si>
    <t>tasada en 231® rs. Quien quisiere hacer postura a* uda á la escribanía de la comisión, deí cargo de D. Antonio Moreno y Acevedo, dentro del término de 30 dias contados desde el 14 del presente; en la inteligencia de que se han de celebrar dos remates distintos. Por el Intendente de Burgos se ha aprobado el</t>
  </si>
  <si>
    <t>Moreno y Vicario, Domingo</t>
  </si>
  <si>
    <t>Domingo Moreno y Vicario</t>
  </si>
  <si>
    <t>n y Barazabal, del Consejo de S. M., Alcalde de su Real Casa y Corte, v Juez de ia testamentaría de D. Domingo Moreno y Vicario, Agente que fué del número de Indias, está mandado citar y emplazar á sus acreedores, á fin de que comparezcan legalmente, en el término de 30 dias contados desde el 26 de Junio,</t>
  </si>
  <si>
    <t>Moreno, Buenaventura</t>
  </si>
  <si>
    <t>Buenaventura Moreno</t>
  </si>
  <si>
    <t>de sus disposiciones testamentarias &amp;c. . .. ■— - -■ ■ ——— í------- ---■■ ---' ■' rr.-:-. r:—-—■- . D. Buenaventura Moreno , vecino de Madrid, remitió con carta de 9 de Mayo, debidamente endosados., á.0,SaptQa Abby4 Coronel, dej;coinercio.de Avila, 6 vales Reales dei 50 pesots^ crgapion de Setiembre;</t>
  </si>
  <si>
    <t>Moreno, Joaquín</t>
  </si>
  <si>
    <t>Joaquín Moreno</t>
  </si>
  <si>
    <t>conferir en el Regimiento de infantería de la Princesa Compañía al Teniente', graduado de Capitán, D. Joaquín Moreno ; y en el de Guadalaxara Tenencia al Subteniente .dey grana de ros Don Lorenzo. Casado; y Subtenencias de bandea a .los Cadetes^, ^Antonio Alguer y D. Francisco Nietq.y Recjo» . •</t>
  </si>
  <si>
    <t>Moreno, Juan</t>
  </si>
  <si>
    <t>Juan Moreno</t>
  </si>
  <si>
    <t>resulta al Cadete D. Sebastian de Leca; y en el de Sagunto empleo de Portaguión al Sargento primero D. Juan Moreno. En América. El Rey se ha dignado conceder el Gobierno militar y político, con la Intendencia de la provincia de Puno, al Coronel D. Diego Antonio Nieto, Gobernador de Popayan. El</t>
  </si>
  <si>
    <t>Moreno, Juan Joaquín</t>
  </si>
  <si>
    <t>Juan Joaquín Moreno</t>
  </si>
  <si>
    <t>éndose enterado el Rey del acuerdo que ha dirigido el Comandan*te general del Departamento de Cádiz D. Juan Joaquín Moreno, formado por la Junta de Generales, nombrada por S.M.para exáminar las operaciones'del Gefe de Esqúadra de la Real Armada D. Josef dé Bustamañte f</t>
  </si>
  <si>
    <t>Moreno, Manuel</t>
  </si>
  <si>
    <t>Manuel Moreno</t>
  </si>
  <si>
    <t>se ha servido nombrar para una Canongía de la Catedral de AIbarracin, vacante por fallecimiento de D. Manuel Moreno, á D. Pedro Antonio Fernandez : para un Beneficio en la villa de Momblaneh, Diócesi de Tarragona, vacante por muerte de D. Tomas Boitas, á D. Lorenzo Guinovar: para otro en la Par</t>
  </si>
  <si>
    <t>Moreno, Ramón Antonio</t>
  </si>
  <si>
    <t>Ramón Antonio Moreno</t>
  </si>
  <si>
    <t>tiempo los ascensos á los demas, y confiriendo la última de número á D. Baltasar Santos Maldonado. D. Ramón Antonio Moreno, del comercio de Guadalaxara, remitió por el</t>
  </si>
  <si>
    <t>Moreno, Santiago</t>
  </si>
  <si>
    <t>Santiago Moreno</t>
  </si>
  <si>
    <t>S. Andrés de la ciudad de Baeza, Diócesi-de Jaén, vacante por fallecimiento de D. Diego Pereyra, á D. Santiago Moreno: para otra de S. Miguel de S. Quirce, en el Arzobispado de Burgos^-vafeante por muerte de D. Julián Gómez Alvarez, .'á D. FrarK i se o Barrio jProt-Cura y Beneficiado del lugar de</t>
  </si>
  <si>
    <t>Moreou, Francisco Xavier</t>
  </si>
  <si>
    <t>Francisco Xavier Moreou</t>
  </si>
  <si>
    <t>a Canongía de la Catedral de Mondoñedo, vacante por fallecimiento de D. Pedro Alvarez de la Peña, a Don Francisco Xavier Moreou, Capellán del primer batallón del Regimiento de Suizos de Courten: para otra Canongía, vacante en la Catedral de Valladolid por muerte de D. Manuel Junco, á D. Josef Berdonces, Bi</t>
  </si>
  <si>
    <t>Morera, Sebastián</t>
  </si>
  <si>
    <t>Sebastián Morera</t>
  </si>
  <si>
    <t>ares de la traducción del Salustio por el Sr. Infante D. Gabriel.__ Los Catedráticos de Matemáticas D. Sebastian Morera y D. Juan de Acosta presentaron los jóvenes mas adelantados de ellas, que fuéron D. Juan Sánchez Satostegui, D. Miguel González Cárdenas, D. Juan Ignacio Arespacochaga, D. Manuel Rodr</t>
  </si>
  <si>
    <t>Morgado, Antonio</t>
  </si>
  <si>
    <t>Antonio Morgado</t>
  </si>
  <si>
    <t>ial primero de la Contaduría mayor de Cuentas de las Islas Filipinas, vacante por fallecimiento de D. Antonio Morgado. : Él Comandante general de la- esquadra de Cartagena D. Josef Justo de</t>
  </si>
  <si>
    <t>Morían, Coronel</t>
  </si>
  <si>
    <t>Coronel Morían</t>
  </si>
  <si>
    <t>1071 Los prisioneros Prusianos y Suecos sé han enviado á Spanaau. El Coronel Morían, que mandaba en nombre del Rey de Suecia en Lauenburgo, es uno de los que se han escapado del poder de los Franceses; 53 soldados Suecos han muerto ó quedado heridos en el encuent</t>
  </si>
  <si>
    <t>Morier</t>
  </si>
  <si>
    <t>pero ignoramos la resolución. EL Rey de Inglaterra ha nombrado para Cónsul general en el Levante, á Mr. Morier, Agente de la Compañía Inglesa. El Lord Arbmhnot, Ministro, de Inglaterra, ha declarado al Reis-Effendi que. si no se efectúa la renovación de los tratados entre su Corte y la. Pu</t>
  </si>
  <si>
    <t>Morlius, Ignacio</t>
  </si>
  <si>
    <t>Ignacio Morlius</t>
  </si>
  <si>
    <t>1124 se servirá avisarlo á D. Ignacio Morlius, Procurador del número y juzgado de Cartagena , quien tiene que comunicarle asunto de importancia. S.M., con fecha de 17 del corriente, se ha servido resolver, que desde i.° de En</t>
  </si>
  <si>
    <t>Moro de Flores y Mendez, Juan</t>
  </si>
  <si>
    <t>Juan Moro de Flores y Mendez</t>
  </si>
  <si>
    <t>. Francisco de Nava y Rodríguez, D. Antonio Diaz de Herrera, D. Francisco Rodríguez López Guerrero, D. Juan Moro de Flores y Mendez, D. Josef Villavicencio y Rodríguez de Arias, D. Fulgencio Anrich y Gómez,D. Francisco Sirera y Sánchez, D. Josef Ranero y Santelices, D. Lorenzo Villegas y Coronel, D. Juan del R</t>
  </si>
  <si>
    <t>Morpeth, Lord</t>
  </si>
  <si>
    <t>Lord Morpeth</t>
  </si>
  <si>
    <t>al que se habia hecho. Con todo pidió se presentase á la Cámara'el estado de rentas de la India-----Lord Morpeth dixo que se ocupaba ahora en este trabajo, y que quanto antes presentaría á la Cámara los documentos que tuviese en su poder. (Morning ChronicU.) HOLANDA. Amsterdam 22 de Febrero.</t>
  </si>
  <si>
    <t>de los empleos y amancillado con sus discursos y escritos. GRAN BRETAÑA. Londres 1$ de Julio. El 10 Lord Morpeth ha presentado en la Cámara de los Comunes el estado de las rentas de la Compañía de la India. El informe está concebido con mucha claridad, y los resultados que presenta son tan i</t>
  </si>
  <si>
    <t>no puede dudarse de que ya están compuestas las desavenencias que habia entre Inglaterra y Prusia. Lord Morpeth debe haber salido ántes de ayer para Yarmouth, á embarcarse á bordo' de una fragata, que le aguarda para llevarle áHamburgo, de donde pasará á Berlín. Mr. Wagstaff ha partido el viér</t>
  </si>
  <si>
    <t>s de géneros para las colonias Francesas, Españolas y Holandesas. ; -Esta mañana ha llegado aquí el Lord Morpeth, encargado de un negocio importante para el Gabinete de Prusia. No sabemos si se encaminará i Berlín, ó irá en derechura al quartei general del Rey. Se afirma de positivo, que el</t>
  </si>
  <si>
    <t>í ■!■■■ Hjj GAZETA DE MADRID DEL MARTES 4 DE NOVIEMBRE DE 1S06. GRAN BRETAÑA Londres 4 de Octubre. Lord Morpeth salió ayer por la mañana para Berlín: las instrucciones que lleva se viéron antes en un Consejo de Gabinete. El impuesto que paga la Nación para la manutención ’de los pobres es u</t>
  </si>
  <si>
    <t>a Monarquía.Prusiana; pero al fin, el Rey la dixo que se fuese, y con efecto tuvo que hacerlo., ^__ Lord Morpeth, Enviado por la Corte je Londres para ajustar la sangre. Prusiana, encargo indigno, verdaderamente; de un hombre (semejantp j llegd el 11 á Weymar, con el fin de haceri ofertas br</t>
  </si>
  <si>
    <t>o que ha pertenecido á uno de los primeros Capitanes que se hallan en ios fastos de la •historia. ‘ Lord Morpeth, Enviado de Inglaterra tcerca del Gabinete Prusiano, no estaba mas que áó leguas, del campo de batalla en la jornada» de Jena: apenas oyó la artillería quando un correo vino á avi</t>
  </si>
  <si>
    <t>ugitivos, entre los quales se encuentra el Duque de Oldemburgo y el Príncipe heredero de Weymar. El Lord Morpeth ha salido para Inglaterra. La Embaxada Rusa que habia en Berlín ha tomado el camino de Stettin. No hay noticias seguras acerca de la marcha de los Rusos. El exércíto Prusiano de W</t>
  </si>
  <si>
    <t>Mórtier las Aguilas Prusianas, Mariscal</t>
  </si>
  <si>
    <t>Mariscal Mórtier las Aguilas Prusianas</t>
  </si>
  <si>
    <t>í. mismo a su defensa.. EL Rey de. Holanda ha mandado tomar posesión dél Hannóver á la división del Mariscal Mórtier las Aguilas Prusianas y las. armas Electorales se; han quitado al; mismo tiempo.. ' ’ .DIARIO, TRiGESIMÓtERCIO* DEü.EXERCni'Q GRANDÉ^ ' - " " ■ Berlmdr'fj ’defásovkrñbre ^’ • ";,f '' . Ayer: se firmo! en Cai</t>
  </si>
  <si>
    <t>Mortier y los Generales Gardanne y Ordenner, Mariscal</t>
  </si>
  <si>
    <t>Mariscal Mortier y los Generales Gardanne y Ordenner</t>
  </si>
  <si>
    <t>a.. El exército de la Confederación del Rhin se forma con suma actividad* Maguncia 4 de Octubre. El Mariscal Mortier y los Generales Gardanne y Ordenner se hallan todavía aquí. Se asegura que se formará en estas inmediaciones el octavo cuerpo de exército, que lo mandará el Mariscal Mortier. ' La guardia de caballería, que va al qu</t>
  </si>
  <si>
    <t>Mortier, Mariscal</t>
  </si>
  <si>
    <t>Mariscal Mortier</t>
  </si>
  <si>
    <t>exército Francés á ocupar el Sund, y cerrar á los buques Británicos la entrada de! mar Báltico. El Mariscal Mortier ha llegado á Ratisbona, y por las inmediaciones de la ciudad ha pasado el cuerpo de su mando, que consta de 14,300 hombres efectivos y de algunos miles de caballos..__ Él cuerpo d</t>
  </si>
  <si>
    <t>llería mandado por el General Milhaud, que solo tiene 2 Regimientos de cazadores. 4.° El cuerpo del Mariscal Mortier, en lo interior de la Franconia, comprehende la división Gazan, un Regimiento de infantería ligera y 3 de línea; la divisicn Suchet, un Regimiento de infantería ligera y 4 de líne</t>
  </si>
  <si>
    <t>mañana de madrugada ha ido á St, Cloud. Se cree que su permanencia en la capital sea muy corta. El Mariscal Mortier se halla en esta capital hace algunos dias, y hace su servicio dé Coronel general cerca de S. M. La intención de S. Íí. el Emperador es que los miembros de la Legión de Honor que</t>
  </si>
  <si>
    <t>í. Se asegura que se formará en estas inmediaciones el octavo cuerpo de exército, que lo mandará el Mariscal Mortier. ' La guardia de caballería, que va al quartel general , pasa porManheim. El cuerpo de granaderos del General Oudinot, que debía pasar por aquí, ha tomado un camino mas corto para</t>
  </si>
  <si>
    <t>cordado ya lo relativo al Gobierno interior del pais. El Rey de Holanda marcha sobre Hannóver, y el Mariscal Mortier sobre Cassel. DIARIO VIGESIMOSEXTO DEL EXERCITO GRANDE. Berlín 3 de Noviembre. , Aun no se ha recibido aviso de haber sido hechas prisioneras las colunas del General Blucher y del</t>
  </si>
  <si>
    <t>ente de sus tropas, yJuntarse con .el exército Francés para peear contra nuestros enemigos; pero el Mariscal Mortier respondió, que sus instrucciones no hablaban acerca de está propuesta; que habiendo este Príncipe armado después de la declaración que se había entregado en París ¿ su Ministro Mr</t>
  </si>
  <si>
    <t>s. El General Lagrange ha sido nombrado Gobernador general de Cassel y de 1 os Estados de Hesse. El Mariscal Mortier se ha puesto en marcha para Hannóver y para Hamburgo con su cuerpo de exército. El Rey de Holanda ha hecho bloquear á Hamelen. Es necesario que esta guerra sea la última, y que á</t>
  </si>
  <si>
    <t>e, mandada por el Rey, llegó á Paderborn el 30 de Octubre. A corto rato se presentó un Ayudante del Mariscal Mortier; y anunció ai Rey que se había declarado la guerra contra Hessey y que el cuerpo del Mariscal, demasiado internado ya en el país, reclamaba el auxilio de este exército.___Las trop</t>
  </si>
  <si>
    <t>as, guarniciones desde mas allí de Rinteln. El octavo cuerpo del exército grande, a las órdenes del Mariscal Mortier, se ha ¡untado con el exército del Norte, cerca de la, murallas de Hamelen, adonde llegó el 9 del corriente. El 11 un destacamento del misino exército -tomó posesión de Hannóver e</t>
  </si>
  <si>
    <t>1091 ALEMANIA. Hamburgo 21 de Noviembre. El 20 ha entrado ea esta ciudad el Mariscal Mortier al frente de su vanguardia, y tomado posesión en nombre del Emperador de los Franceses. Se ha hecho esta ceremonia en muy buen orden, y las tropas observan un¿ disciplina rigurosa</t>
  </si>
  <si>
    <t>; lo restante del exército ha llegado ó está para llegar á Posen, adonde viené por varios lados. El Mariscal Mortier marcha sobre Anklam, Rostock y la Pomerania Sueca, después de haber tomado posesión de las ciudades Anseáticas. Han ocurrido ciertas cosas bastante notables etí la rendición de Ha</t>
  </si>
  <si>
    <t>Mortierdetenido, General</t>
  </si>
  <si>
    <t>General Mortierdetenido</t>
  </si>
  <si>
    <t>á la.mitad «de,fuerzas. ¡ . *■. ’ \ . :Un agregado al Estado mayor,, que llevaba prdep^s. para el .General Mortierdetenido hácia Turingia por una partida enemiga* ha,sido, conducido á Custrin, donde ha vistq ai. Rey-; y cuenta. que alotrojado del Oder ya en Stettin, ya en Custrin dan llegado muy pocos</t>
  </si>
  <si>
    <t>Mortlocfr, Capitán</t>
  </si>
  <si>
    <t>Capitán Mortlocfr</t>
  </si>
  <si>
    <t>oriosos al pabellón Español. El; bergantín Ingles Antelope , procedente díe Londres, y al mando del Capitán Mortlocfr,, alertado con cinco presas que hizo en su crucero sobre Montevideo, después de haber causado el naufragio de la- fragata de guerra Asur— clon, que destinada á perseguirlo y tomar</t>
  </si>
  <si>
    <t>Moruzi, Príncipe</t>
  </si>
  <si>
    <t>Príncipe Moruzi</t>
  </si>
  <si>
    <t>osto. Acabamos de saber que el Gran Señor ha depuesto á los Príncipes de Moldavia y de Valaquia. Al Príncipe Moruzi le reemplaza el Príncipe Callimachi, y al Príncipe Ipsilanti el Príncipe Alexandro Suzzo. Los dos Príncipes depuestos no pertenecían ya al Imperio Otomano, eri el qual meditaban u</t>
  </si>
  <si>
    <t>Moscoso y Vázquez, Antonio</t>
  </si>
  <si>
    <t>Antonio Moscoso y Vázquez</t>
  </si>
  <si>
    <t>riano Narvaez y Narvaez, D. Gerónimo Piáeyro y las Casas, D. Josef Arias de Saavedra Caro y Tavera, D. Antonio Moscoso y Vázquez,,D. Salvador Moreno de Guerra Navarro y Rio, D. Josef Barco y la Cendeja y D. Vicente Vázquez y Moscoso. El Rey se ha servido conferir el Regimiento de caballería de Algarbe al Co</t>
  </si>
  <si>
    <t>Mosment</t>
  </si>
  <si>
    <t>3^9 FRANCIA Lilas) de Abril. El lunes último hemos tenido el sentimiento de ver perecer á Mr. Mosment en su noveno viage aerostático. A las 12 y 20 minutos principió á elevarse el globo con mucha magestad, yendo sentado el aeronauta en. la barquilla tremolando una bandera, y corresp</t>
  </si>
  <si>
    <t>Mosquera, Diego</t>
  </si>
  <si>
    <t>Diego Mosquera</t>
  </si>
  <si>
    <t>ef-Cálvi, D. Ántoniq "EHzaldé, D. Benigno Risueño, D. Baltasar B,alagqervljL josef FernandezsRanes, D, Diego Mosquera, D. Ezequiel £ai?e&gt;y;¿p.Antótuo RolapdÁ*:Vt o V T ^ *&gt; ¡ Madrid 2% de Agosto. . S. M, se ha servido mombrar para la Dignidad de Tesorero de. la Catedral de Canarias, ¡vacante per</t>
  </si>
  <si>
    <t>Mougnat</t>
  </si>
  <si>
    <t>alor de 4® florines. Igualmente hi hecho S. M. otros presentes y gracias, como son 3 500 florines á Mr. Mougnat, Conde de Poully, Comandante de la expedición; título de Consejero de Comercio á D. Carlos Bazzony, Cónsul Imperial y Real en Barcelona &amp;c. ^ GRAN BRETAÑA. ' Londres $ de Noviembr</t>
  </si>
  <si>
    <t>Mouly, Pedro</t>
  </si>
  <si>
    <t>Pedro Mouly</t>
  </si>
  <si>
    <t>núm. 372388'; y 2 de i 300 pesos de i.° dé Mayo, núms. 491673 y 483656, con sus últimos endosos por D. Pedro Mouly y D. Miguel Andrés Sterico á favor de D. Juan VeriMt’f, á quien corresponded. Quien supiere de su paradero se servirá avisar eü éstá Corte 4 D. Pablo Sagrista y Soler, en Cádiz á D. J</t>
  </si>
  <si>
    <t>Moyano, Tomás</t>
  </si>
  <si>
    <t>Tomás Moyano</t>
  </si>
  <si>
    <t>acudirá á las casas consistoriales ‘de dicha villa el dia 6 del cqrriente. Por providencia del Sr. D. Tomas Moyano, del Consejo de S. M., su Alcalde de Casa y Corte, y escribanía de provincia de D. Mauricio Justo del Rincón, se ha mandado sacar á pública subasta, por término de 30 días contado</t>
  </si>
  <si>
    <t>Hermandad, subastada en el Diario de 11 de Diciembre último por el juzgado del Sr. Alcalde de Corte D. Tomas Moyano,' y escribanía de provincia de D. Mauricio Justo del Rincón, señalando por su valor el de 440,903 rs., se tasase por los Arquitectos nombrados por la propia Hermandad y Agente de</t>
  </si>
  <si>
    <t>61, tasada en 218,090 rs., que tiene de sitio 442y\ pies quadrados superficiales; acuda ante el Sr. D. Tomas Moyano, del Consejo de S M., su Alcalde de Casa y Corte, por la escribanía de provincia de D. Mauricio Justo del Rincón en el término de 30 dias contados desde el 3 r de Enero proxímo pa</t>
  </si>
  <si>
    <t>D. Cristóbal de Vicuña; previniéndose que está señalado su remate el dia 29 del -presente.' £1 Sr. D. Tomas Moyano* del Consejo de S. M,, su Alcalde de - Casa y- Corte, ha señalado el dia 8 del presente para el remate de una casa sita en la calle de los Reales Estudios de S. Isidro, núm. 18, m</t>
  </si>
  <si>
    <t>Madrid, dentro del citado término contado desde dicho dia 27 dé Febrero., ^ El Sr. Alcalde de Corte D. Tomas Moyano ha señalado el diá 12 del corriente para el rematé de una casa sita en la callé de la Luna, que vuelve á la de la Madera baxa, núm. 12, manz. 461 , tasada en 218,090 rs. Quien qui</t>
  </si>
  <si>
    <t>io González Carrillo, Regente de la Chancillería de Valladolid, y á los Alcaldes de mi Casa y Corte D. Tomas Moyano y D. Juan Antonio Inguanzo: para la plaza del referido Consejo de las Ordenes, que resulta vacante por ascenso de Villagomez, á Don Josef María Perez Valiente, decano de la citada Sal</t>
  </si>
  <si>
    <t>la calle de ios Reales Estudios de S. Isidro, núm. 18, manz. 144, hecho por el Sr. Alcaide de Corte D. Tomas Moyano, hoy del Consejo Real de Castilla, en las dos terceras partes de su tasación en metálico, la qual ascendía á 185,142 rs.; y ha señalado el término de 30 dias contados desde el 29</t>
  </si>
  <si>
    <t>Moyra, Lord</t>
  </si>
  <si>
    <t>Lord Moyra</t>
  </si>
  <si>
    <t>en considerablemente las esquadras que cruzan en las costas de Francia desde S. Malo hasta Ostende. Lord Moyra, acompañado de los Generales Moss y Twís y de sus Edecanes, ha examinado con mucha prolixidad las nuevas fortificaciones establecidas en las alturas de Dover, y los reductos del c</t>
  </si>
  <si>
    <t>Mozota, Manuel</t>
  </si>
  <si>
    <t>Manuel Mozota</t>
  </si>
  <si>
    <t>-loSf Antonio Ruano; 1 Supernumerario al Brigadier D. Roque Parrada ; á Brigadier al Subrigadier D. Manuel Mozota; á Siibrigadier al Cadete D. Manuel Coll; á Cadete de número al Supernumerario D. Gaspar Morales; y á Supernumerario al Guardia D. Juan Talero. En el Regimiento de infantería de l</t>
  </si>
  <si>
    <t>Mr, Capitán</t>
  </si>
  <si>
    <t>Capitán Mr</t>
  </si>
  <si>
    <t>erto la fragata Inglesa Niger el dia 20 de este mes, no quiso que él Cónsul Ingles le presentase al Capitán Mr. Hylliar, „y se lo hizo, presentar por él Cónsul de los Estados-Unidos. En esta presentación expresó eí Dey á Mr. Hylíiar los resentimientos 'que tenia con el Cónsul Ingles, espec</t>
  </si>
  <si>
    <t>Mr, Coronel</t>
  </si>
  <si>
    <t>Coronel Mr</t>
  </si>
  <si>
    <t>a en el: Senado y en el Consejo de Estado, y en la Junta del bien público.. Sabemos que el Teniente Coronel Mr. de Kreusemarck llegó á Peters-' burgo el dia 5 del corriente.^-Los,dos Príncipes Dolgoroucki han llega-* do aquí. Por cartas de Hamburgo hemos sabido que-una embarcación Rusa ha</t>
  </si>
  <si>
    <t>e. Ha llegado á esta capital un Príncipe Real extrangero con elnombre. dé Barón de Ex.__El Teniente Coronel Mr. de Krusemark va á Petertburgo con un encargo de S. M.__ Esperamos un correo de París con pliegos del General Knobelsdoríf.__ Ha salido para Dusseldorf! Mr, Preton- Premold, Capit</t>
  </si>
  <si>
    <t>Mr, General</t>
  </si>
  <si>
    <t>General Mr</t>
  </si>
  <si>
    <t>ntre ambos Estados. „ Informado de todo el Emperador, .nombró por su Ministro Pleiiipontenciarió al General Mr¿ Clarcke, Consejero de Estado, Secretario de Gabinete, dándole poderes iguales-á los de Mr. d’Oubril, para tratar, ajustar y firmar la paz con el Emperador de Rusia. -« «Ocupárons</t>
  </si>
  <si>
    <t>Mr, Teniente General</t>
  </si>
  <si>
    <t>Teniente General Mr</t>
  </si>
  <si>
    <t>oción en el exército. Há sido protiiovido al grado de General el Teniente General de Pirch, y al de Teniente General Mr. Kalkieuth; ^ v .</t>
  </si>
  <si>
    <t>Mscali, Juan Bautista</t>
  </si>
  <si>
    <t>Juan Bautista Mscali</t>
  </si>
  <si>
    <t>osef Arechavala; á Tenientes al Subteniente de granaderos D. Juan Josef Pinto, y á los de fusileros D. Juan Bautista Mscali y D; Antonio Laveria; á Subteniente de granaderos al de fusileros D. Luis García de Aguirre ; y á Subtenientes de Compañía á lós de Bandera D. Juan Rodríguez, D. Miguel</t>
  </si>
  <si>
    <t>Mudo Carelli</t>
  </si>
  <si>
    <t>al Subteniente de granaderos D. Francisco Doliany: en el de Asturias Tenencias al Teniente agregado D. Mudo Carelli, y al Subteniente de granaderos D. Isidro Valverde ; y en el de Málaga Subtenencia de bandera al Sargento primero de granaderos del de Jaén D. Francisco Cosío. En el Regimiento de</t>
  </si>
  <si>
    <t>Mulgrave y Mr, Lord</t>
  </si>
  <si>
    <t>Lord Mulgrave y Mr</t>
  </si>
  <si>
    <t>aduladores; Ni ofenderemos á los Lores Fitz-William, Moira &amp;c. comparándolos con Lord Castlereagh, Lord Mulgrave y Mr. Jorge Rose, ó .‘suponiendo que estando la elección en manos de Lord Grenviile titubease un solo instante. t Pero ¿por qué los Señores de la Oposición no buscan un gefe de entre e</t>
  </si>
  <si>
    <t>Mulgrave, Lord</t>
  </si>
  <si>
    <t>Lord Mulgrave</t>
  </si>
  <si>
    <t>subsidios no cesarán hasta 3 meses después de la paz. Cantara de los Pares. Junta del 4 de Febrero. Lord Mulgrave hizo observar á la Cámara que de las copias de los tratados presentados resultaba haber sido el principal objeto del Gobierno de S. M. concertar un plan para efectuar la libertad</t>
  </si>
  <si>
    <t>manteniendo como hasta ahora la buena inteligencia que reyna entre la Gran Bretaña, Rusia y Suecia. Lord Mulgrave opinó lo mismo, prometiéndose las conseqüencias mas felices de la conducta del Ministerio actual. El discurso de gracias* se adoptó unánimemente. Cámara de los Comunes. Ef 24 de A</t>
  </si>
  <si>
    <t>odiosos en una Nación incapaz de tolerarlos. Concebimos muy bien que Lord Castlereagh, Jorge Rose, Lord Mulgrave &amp;cc. esperen que el fallecimiento de Mr. Fox ocasione mudanza del Ministerio: estos Señores abandonáron los negocios, y salieron de la carrea ra política después de la muerte de M</t>
  </si>
  <si>
    <t>Mullen, Carlos</t>
  </si>
  <si>
    <t>Carlos Mullen</t>
  </si>
  <si>
    <t>granaderos D. Beda Víctor, Conde de Thurn: en el de Traxler á Teniente at Subteniente de granaderos D. Carlos Mullen en el de Betschart á Teniente al Subteniente D. Josef Richenbach; y en el de Preux á Subtenientes de granaderos á los de fusileros D. Agustín Bay y D. Federico Quartery. £n América.</t>
  </si>
  <si>
    <t>Munarriz, Juan</t>
  </si>
  <si>
    <t>Juan Munarriz</t>
  </si>
  <si>
    <t>moral del Conde de Carli, un volíimen en 8.°, traducidos del italiano por el Capitán de Artillería D. Juan Munarriz. Esta obra, conocida por la celebridad de su autor, y que se ha adoptado en casi tocias las escuelas de la docta Italia, es muy acomodada por la solidez y sencillez de los princip</t>
  </si>
  <si>
    <t>Mungo-Park</t>
  </si>
  <si>
    <t>para el 15 de Diciembre próximo. Son infundadas las voces que han corrido de la muerte violenta de Mr. Mungo-Park en lo interior del Africa; pues la semana pasada se recibieron noticias suyas en Cambridge, por las quales se sabe que habia llegado a Tombactoo, de donde iba á salir para Inglaterr</t>
  </si>
  <si>
    <t>Mungo-Parke</t>
  </si>
  <si>
    <t>do el Consejo se despachó un correo á Lord Lauderdale. Las voces esparcidas de la muerte trágica de Mr. Mungo-Parke han movido á sus amigos á publicar la carta siguiente, que es la única noticia auténtica que se ha recibido'de este célebre visgero desde su llegada á las orillas del Niger. Está</t>
  </si>
  <si>
    <t>Muñoz, Bartolomé</t>
  </si>
  <si>
    <t>Bartolomé Muñoz</t>
  </si>
  <si>
    <t>de d^ago^ n.es de Alrnansa y Lusirania .empleps de Alférez á iosf Portaguiones,-V-rJojj sef Perez y D. Bartolomé Muñoz. * . ( En América. En las compañías de infantería ligera de Cataluña fi-xas da la lía van a se ha servido el Rey promover á Capitán ai Teniente D. Pablo, Cata;al; á Tenientes á lo</t>
  </si>
  <si>
    <t>Muñoz, Ignacio</t>
  </si>
  <si>
    <t>Ignacio Muñoz</t>
  </si>
  <si>
    <t>oneles de los Regimientos primero y tercero del Real Cuerpo de Artillería á ios Tenientes Coroneles D. Ignacio Muñoz y D. Josef González; y á Tenientes Coroneles del propio Cuerpo á los Gefes de Brigada D. Rafael de Hoces, D. Vicente de Rey na y D. Alvaro Chacón, los dos primeros graduados de Tenien</t>
  </si>
  <si>
    <t>Muñoz, Julián</t>
  </si>
  <si>
    <t>Julián Muñoz</t>
  </si>
  <si>
    <t>hecho. Se ha extraviado un vale Real de 300 pesos, creación de i.° de Mayo, encabezado á nombre de D. Julián Muñoz, y sin endorso alguno, que se perdió el día 7 del corriente. Quien lo hubiese hallado se servirá entregarle en la tienda droguería de D, Manuel Trasvina, calle de Postas. Por prov</t>
  </si>
  <si>
    <t>Muñoz, Manuel</t>
  </si>
  <si>
    <t>Manuel Muñoz</t>
  </si>
  <si>
    <t>entó ,&lt;dé infantería de Sevilla se ha servido el Rey conceder Tenencia al Subteniente de granaderos D. Manuel Muñoz : en el de Irlanda Tenencia al Subteniente de granaderos D. Juan Boixo, y Subtenencia de. bandera al, Sargento primero D. Eugenio Negroni : ene! Fjxo de Ceuta ha promovidoi’Tenien</t>
  </si>
  <si>
    <t>Bueno, E» el Regimiento de Caballería de la Reyna se ha servido el Rey conceder Tenencia al Alférez D. Manuel Muñoz: en el del Infante empleo de Portaestandarte al Sargento primero D. Nicolás Coral.: en el de dragones del Rey Ayudantía al Teniente, graduado de Capitán, D. Francisco de Armijo: T</t>
  </si>
  <si>
    <t>Mürat, Príncipe</t>
  </si>
  <si>
    <t>Príncipe Mürat</t>
  </si>
  <si>
    <t>la noche. Ayer recibió la Diputación de la ciudad de Paris, que le fue presentada por ;S. A. S. el Príncipe Mürat. ^Mr. Dupont pronunció un discurro dando gracias en nombre del pueblo de Paris y de sus Magistrados por el presente que les había hecho de las banderas y cañones tomados en Wertin</t>
  </si>
  <si>
    <t>Murat, Príncipe</t>
  </si>
  <si>
    <t>Príncipe Murat</t>
  </si>
  <si>
    <t>Muchos de los heridos están ya sanos. El exército está en mejor estado que nunca se ha hallado. El Príncipe Murat da cuenta de que su caballería se ha casi duplicado desde la batalla de Austerlitz. Todos los caballos , que por causa de las marchas forzadas se habian quedado en el camino, están r</t>
  </si>
  <si>
    <t>sada ha llegado aquí S. M. el Emperador de los Franceses y Rey de Italia, acompañado de S. A. $. el Príncipe Murat. La guardia de á caballo del vecindario ha tenido la honra de venir escoltando á S. M. desde Schwabing. En la puerta del Izer se Había dispuesto un magnífico arco triunfal. Del t.</t>
  </si>
  <si>
    <t>de Apelación por S. E. el Juez-Mayor,,Ministro de la Justicia , y el Ayuntamiento cíe París por el Príncipe Murat. Los Presidentes de estos cinco Cuerpos dirigieron sus discursos al Emperador, que todos di</t>
  </si>
  <si>
    <t>del de cazadores de caballería, 70 del de Gendarmería escogida, y 34 del batallón de marineros. El Príncipe Murat llegó á Brusélas el 14 del corriente con dirección 4 Dusseldorf!: al dia siguiente pasó por la misma ciudad el General Berthiert que va igualmente á Dusseldorf!. ESPAÑA. Granada 2</t>
  </si>
  <si>
    <t>3°3 HOLANDA. Leyden 20 de Marzo. Escriben de la Bélgica que el Príncipe Murat llegó el 14 de este mes á Brusélas, en donde estuvo pocas horas, y Luego se encaminó á Dusseldorf!*. Por otras partes se ha sabido la llegada de este Príncipe á la capital del Duc</t>
  </si>
  <si>
    <t>n la última campaña.. Dusseldorf 2 (t da Marzo. Ayer hizo aquí su entrada nuestro nuevo Soberano el Príncipe Murat, Duque de Cleves y de Berg. Desde la distancia de media, legua vino rodeado de inmenso gentío, que no ceso de manifestar, con sus vivas y aclamado</t>
  </si>
  <si>
    <t>33? 3oo© florines las rentas líquidas de este p ais. De manera que los Estados que posee el Príncipe Murat en toda soberanía tienen una población de 3180504 almas* ESPAÑA. Madrid 2 2 dé Abril. Con fecha dé'íydePpresenté se ha servido: S. M. remitir á la Cámara el decreto siguiente: ,, At</t>
  </si>
  <si>
    <t>ciencias y artes de Mr. Lunier. „Esta obra, dlxo Kervegan, cuya utilidad general ha determinado al Príncipe Murat á aceptar la dedicatoria, me parece que merecerá una acogida particular del Cuerpo Legislativo, por el cuidado que el autor ha puesto en introducir el nuevo sistema de pesos y med</t>
  </si>
  <si>
    <t>ela, que ya está ocupada por nuestras tropas, y va á ponerse en estado de defensa. Hoy ha salido el Príncipe Murat para Bamberga, en donde pondrá su quartel general. Francfort 6 de Octubre, Los exércitos Franceses y Prusianos van acercándose al nuevo teatro de (a guerra; y si se da la señal de</t>
  </si>
  <si>
    <t>Muronitzow, General</t>
  </si>
  <si>
    <t>General Muronitzow</t>
  </si>
  <si>
    <t>s, y esperaban muy en breve los 18® Rusos que había en Nápoles___Han regresado de Corfú á Odessa el General Muronitzow y el Coronel Baturin. S. M. ha nombrado al Archiduque Luis Director general de los distritos situados en las fronteras militares de la Hungría y de la Transilvania, y General en gefe</t>
  </si>
  <si>
    <t>Murray, Almirante</t>
  </si>
  <si>
    <t>Almirante Murray</t>
  </si>
  <si>
    <t>. El Coronel Crawfurd ha salido para tomar el mando de la expedición que se dispone en Falmouth: el Almirante Murray mandará la esquadra que escolte las tropas de desembarco: los navios Polifemoj de 64 cañones*</t>
  </si>
  <si>
    <t>er que la expedición ae Falmouth no tardará en hacerse á la Tela. El navio Polifemo, montado por el Almirante Murray, que manda la esquadra que lleva en conserva el convoy, ha salido el 13 de Portsmouth para la rada de Santa Helena: créese que el 14 habrá salido para la América meridional, donde</t>
  </si>
  <si>
    <t>rbeta Paulina, de 16; dos bergantines y tres goletas; llevan á bordo 5500 hombres de desembarco. El Almirante Murray, que monta el Polyfemo, de 64, se debe juntar con esta divísieñ para tomar su mando.</t>
  </si>
  <si>
    <t>Murtra, Miguel</t>
  </si>
  <si>
    <t>Miguel Murtra</t>
  </si>
  <si>
    <t>y en el de Sagunto la Sargentía mayor al Teniente Coronel D. Josef San Juan, Capitán del de Pavía. D. Miguel Murtra, vecino de esta Corte, remitió á D. Gaspar de Villarroya, del comercio de Zaragoza, por el correo de 25 de Enero próximo pasado siete vales Reales de r 50 pesos de i.° de Enero, n</t>
  </si>
  <si>
    <t>Mutat, Príncipe</t>
  </si>
  <si>
    <t>Príncipe Mutat</t>
  </si>
  <si>
    <t>áconipariado, en lás excursiones que hace en nuestras inmediaciones, por nuestro Príncipe Real¿ el Príncipe Mutat, y los Generales Dufóc y CáulinCótírt. S. M. la Eihperatriz va muy á menudo al teatro de la ópera. Hantbitrgóio' de Eheto. Lás noticias de Hameln y de Hannó^eil ,' insertadas hoy</t>
  </si>
  <si>
    <t>Mutis</t>
  </si>
  <si>
    <t>ición botánica del Perú se hallen algunas de las especies de Sta. Fe , cuyos diseños ha remitido el Doctor Mutis con el Barón de Humboldt al Instituto y Museo de París, según anuncia Mr. Bompland, compañero de este en su segundo Fascículo de plantas equinocciales. Si fuesen distintas de las</t>
  </si>
  <si>
    <t>N-ey, Mariscal</t>
  </si>
  <si>
    <t>Mariscal N-ey</t>
  </si>
  <si>
    <t>bstante creer las noticias del exército r solo el cuerpo del Mariscal Soult pasará por Keli, el del Mariscal N-ey por el Nuevo-Brisac,. el del Mariscal Dávoust por Manheim , y los de los Mariscales Bernadotte y Mortierpor Maguncia. £n quanto á lo demas se sabe ya hace- algún tiempo qu.e no se</t>
  </si>
  <si>
    <t>Nachtigall</t>
  </si>
  <si>
    <t>ar víveres; pero ya ha zarpado, á lia de continuar el bloqueo de los puertos de la costa de Prusia. Mr. Nachtigall, profesor de nuestro gimnasio, ha emprendido ya su viáge á expensas de S. M., con el objeto de informarse acerca dei estado actual de la enseñanza pública en Europa y sus progreso</t>
  </si>
  <si>
    <t>Naghten, Tomás</t>
  </si>
  <si>
    <t>Tomás Naghten</t>
  </si>
  <si>
    <t>ente, graduado de Capitán, D. Alonso Fernandez; y Subtenencia de bandera en el de Irlanda al Cadete D. Tomas Naghten. En el Regimiento de caballería del Rey se ha servido S. M. conceder Tenencia al Alférez D. Ildefonso Villar: en los del Príncipe y Montesa empleos de Alférez á los Portaestandart</t>
  </si>
  <si>
    <t>Nagler</t>
  </si>
  <si>
    <t>uientes manifiestan algo de las mutaciones que están ya decretadas difinitivamente. Poderes dados d Mr. Nagler para la entrega del Principado de Anspach d las tropas Francesas. Nos Federico Guillermo in por la gracia de Dios, Rey dePrusia&amp;c. Hacemos saber que habiéndonos convenido con S. M</t>
  </si>
  <si>
    <t>Nairne, Juan (capitán)</t>
  </si>
  <si>
    <t>Capitán Juan Nairne</t>
  </si>
  <si>
    <t>nder, sus Oficiales y gente, y también por la de otros dos buques armados nombrados z\-Cambri*n% su Capitán Juan Nairne, y el Driver, Capitán Slingsby Simpson, todos 3 de la misma nación, que se ayudaban mutuamente para exercer sus continuas rexáciones. ,,En conseqiiencia de dichas acusaciones, y a</t>
  </si>
  <si>
    <t>Nalda, Pedro</t>
  </si>
  <si>
    <t>Pedro Nalda</t>
  </si>
  <si>
    <t>pitán del mismo cuerpo D. Juan Cristiano Bagnioud. , Atendiendo el Rey á los méritos y servicios de D. Pedro Nalda, Con?tador general de Pósitos del Reyno, se ha servido S. M. concederle honores del Tribunal de Contaduría mayor. Se han extraviado dos libramientos de fondo vitalicio, segunda hi</t>
  </si>
  <si>
    <t>Nangers</t>
  </si>
  <si>
    <t>putaciones de los cuerpos y de las clases del Estado merece publicarse el iguiente, pronunciado por Mr. Nangers en calidad de Presidente de la Ad ni iistracion general ae caridad del departamento de la Holanda: „ Señor: El número de pobres y de mendigos se aumenta diariamente; la Adninistra-i</t>
  </si>
  <si>
    <t>Nansouty, General</t>
  </si>
  <si>
    <t>General Nansouty</t>
  </si>
  <si>
    <t>tres Circuios de Suabia, de Baviera y de Franconia están, ademas de los mencionados, el cuerpo del General Nansouty, compuesto de 2 Regimientos de carabineros y 4 de coraceros; el cuerpo del General D’Hautprult, 4 Regimientos de coraceros; el cuerpo del General Klein, 6 Regimientos de dragones;</t>
  </si>
  <si>
    <t>divisiones de dragones de los Generales Beaumont,. Klein y Becker, de la división de coraceros del General Nansouty, y de la caballería ligera del General MilhaudX__«El Príncipe Gerónimo sitia á Gros-Glogau con la división de los aliadosel. tren dé sitio se ha fcrmadp en Custrin ; una. de. sus</t>
  </si>
  <si>
    <t>Napoleón, Luis (príncipe)</t>
  </si>
  <si>
    <t>Príncipe Luis Napoleón</t>
  </si>
  <si>
    <t>tro pueblo: suplicamos nos conceda, para Gefe Supremo de nuestra República, para Rey de Holanda, al Príncipe Luis Napoleón, hermano de V- M., á quien entregamos con una entera y respetuosa confianza la guardia de nuestras leyes, la defensa de nuestros derechos políticos, y todos los intereses de nuest</t>
  </si>
  <si>
    <t>leses en el Cabo de Buena-Esperanza; el discurso de los Embaxadores de Holanda pidiendo por Rejr al Príncipe Luis Napoleón, la respuesta del Emperador, la aceptación del Reyno, y el discurso del Príncipe Cambaceres al Senado dándole cuenta de esta novedad &amp;c. De España, Real Cédula de S. M. y Señores</t>
  </si>
  <si>
    <t>Naranjo, Manuel</t>
  </si>
  <si>
    <t>Manuel Naranjo</t>
  </si>
  <si>
    <t>disciplinadas.de caballería de Buenos-Ayres se ha servido promover á Alféreces á D. Jomas Ribera., Don Manuel Naranjo y ,D. Bernabé San Martin los dos primeros Cadetes, y el último paisano; y a. Portaestandarte al Sargento D. JLeandro Muñoz. En la ex tracción, extraordinaria de la Real lotería, exe</t>
  </si>
  <si>
    <t>Naranjo, Nicolás</t>
  </si>
  <si>
    <t>Nicolás Naranjo</t>
  </si>
  <si>
    <t>lla, D. Andrés Perez y D. Josef Cayetano de Sastre, y á Subtenientes de bandera al Sargento primero D. Nicolás Naranjo, y á los Cadetes D. Antonio Arango, D. Miguel Ferrery Don Rafael Granda. En el Regimiento de infantería de Cuba á Capitán al Teniente de granaderos D. Gil Josef Pacot; á Teniente</t>
  </si>
  <si>
    <t>Narciso Blanco</t>
  </si>
  <si>
    <t>das de la ciudad de Caracas al Teniente del propio Cuerpo D. Antonio Siso; esta Tenencia al Alférez D. Narciso Blanco; su resulta al Portaestandarte D. Francisco Pelaez, y este empleo ál Cadete D. Manuel Escalona. En el de Milicias disciplinadas de caballería de la misma isla ha promovido también</t>
  </si>
  <si>
    <t>Narciso Carcer</t>
  </si>
  <si>
    <t>uduit: en el de Algarbe Tenencia al Alférez D. Francisco Amat; empleo de Alférez al Portaestandarte D. Narciso Carcer, y esta resulta á D. Josef Tinajero, Carabinero distinguido de los esquádrones ligeros de la Real brigada de Carabineros. . , \ En los Regimientos de Milicias Provinciales ha conf</t>
  </si>
  <si>
    <t>Narciso de Clavería y Zaldua</t>
  </si>
  <si>
    <t>Una medalla de oro de media onza, con un busto de plata del Sr. Generalísimo Príncipe de la Paz, á D. Narciso de Clavería y Zaldua, pretendiente aprobado para el Colegio de Caballeros Cadetes del Real Cuerpo de Artillería. i.° Una medalla de plata de 60 rs. á Carlos Placer y Laplaza. Cantar. i.° Una medalla d</t>
  </si>
  <si>
    <t>Narciso Gonzalo del Rio</t>
  </si>
  <si>
    <t>carate, Valencia..,.,.,.,,' D.; Pedro Beyeya, Alicante....... D. Pedro Malsona ve, Burgos.......... D. Narciso Gonzalo del Rio, Malaga..,..,,.. D. Jayme Setta, Loustannau y Compañía. Cádiz.....Sresy Vienne y Larúe. Coruiia........... Sres. López, Sagastizabal é hijo. Santander...... D. Joser de Escalante.</t>
  </si>
  <si>
    <t>Navarro Arbizu, Juan Pedro</t>
  </si>
  <si>
    <t>Juan Pedro Navarro Arbizu</t>
  </si>
  <si>
    <t>é la ciudad de Xerez de la Rro.nte.ra á D. Antonio Josef Cortés; y para lá de la villa de Tobarra á D. Juan Pedro Navarro Arbizu. En América. -En el Batallón-auxiliar del Nuevo Reyno de Granada se -ha dignado S. M. conferir Compañía de granaderos al Capitán de fusileros D. Pedro Domínguez ; esta resulta al.</t>
  </si>
  <si>
    <t>Navarro de Egui, Felipe</t>
  </si>
  <si>
    <t>Felipe Navarro de Egui</t>
  </si>
  <si>
    <t>n de fusileros de los de CiudadRodrigo, Santiago y Lugo á los Tenientes D. Juan de Palacio y Villa, D. Felipe Navarro de Egui y D. Josef Lorente, y ál Capitán agregado</t>
  </si>
  <si>
    <t>Navarro Pingarron, Ramón</t>
  </si>
  <si>
    <t>Ramón Navarro Pingarron</t>
  </si>
  <si>
    <t>tidad al referido Osoro, libremente y sin fianza alguna. 1 Por providencia del Sr. Alcalde de Corte D. Ramón Navarro Pingarron, y escribanía de provincia de D,. Valdomero Moraleda, se ’ha“mancfádo sacar á publica subasta, por término de 15 dias contados desde el 3 del presente, una casa sita en</t>
  </si>
  <si>
    <t>nte. Quien quisiere aumentar dicha mejora acuda a la referida audiencia y C1poí providencia del Sr. D. Ramón Navarro Pingarron , del Consejo de S. M., Alcalde de su Real Casa y Corte, se ha señalado el martes 30 del corriente para el remate de una casa sita en esta Corte en la calle de los Reyes, num. 5,</t>
  </si>
  <si>
    <t>Navarro Villódres, Diego</t>
  </si>
  <si>
    <t>Diego Navarro Villódres</t>
  </si>
  <si>
    <t>a servido nombrar para la Canongía que resultará-vacante en la Catedral de Córdoba por promocien de D. Diego Navarro Villódres al Obispado dé da Concepción de Chile, en el Perú, á D. Felipe^entur^ González; Dean de la misma Iglesia; y para una Rae ron de la Catedral de Málagavacante: por fallecimiento de</t>
  </si>
  <si>
    <t>Navarro y María Caudevila, Francisco Xavier</t>
  </si>
  <si>
    <t>Francisco Xavier Navarro y María Caudevila</t>
  </si>
  <si>
    <t>anos de S. Vicente , nuestra Señora de la Misericordia, y fundaciones de D. Juan Bautista Mas, y de D. Francisco Xavier Navarro y Doña María Caudevila, baxo las mismas condiciones y examen. Para estimular á la buena educación en otras poblaciones de este Reyno se darán 6 premios de 50 rs., 4 para niños y 2 para niñas de las escu</t>
  </si>
  <si>
    <t>Navarro y Sangran, Diego</t>
  </si>
  <si>
    <t>Diego Navarro y Sangran</t>
  </si>
  <si>
    <t>tedráticos, y catorce Seminaristas, acompañados de su Ayo, Oficial militar. El Caballero Gobernador D. Diego Navarro y Sangran, Coronel de infantería, Presidente de la Junta, dando posesión al Director Don</t>
  </si>
  <si>
    <t>Navarro, Antonio Ignacio</t>
  </si>
  <si>
    <t>Antonio Ignacio Navarro</t>
  </si>
  <si>
    <t>pitán al Teniente de granaderos D. Josef María del Villar; á Teniente de granaderos al de fusileros Don Antonio Ignacio Navarro; á Tenientes de fusileros á los Subtenientes Don Vicente García Seijo, D. Josef María Herrera y D. Josef María del Castillo, el primero de granaderos y el tercero de bandera; á Su</t>
  </si>
  <si>
    <t>Navarro, Francisco</t>
  </si>
  <si>
    <t>Francisco Navarro</t>
  </si>
  <si>
    <t>gel de Nava, dirigiéndolas por Medina del Campo, Álaejos, Torrecilla de la Orden. Habiendo resuelto D. Francisco Navarro establecer en su casa-fábrica, plazuela dél Angcl, núm. 27, quarto segundo, una nueva y fundamental enseñanza de todo género de bordados, ha determinado dedicar las mejores horas de</t>
  </si>
  <si>
    <t>Navarro, Manuel</t>
  </si>
  <si>
    <t>Manuel Navarro</t>
  </si>
  <si>
    <t>cho de la Imprenta Real; en el Real Sitio de Aranjuez en la tienda del Rubio, y en Cádiz en casa de D. Manuel Navarro. Contiene los sucesos^p^incipales hasta la muerte del Dey de Argel; reflexiones sobre la mudanza delíMin^stro de Estado Otomano ; declaración del Ministerio Prusiano á los Estados</t>
  </si>
  <si>
    <t>cho de la Imprenta Real; en el Real Sitio de Aranjuez en la tienda del Rubio, y en Cádiz en vasa de D. Manuel Navarro. Contiene, la nota del MU11V ferio Prusiano, comunicada al General Duroc, sobre la entrada de tropas Franca sas en su territorio; declaración del Elector Arehi. Canciller á la Die</t>
  </si>
  <si>
    <t>cho de la Imprenta Reai; en el Real Sitio de Aranjuez en la tienda deL Rubio, y en Gádiz en casa de D. Manuel Navarro. Contiene el estado de la Europa á fines del año de 1805 ; la orden del Emperador Napoleón para que sus Generales auxiliasen á los Electores de Baviera, Wurtemberg y Badén en la t</t>
  </si>
  <si>
    <t>el Consejo de Hacienda &amp;c. Véndese m la librería de Ibarra, calle de la Gorguera; en Cádiz en la de D. Manuel Navarro, y en Barcelona en la de Generas.= Tratado de las suturas para la pronta y perfecta curación de Jas heridas. =r:Tratado de las úlceras crónicas de la córnea tr.imp: rente, poco co</t>
  </si>
  <si>
    <t>lm!pretifá1 Real; íefi ibl; IRéal Sitió de iAíráiijuez eñ la tienda del Rúbióy em Cádiz en casa de D. Manuel Navarro. Contiene lá continuación de los) djarios del éxétcitó del GeñéiíaT 'Kütusow; tíña ñóta’ dél Enviado Süfcco en Ratisbona declarando qiíe eLRdy sár aíidor rio tomaría parte en lás</t>
  </si>
  <si>
    <t>cho de la Imprenta Real; en el Real Sitio de Aranjuez en la tienda del Rubio, y en Cádiz en casa de D. Manuel Navarro. Contiene las opiniones de muchos militares Austríacos considerando inoportuno el armisticio que siguió á la batalla de Austerlitz; carta del Emperador Francisco al Conde de Brand</t>
  </si>
  <si>
    <t>cho de la Imprenta Real; en el Real Sitio de Aranjuez en la tienda del Rubio, y en Cádiz en casa de D. Manuel Navarro. Contiene la proclama dei Rey de Prusia pa</t>
  </si>
  <si>
    <t>cho de la Imprenta Real; en el Real Sitio de Aranjuez en la tienda del Rubio, y en Cádiz en casa de D. Manuel Navarro, Contiene -lo'e tratados entre el Príncipe Gran Prior de la Lengua Alemana del Orden de Malta y el Rey de Baviera sobre la coadjutoría dada á su hijo segundo; creación de la Oreje</t>
  </si>
  <si>
    <t>cho de la Imprenta Real; en el Real Sitio de Aranjuez en la tienda.del Rubio, 7 en Cádiz en casa de D. Manuel Navarro. Contiene el discurso del Presidente Jefferson en ia apertura del Congreso de los Estados-Unidos de América, y varias resoluciones contra Jos que apresasen sus marineros; contradi</t>
  </si>
  <si>
    <t>cho de la Imprenta Real; en el Real sitio de Aranjuez en la tienda del Rubio, v en Cádiz en casa de D. Manuel Navarro. Contiene la demarcación de los límites entre los Estados de Wurtemberg y de Badén; proclama del Rey de Baviera cediendo el Ducado de Berg; noticia de la batalla naval dada en las</t>
  </si>
  <si>
    <t>ña de 1 5; de Mayo, núm. 9.0, se hallará;,en el despacho de la Imprenta Real, y en Cádiz en casa de D. Manuel Navarro. Contiene la prohibición de comerciar los Ansio-Americanos con los Negros de Santo Domingo; la supresión de.los privilegios que tenían eii Turquía los Dragomanes ,en punto de come</t>
  </si>
  <si>
    <t>Mayo, núm. 10, se hallará desde el lunes en el despacho de la Imprenta Real, y en Cádiz en casa de D. Manuel Navarro. Contiene la contestación entre el Comandante Prusiano y el Sueco sobre ocupar al Lauenburgo; manifiesto del Ministerio Sueco sobre la conducta de la Prusia; inensagé del Rey de I</t>
  </si>
  <si>
    <t>de la Imprenta Real; en el Real sitio de S. Ildefonso en la tienda del Rubio, y en Cádiz en casa de D. Manuel Navarro. Contiene, entre otras cosas, la nota de Mr. Reden á la Dieta Germánica al presentar el manifiesto del Rey de Inglaterra contra Prusia; el discurso de Mr. Fox sobr; el mismo asunt</t>
  </si>
  <si>
    <t>de la Imprenta Real; en el Real Sitio de S..Ildefonso en la tienda del Rubio, y en Cádiz en casa de D. Manuel Navarro. Contiene el acontecimiento desgraciado de Mr. Jaubert al ir á Persia con una carta del Emperador Napoleón; proclama para la entrega de Anspach; respuesta del Rey de Suecia á una</t>
  </si>
  <si>
    <t>o de la Imprenta Real; en et Real Sitio de S. Lorenzo en la tienda del Rubio, y en Cádiz en casa de D. Manuel Navarro. Contiene las providencias tomadas en los Estados-Un idos con motivo de los nuevos insultos recibidos por los buques Ingleses; proclama del Rey Luis Napoleón y ley constitucional</t>
  </si>
  <si>
    <t>e Julio, núm. 14, se hallará desde mañana en el despacho de la Imprenta Real, y en Cádiz en casa de D. Manuel Navarro. Contiene los debates parlamentarios sobre el comercio de Negros'; los discursos del Rey y del Clero de Holanda con motivo de prestar juramento de fidelidad, y la ley constitucion</t>
  </si>
  <si>
    <t>paña de 15 de Agosto, num. 15, se hallará en el despacho de la Imprenta Real, y en Cádiz en casa de D. Manuel Navarro. Contiene la introducción al nuevo Reglamento para mejorar el sistema militar en Austria; mudanza de la constitución y gobierno de la Pomerania Sueca; estado de las negociaciones</t>
  </si>
  <si>
    <t>paña de 31 de Agosto, mim- 16, se hallará en el despacho de la Imprenta Real, y en Cádiz en casa de D. Manuel Navarro. Contiene la declaración del Emperador de Austria, abdicando el Imperio de Alemania, y otras de los Confederados y de la Francia hechas á la Dieta de Ratisbona: tratado de paz ent</t>
  </si>
  <si>
    <t>a de 15 de Setiembre, mim. 17, se hallará en el despacho de la Imprenta Real, y en Cádiz en casa de D. Manuel Navarro..Contiene lo' acaecido en las islas cercanas á las bocas del Cáttaro; proclama sobre él mal estado de las rentas en Austria; proclama del Rey de Suecia coñvocaíido los Estados dé1</t>
  </si>
  <si>
    <t>tiembre, núm. 18, se hallará desde mañana en el despacho de la Imprenta Real, y en Cádiz en casa de D. Manuel Navarro. Contiene la relación del Comandante de las fuerzas navales Rusas en el Adriá</t>
  </si>
  <si>
    <t>Navarro, Vicente</t>
  </si>
  <si>
    <t>Vicente Navarro</t>
  </si>
  <si>
    <t>. FranciscoQuesada, Don Juan Guillen, D. Agustín Librero, D. Nicolás Esterripa, D. Manuel Gallardo, D. Vicente Navarro, D. Josef Duaso, y D. Blas de Toro, Maestro de Ceremonias de la Real Capilla, de los Gentileshombres de Boca y Casa D. Vicente Lanz, D. Manuel Salazar, D. Manuel Pascual y Oto, D.</t>
  </si>
  <si>
    <t>Navas, Antonio</t>
  </si>
  <si>
    <t>Antonio Navas</t>
  </si>
  <si>
    <t>s, no compensan las pérdidas que experimentan toda la industria del mismo; país y sus consumidores: D. Antonio Navas, de primero, el valor natural-de todas las cosas se reduce á la suma 4e. la renta de la tierra, salarios de]&gt; trabajo,, y ganancias del fondo que sé ha empleado en$u producción ,</t>
  </si>
  <si>
    <t>Navas, Manuel</t>
  </si>
  <si>
    <t>Manuel Navas</t>
  </si>
  <si>
    <t>D. Carlos Sexti; á Cadete de número al supernumerario D. Juan Gómez, y á supernumerario al Guardia D. Manuel Navas. En la Brigada de Carabineros Reales ha promovido el Rey á Alférez de los esquadrones ligeros ai de la propia clase del Regimiento de dragones de Almansa D.;Pedro de las Casas: á</t>
  </si>
  <si>
    <t>Nazario Reding</t>
  </si>
  <si>
    <t>do promover á Coronel del Regimiento Suizo de Reding, número 3.°, al Coronel D. Nazario Reding, Teniente Coronel dei mismo s y á Subteniente de granaderos al de fusileros D. Alexandro Steger: en el de Reding, número 2.0, á Sargento mayor al Capitán de granaderos D. Beda Víctor, Conde</t>
  </si>
  <si>
    <t>Neale</t>
  </si>
  <si>
    <t>no quiere hacer la guerra; es menester pues declarársela;” „ No, continuó el Emperador hablando con Mr. Neale, no quiero yo la guerra; ñola quiero, no porque desconfíe de mi poder, como creeis, sino porque la sangre de mis pueblos es muy preciosa para mí, y porque es mi primera obligación</t>
  </si>
  <si>
    <t>Neison y de Mr, Lord</t>
  </si>
  <si>
    <t>Lord Neison y de Mr</t>
  </si>
  <si>
    <t>ria. Debemos lamentar la fatalidad, que en tan corto tiempo y en época tan crítica la ha privado de Lord Neison y de Mr. Pitt. (Star.) El Gobierno ha recibido pliegos del Lord Cathcart anunciando que conforme á Jas órdenes del Rey, ha hecho reembarcar sus tropas sin el menor peligro, que era de tem</t>
  </si>
  <si>
    <t>Nelson, Almirante</t>
  </si>
  <si>
    <t>Almirante Nelson</t>
  </si>
  <si>
    <t>etas, y.en la. deOrea , frente á S. Luis, á 26 rs. en pasta y 18 en rústica., Verdadero retrato del Almirante Nelson, muerto por los Españoles en el combate del dia 21 de Octubre de 1805 en las aguas de Cádiz batiéndose contra,el ña-? vio la Santísima Trinidad, pintado en: Londres por el célebre</t>
  </si>
  <si>
    <t>e 1805, sostenido en las aguas de Cádiz por la esquadra combinada contra la Inglesa, mandada por eí Almirante Nelson, escrita en verso octosílabo Porjj^* Tfr'C. R. El autor se ha propuesto escribir para que todos le entiendan, y asfdetíl ser apreciable esta relación, pues de ella inferirán íjuan</t>
  </si>
  <si>
    <t>Felipe, y en la de la viuda de Cerro, calle de Alcalá. ’ \ Parte segunda de la entrada pública del Almirante Nelson en la corte de Pluton: cqmprehende este papel la respuesta de Apolo al Almirante, vista de su causa, decreto absolutorio, y su traslación al cielo planetario. Se vende, con la prime</t>
  </si>
  <si>
    <t>397 zas sutiles, rechazando las que bombeaban á Cádiz, mandadas por el Contra-Almirante Nelson , y después siguió todos los destinos de la esquadra hasta entrar con ella en Brest, donde se encargó de su mando en ei año de 8oi, á fines del qual salió con 4 navios á auxiliar</t>
  </si>
  <si>
    <t>tación de D, Gil Cano Moya á D. Pablo Pedro de Astarloa; noticia de los honores'fán.ebres hechos al Almirante Nelson, de sus disposiciones testamentarias &amp;c. . .. ■— - -■ ■ ——— í------- ---■■ ---' ■' rr.-:-. r:—-—■- . D. Buenaventura Moreno , vecino de Madrid, remitió con carta de 9 de Mayo, deb</t>
  </si>
  <si>
    <t>o de medio cuerpo en París por J. J. Ramonet, y grabado por D. Juan Brunetti. Hace juego con el del Almirante Nelson, muerto por los Españoles. Se hallará en la librería de Escribano, calle de las Carretas, con otros varios retratos , á 4 rs., y el del Excmo. Sr. Generalísimo Príncipe de la Paz</t>
  </si>
  <si>
    <t>Nelson, Lord</t>
  </si>
  <si>
    <t>Lord Nelson</t>
  </si>
  <si>
    <t>s: puede ir en carta. . ^ Estampa fina qué representa el retrato del Almirante de la bandera blanca Lord Nelson, muerto por los Españoles el dia 21 de Octubre de 1805 batiéndose contra el navio Trinidad, á las 7 leguas de Cádiz, con el uniforme é-insignias que le corresponden, y el nombre d</t>
  </si>
  <si>
    <t>ario del Príncipe de Gales, se han asociado para dar al público la vida y Lis hazañas del Aimirante Lord Nelson. Para su composición han disfrutado las memorias del Almirante, cartas y varios papeles franqueados por diferentes marinos de superior graduación, y su correspondencia propia. Se</t>
  </si>
  <si>
    <t>ismo mes. • ■. Ayer envió el Rey un mens-ge á la Cámara de los Comunes pidiendo para la familia del Lord Nelson ura renta de 5® libras esterlinas ; y ademas 120® para la adquisición de una tierra y una casa.__ En la misma junta hubo largos y fuertes debates sobre el bilí relativo al impuest</t>
  </si>
  <si>
    <t>de Octubre del ano pasado murió Lord £&amp;nwall¡ís*ett la India Oriental: ¿ñ 21 dél mismo mes pereció Lord Nelson: en 23 de Enero de este año de 1806 murió Mr. Pitt: en 12 de Setiembre Lord Thurloxv terminó su carrera; y en fin, Mr. Fox ha muerto en 13 del corriente. Murió Mr. Fdxi el sábado</t>
  </si>
  <si>
    <t>arboladura, y por la pérdida de 30 hombres muertos o heridos, E¡. Rey ha persa i .0 al hermano del Lord Nelson y á sus herederos que usen el título de Duque de Bronto, concedido á dicho Almirante por S. M. Siciliana., ^ • i ■ Los vientos contrarios han impedido hasta ahora la salida de la ex</t>
  </si>
  <si>
    <t>Nemesio Iberri</t>
  </si>
  <si>
    <t>allón de infantería ííxo de Veraeruz se ha servido S. M. promover á Subteniente ai segundo Ayudante D. Nemesio Iberri, y á segundo Ayudante, con grado de Subteniente, ai Sargento primero D. Antonio Gómez. El Rey se ha dignado conceder Ayudantía Veterana en el Regimiento de Milicias disciplinadas</t>
  </si>
  <si>
    <t>Ney, Mariscal</t>
  </si>
  <si>
    <t>Mariscal Ney</t>
  </si>
  <si>
    <t>: el Mariscal Davoust ocupa á Presburgo, capital de la Hungría: el Mariscal Soult ocupa á.Viena: el Mariscal Ney ocupa la Carintia: el General Marmont la Styria; el Mariscal Massena la Carniola: el Mariscal Augereau queda en reserva en la Suabia. El Mariscal Massena con el exército de Italia</t>
  </si>
  <si>
    <t>n éstois enganches* asean reputados y tratados como en estado de guerra con Francia.” El cuerpo del Mariscal Ney lia mudado de destino ; y en virtud de las órdenes que acaba de recibir , se ha trasladado de Saltzburgo á Vülach cu Carimhia. ■ ■ \ i;?-;.' • ' ¡ ' . , ... : i - ■ gí a n ; bre t</t>
  </si>
  <si>
    <t>e su mando, que consta de 14,300 hombres efectivos y de algunos miles de caballos..__ Él cuerpo del Mariscal Ney ha pasado el JLech, y ha entrado en la Suabia Superior. GRAN BRETAÑA. Londres 22 de Febrero. Vemos con mucho sentimiento por ios papeles Americanos que hemos recibido hasta el 15</t>
  </si>
  <si>
    <t>avierá &lt;kc., y la guarnición Francesa deBraunau ha recibido urden, de estarse quieta. El cuerpo del Mariscal Ney ha hecho alto en la Suabia Superior, y lo</t>
  </si>
  <si>
    <t>berg; este último General acaba de recibir la banda de la Corona de hierro en Memmingen de mano del Mariscal Ney. Francfort $ de Abril. La permanencia del Rey de Suecia en Alemania es un acontecimiento digno de atención en las actuales circunstancias; y hay quien asegura como cosa cierta que</t>
  </si>
  <si>
    <t>i se han puesto en marcha los cuerpos de exército que había en Suabia, á excepción del que manda el Mariscal Ney, que ha salido de Memingen, con destino á Stockach, en donde sabrá lo que ha de hacer ulteriormente. ■ Mr. de Manfredini, primer Ministro del Elector Fernando, y Encarga</t>
  </si>
  <si>
    <t>el Principado de Lubeck se agregará á Ja Corona de Dinamarca._Las tropas Francesas mandadas por ci Mariscal Ney, que esta* ban en las inmediaciones de Meininingen y de Kempten, se han puesto en marcha para el RhinJ ^ Ños avisan de Hamburgo que viene caminando al Sund y al mar Báltico una es</t>
  </si>
  <si>
    <t>aballería ligera del General Lasalle, 2 Regimientos de hú sares y 2 de cazadores. 5.0 El cuerpo del Mariscal Ney, en la Suabia Superior, comprehende la división del General Dupont, un Regimiento de infantería ligera, 2 de línea y uno de húsares; la división del General Marchand, un Regimient</t>
  </si>
  <si>
    <t>izo la campaña de Bohemia. Después que se disolvió aquel cuerpo pasaron estos dragones al mando del Mariscal Ney. Se espera la venida de otros Regimientos á la orilla del Rhin. París $ de Junio. Las contestaciones entre la Rusia y el Austria se han terminado con felicidad; las tropas Rusas h</t>
  </si>
  <si>
    <t>78 6 cito grande lo executará del modo siguiente: el cuerpo del Mariscal Ney pasará el Rhin por el puente del Nuevo-Brisack. Los de los Mariscales Mortier, Bernadotte y Augereau pasarán el mismo rio por el puente de Maguncia. El del Mariscal Soult y las di</t>
  </si>
  <si>
    <t>llegado á Ulma, y sigue también su camino á la Franconia. La mayor parte del cuerpo de exército del Mariscal Ney ha pasado ya el Danubio, dirigiéndose también á la Franconia. El cuerpo de exército del Mariscal Soult marcha en diferentes divisiones hacia Nuremberga y á las fronteras del Princ</t>
  </si>
  <si>
    <t>e todos los almacenes del enemigo ;de hizo'muchos prisioneros, y el io tomó la vuelta de Plauen. El Mariscal Ney siguió estos movimientos á media jornada de distancia. El Gran Duque de Berg salió ei 8 de Cronach con toda la caballería ligera, y se dirigió á Saalburgo, llevando consigo el Reg</t>
  </si>
  <si>
    <t>Pontecorvo- en Zeist: el quartel Imperial en. Gerau la guardia Imperial y el cuerpo de exército del Mariscal Ney en Ncustadt ; en primera línea el cuerpo efe exército del Mariscal Davoust en Naumburgo: el del Mariscal Latines en Jena: el del Mariscal Augereau en Kala. El Príncipe Gerónimo, á q</t>
  </si>
  <si>
    <t>__ El del Mariscal Lannes llegó á Tena___ El del Mariscal Augereau estaba situado en Kahla. _EL del Mariscal Ney en Roda.__ El quartel general se hallaba en Gera___ El Emperador estaba en marcha para Jena; y el cuerpo del Mariscal Soult caminaba desde Gera á apostarse mas cerca de la reunión d</t>
  </si>
  <si>
    <t>e ocupaba el cuerpo del Mariscal Lannes. La derecha se formaba por el cuerpo del Mariscal Soult; el Mariscal Ney solo tenia el corto número de 3© hombres. "f El exército enemigo era numeroso, y se veía una excelente caballería. Sus maniobras las executaba con orden y rapidez. El Emperador hu</t>
  </si>
  <si>
    <t>carranó 14 leguas en tin dia. __El Emperador quedará te do el día 25' en Potsdám---- :EI cuerpo del Mariscal Ney bloquea á Mágdeburgo.__ El cuerpo del Mariscal Soillt ha pasado el Eiha,á una jornada de Mágdeburgo, y persigue al enemigo, que se retira sobre Stettin.__ El tiempo se mantiene bu</t>
  </si>
  <si>
    <t>as que ha hecho el exército, pues con su posesión nos vemos dueños de todas las plazas del Oder. El Mariscal Ney se disponía seriamente á embestir la plaza de Msgdeburgo, la qual es regular que no haga mucha resistencia. El dia 31 estaba el quartel general del Gran Duque de Berg en Friedland</t>
  </si>
  <si>
    <t>para Magdeburgo, que se conrduce por el Elba. Esperamos que esta plaza, cuyo sitio está á cargo d^l Mariscal Ney, se rendirá pronto. DIARIO VIGESIMONONQ DEL EXERCIJO GRANDE» Berlín s&gt; de Noviembre. l La brigada de dragones deLGeneral Beker se ha presentido4ioy en i» parada. S. M. ha hecho va</t>
  </si>
  <si>
    <t>carros. Hay en el dia bastantes Regimientos de caballería que tienen muchos millares ae escudos. El Mariscal Ney, Comandante del sitio de Magdeburgo, hizo bombarDurante estos acontecimientos importantes han llegado muchos cuerpos de nuestro exército al Vístula. El correo de Varsovia ha traii</t>
  </si>
  <si>
    <t>or de la vanguardia; y el Cápitan Regnard, individuo de la Legión de Honor, y Edecán del Excmo. Sr. Mariscal Ney, todos estipulando en nombre del Maris-cal del Imperio Ney, Gran Cruz de la Legión de Honor, Gefe de la sexta cbhorte, Caballero de la Orden de Cristo de Portugal, y Comandante en</t>
  </si>
  <si>
    <t>guarnición de Magdeburgo desfiló ayer 11, á las 9 de la mañana, delante del cuerpo de exército del Mariscal Ney. Se hallan en nuestro poder 20 Generales; 800 Oficíales; 22® soldados, Cabos y Sargentos , entre ellos 2® artilleros; 54 banderas; 5 estandartes; 800 cañones; un millón de libras</t>
  </si>
  <si>
    <t>serva que el Gran Duque de Berg tenia en Lubeck, liegaq á Berlín. JLa vanguardia de la división del Mariscal Ney., que obligó á capitular la plaza de Magdeburgo, ha entrado hoy en Berlín... - ..,r ¡I/as divi dí&gt;nes. del Principe de PonterCorvo y del ^lariscal SopU. §stná en camino para Berlí</t>
  </si>
  <si>
    <t>Nicasio</t>
  </si>
  <si>
    <t>condecorados con me-» dallas fuéroñ p. Fulgéncio Bobílá, D. Francisco Irigóyen, D. Luis Potestá ,, D. Nicasio* Zamora, D. Lorenzo Ruiz Mateos, D. Santiago Mordelía, D. Jfosef-Cálvi, D. Ántoniq "EHzaldé, D. Benigno Risueño, D. Baltasar B,alagqervljL josef FernandezsRanes, D, Diego Mosquera</t>
  </si>
  <si>
    <t>Nicasio Davouza</t>
  </si>
  <si>
    <t>ferir Compañía de granaderos al Capitán de fusileros D. Pedro Domínguez ; esta resulta al.agre,gado D. Nicasio Davouza ; Ayudan tía-al'primer Teniente D: Ignacio Salcedo; primera Tenencia ai Teniente dé granaderos D..Miguel de Cé pides; -esta resulta al de fusileros, graduado' de Capitán , D. Dion</t>
  </si>
  <si>
    <t>Nicholson</t>
  </si>
  <si>
    <t>a del salón del Congreso Mr. Leib, Representante del Estado de Pensilvania, trató mal de palabras á Mr. Nicholson, Representante de Maryland, y se desco mpuso hasta el punto de llamarle embustero. El denuesto acarreó,una pendencia» en la quai batallaron á puñadas con tanto acaloramiento, que</t>
  </si>
  <si>
    <t>DEL MARTES 20 DE MAYO DE 1806. ESTADOS-UNIDOS DE AMERICA. 'Washington tj&gt; de Marzo, A propuesta de Mr. Nicholson ha tomado la Cámara de los Representantes una resolución severa contra la Inglaterra. Todavía no ha sido confirmado el bilí; pero en la votada se ha visto tal mayoría, que es muy</t>
  </si>
  <si>
    <t>NicolásCaro</t>
  </si>
  <si>
    <t>de acuerdo de la Comisión gubernativa , se han mandado sacar a pública subasta las fincas que dexó D. NicolásCaro,, Presbítero, i favor de nuestra Señora de la Asunción de la Iglesia Parroquial de Santa María de dicha villa, y son las siguientes: un huerto cíe palmeras, con casa y cerca, sito</t>
  </si>
  <si>
    <t>Nieto Herrero, Pedro</t>
  </si>
  <si>
    <t>Pedro Nieto Herrero</t>
  </si>
  <si>
    <t>a Catedral de Toledo, -vacante por-fallecimiento del limo. ;Sr. :D. iMa*-nuel Abad y la ;Sierra, ¿á D. Pedro Nieto Herrero, Capellán mayor de k misma [Iglesia: parp ia Dignidád ide Arcediano de Euénte-Saúco ,:en la Car tedral de Zamora, vacante por muerte de D. Vicente Monroy, á D. Francisco Antonio G</t>
  </si>
  <si>
    <t>ervido nombrar para la Dignidad de Capellán mayor de la Iglesia de Toledo, vacante por promoción de D. Pedro Nieto Herrero á la de Abad de S. Vicente de la misma Iglesia, á D. Francisco Xavier Vaz</t>
  </si>
  <si>
    <t>Nieto, Henrique</t>
  </si>
  <si>
    <t>Henrique Nieto</t>
  </si>
  <si>
    <t>or lo segundo en Pedro Ferrari, León Cermeño, Lino Carnero y Francisco González.__ En la escuela de D. Henrique Nieto se adjudicó el primero por leer y demas ramos á Benito Sangrador y Simón Rodríguez; y el de escribir á Valentín Llanos y Mariano Rodríguez, habiéndose declarado el accésit por lo</t>
  </si>
  <si>
    <t>Nietq, Francisco</t>
  </si>
  <si>
    <t>Francisco Nietq</t>
  </si>
  <si>
    <t>.dey grana de ros Don Lorenzo. Casado; y Subtenencias de bandea a .los Cadetes^, ^Antonio Alguer y D. Francisco Nietq.y Recjo» . • v, ?. , ' &gt;■, ; ■ ¡ Ei Rey se ha servido nqml?rar Tenfcht^ Coronel dqf, Regí miento de im: fantería Suizo, de Betschart.á D,. Pablo\Sehwiter.,,Capítan del- j^isapycqe</t>
  </si>
  <si>
    <t>Nion y Caamaño, Juan</t>
  </si>
  <si>
    <t>Juan Nion y Caamaño</t>
  </si>
  <si>
    <t>s, Don Fausto de Chozas y D. Pedro Bernaldes: en el de la Princesa Subtenencia de bandera al Cadete D. Juan Nion y Caamaño: Tenencia en el Regimiento de infantería de Jaén al Subteniente de granaderos D. Francisco Rodrigo Vallabriga : Subtenencia de bandera en el mismo Regimiento al Sargen-r to primer</t>
  </si>
  <si>
    <t>Noel</t>
  </si>
  <si>
    <t>ble obra se había impreso 19 . veces .en ingles quando Ja traduxo en francés el ciudadano Noel, y después se ha reimpreso algunas otras mas, que es la mayor prueba de su mérito. Los subscriptores á la traducción castellana podrán acudir á la librería de</t>
  </si>
  <si>
    <t>Nogués y Acevedo, Francisco</t>
  </si>
  <si>
    <t>Francisco Nogués y Acevedo</t>
  </si>
  <si>
    <t>viese por mas conveniente. A su conseqüencia, por decreto que proveyó en 22 de Agosto último el Sr. D. Francisco Nogués y Acevedo, Caballero pensionado de la Real y distinguida Orden Española de Carlos m, del Consejo de S. M. en el Supremo de Hacienda, Subdelegado general de Bienes mostrencos, Vacantes y Abi</t>
  </si>
  <si>
    <t>Nogues, General</t>
  </si>
  <si>
    <t>General Nogues</t>
  </si>
  <si>
    <t>Prefecto de París, el Senador Lacepede , el Cardenal Arzobispo de París, el Corregidor Dupon t, él General Nogues, el Presidente del Tribunado, Mr. Rouille de fEtang, Mr. Arnoud, miembro del Tribunado , Mr. de la Sallette. En junta del día io adoptó el Tribunado la’proposición de Mr. JardPanv</t>
  </si>
  <si>
    <t>dias en esta residencia, adonde van llegando muchos empleados en la Casa Real. De este número es el General Nogues, primer Ayudante del Rey y Gobernador de los palacios de S. M. y de su residencia. Este General ha tomado ya posesión, en su ultima calidad, del-* Gobierno del Haya, que hasta ent</t>
  </si>
  <si>
    <t>Noguez Ballestero, Teniente General</t>
  </si>
  <si>
    <t>Teniente General Noguez Ballestero</t>
  </si>
  <si>
    <t>eremonias; al Teniente General Dumonceau Ministro Plenipotenciario cerca del Emperador Napoleón; al Teniente General Noguez Ballestero mayor; al Coronel Broc Mayordomo</t>
  </si>
  <si>
    <t>Nolasco Cabezón, Pedro</t>
  </si>
  <si>
    <t>Pedro Nolasco Cabezón</t>
  </si>
  <si>
    <t>f Cortina; y para una Media-Ración de la Catedral de Calahorra, por muerte de D. Felipe Zaballa , á D. Pedro Nolasco Cabezón, Cura de la Parroquial de Quintanas-Rubias de Arriba y Quintanas-Rubias de Abaxo, Diócesi de Osma. S. M. se ha servido nombrar para una Canongía de la Colegiata de Santa Ana de Ba</t>
  </si>
  <si>
    <t>North, Lord</t>
  </si>
  <si>
    <t>Lord North</t>
  </si>
  <si>
    <t>en el distrito de la Parroquial de S» Justo de dicha ciudad» , -.'Historia de la administración dej Lord North, primer Ministro que fué de Inglaterra, y de la guerra de las colonias hasta la paz de 1783. Trátase en esta obradel máncjoque tuvo aquel*célebre Ministro durante su gobierno; cóm</t>
  </si>
  <si>
    <t>posición mías fuerte y poderoso. Ocasionó su súbita salida de la Tesorería una disputa que tuvo con Lord North* acerca de un impresor , á quien se mandó comparecer en la Cámara por ciertas expresiones^ injuriosas hacia el ¿Secretario: Sir Fíetcher vNorthon- No se sabe si éñ ésta deasioii M</t>
  </si>
  <si>
    <t>own, fué nombrado para sucederie. Despedido este Ministerio de corta duración, se unió de nuevo con Lord North, y volvió á ocupar su primer empleo: entonces presentó el bilí de la India, que después de aprobado por la Cámara de los Comunes , fué desestimado por la de los Pares, ocurrencia</t>
  </si>
  <si>
    <t>Norzagaray, Manuel</t>
  </si>
  <si>
    <t>Manuel Norzagaray</t>
  </si>
  <si>
    <t>ca, y Préstamo de S. Martin dé Villaximeno, en el Arzobispado de Burgos, vacantes por promoción de. D. Manuel Norzagaray á Canongía de la Catedral de Lérida, á D. Ramón Hernández Ruano; El Rey se ha dignado nombrar para el Corregimiento de Letras de la ciudad de Orense á D. Marcos Antonio Bonifaz: p</t>
  </si>
  <si>
    <t>Nota del Barón de Albini</t>
  </si>
  <si>
    <t>n destacamento Austríaco. ALEMANIA. Ratisbona j? de Mayo. La comunicación de la Nota del Barón de Albini, Ministro dírectorial, relativa á la elección que ha hecho S. A. S. el Elector Archicanciller del Cardenal Fesch para su coadjutor, ha producido en la Dieta una gran sensación. Todos los su</t>
  </si>
  <si>
    <t>Novella, Miguel (capitán)</t>
  </si>
  <si>
    <t>Capitán Miguel Novella</t>
  </si>
  <si>
    <t>85 hombres y 6 piezas de artillería, contra el xabeque corsario Ingles nombrado la Felicidad , del Capitán Miguel Novella, alias eí Papa, de 12 piezas de artillería y 63 hombres de tripulación. La acción se díó.al abordage, y duro solo 20 minutos, habiendo logrado nuestra gente en tan breve espacio r</t>
  </si>
  <si>
    <t>Noy, Mariscal</t>
  </si>
  <si>
    <t>Mariscal Noy</t>
  </si>
  <si>
    <t>lasr.-jyic|¿níta$ no interrumpidas del exército Francés en Alemania, y la entrada; del £ic rpo del Mariscal Noy en el Tiro!, se vio precisado!á&gt;Evacuar.;el‘p^isizd&amp;'Jpr¿necia y el Tirol Itas¿ liano. Nuestra guarnicioh se embarcó piara. Áqüvfey' Trieste. Sin embargo, quedaron algunas tropas Au</t>
  </si>
  <si>
    <t>Nuiiez Castro, Alonso</t>
  </si>
  <si>
    <t>Alonso Nuiiez Castro</t>
  </si>
  <si>
    <t>. Fernando el rir, Rey de Castilla y León, protector de la Real Brigada de Carabineros, escrita por D. Alonso Nuiiez Castro, Cronista de S. M.; un tomo en 4.0 marquilla: lleva una estampa fina del Santo, grabada por Muntaner. Se hallará en la librería de Gómez, calle de las Carretas, á 28 rs. en pasta</t>
  </si>
  <si>
    <t>Nuñéz Casquiero de Santa María, Santiago</t>
  </si>
  <si>
    <t>Santiago Nuñéz Casquiero de Santa María</t>
  </si>
  <si>
    <t>está tasada . en 1.425,414 rs. en venta, y 40,600 en renta. Quien quisiere hacer postura acuda ante D. Santiago Nuñéz Casquiero de Santa María, Alcalde mayor de dicha ciudad, por la escribanía de Francisco Ximenez, dentro de 30 dias contados desde el 25 de Abril próximo pasado. Por el juzgado del Sr. D. Diego Gil Fernand</t>
  </si>
  <si>
    <t>Núñez de Murcia, Diego</t>
  </si>
  <si>
    <t>Diego Núñez de Murcia</t>
  </si>
  <si>
    <t>Gil Santibañes, del comercio de esta Corte, remitió j&gt;or el correo de 15 de Enero próximo pasado á D. Diego Nuñez de Murcia, de Vtgo, seis vales Reales dé á 150 pesos, creación íde 1.° de Enero, renovados á su nombre, y cedidos al de este, cuyos números son: 23:1.367» .231208, 230261, 12/281, ^27055 y</t>
  </si>
  <si>
    <t>nuel Gil bantihañes 6 vales Reales de 150 pesos, creación de i.° de Enero, endosados con su firma i D. Diego Nuñez de Murcia , vecino de Vigo, cuyos números son los siguientes: 2313Ó7, 231202, 239261, 2.27055, 223788 y 227281; y habiéndose extraviado, quien supiere de su paradero sp servirá avisar en es</t>
  </si>
  <si>
    <t>Núñez Robres, Francisco</t>
  </si>
  <si>
    <t>Francisco Núñez Robres</t>
  </si>
  <si>
    <t>efixados se habrá de seña» lar el del remate habiendo proposición admitida. Por providencia dek Sr. D. Francisco Nuñez Robres, Gobernador militar y político de la villa de Cieza, Re y no de Murcia, se ha mandado subastar la casa» posada pública y sus seis pequeñas accesorias, afectas á la pía memoria que</t>
  </si>
  <si>
    <t>Núñez, Carlos</t>
  </si>
  <si>
    <t>Carlos Núñez</t>
  </si>
  <si>
    <t>entes de bandera al Sargento primero de granaderos D. Miguel García, y á los Cadetes D. Juan Nuñez, D. Carlos Nuñez y D. Francisco Josef Miura : á Teniente en el batallón Veterano de la Concepción de Chile al Subteniente D. Juan Calderón, y á Subteniente al Cadete D. Pedro Truxillo: Compañía en el</t>
  </si>
  <si>
    <t>Núñez, Diego</t>
  </si>
  <si>
    <t>Diego Núñez</t>
  </si>
  <si>
    <t>traviado, el que los hubiese hallado se servirá entregarlos al expresado Santibañes en Madrid, ó al D. Diego Nuñez en Vigo. ,^En la provincia de Extremadura, á. voluntad de su dueño, se venden dos dehe-, «editas en término de la villa de Guadakanal, conocidas la una por la de la Plata , sus frut</t>
  </si>
  <si>
    <t>upiere de su paradero sp servirá avisar en esta Corte á dicho D. Manuel Gil Santibañes, ó en Vigo á D. Diego Nuñez dp Mlircia» Por providencia de D. Francisco Antonio Santos, Comisionado Regio para la enajenación de bienes secularizados en la Diócesi deB.arbastro, se han mandado sacar á públic</t>
  </si>
  <si>
    <t>Núñez, Juan</t>
  </si>
  <si>
    <t>Juan Núñez</t>
  </si>
  <si>
    <t>ez; y ¿ Subtenientes de bandera al Sargento primero de granaderos D. Miguel García, y á los Cadetes D. Juan Nuñez, D. Carlos Nuñez y D. Francisco Josef Miura : á Teniente en el batallón Veterano de la Concepción de Chile al Subteniente D. Juan Calderón, y á Subteniente al Cadete D. Pedro Trux</t>
  </si>
  <si>
    <t>O-Daly, Pedro</t>
  </si>
  <si>
    <t>Pedro O-Daly</t>
  </si>
  <si>
    <t>l empleo de Teniente Coronel al Comandante del tercer batallón del de Irlanda, graduado de Coronel, D. Pedro O-Daly: en el de America Ayudantía al Teniente de granaderos D. Pedro Roseliy; y en el de Voluntarios de Estado Subtenencia de bandera ai Sargento primero D. Francisco Val verde. - En Am</t>
  </si>
  <si>
    <t>O-Donell, Francisco</t>
  </si>
  <si>
    <t>Francisco O-Donell</t>
  </si>
  <si>
    <t>en el Regimiento de infantería de Irlanda Compañía al Teniente de granaderos, graduado de Capitán, D. Francisco O-Donell; y ernel de Voluntarios de la Corona.Tenencias á lo# Subtenientes de granaderos, graduados de Teniente, D. Juan Mendivil y Don Mariano González, y Subtenencia de bandera al Cadete</t>
  </si>
  <si>
    <t>Obercamp</t>
  </si>
  <si>
    <t>. El Emperador estuvo uno de estos dias en Jouy, donde visitó la fábrica y manufactura dirigida por Mr. Obercamp; después de haber manifesta•do su satisfacción por la actividad é inteligencia con que dirige el establecimiento, preguntó ¿ Mr. Obercamp si era individuo de la Legión de Honor, á</t>
  </si>
  <si>
    <t>Obispo de Augsburgo, Príncipe</t>
  </si>
  <si>
    <t>Príncipe Obispo de Augsburgo</t>
  </si>
  <si>
    <t>via.__ Corre muy valida la voz de que el Príncipe Clemente de Saxo»ia,antuvio Elector de Tréveris y Príncipe Obispo de Augsburgo, recibilá el Capelo cardenalicio, y será Primado de Baviera. BAVIERA. Augsburgo 2$ de Enero. S. M. el Emperador de Austria ha nombrado al Conde de Saurau para</t>
  </si>
  <si>
    <t>Obregon, Juan</t>
  </si>
  <si>
    <t>Juan Obregon</t>
  </si>
  <si>
    <t>de fusileros de los de Ciudad-Rodrigo, Toro, Burgos, Plasencia, Guadix y Granada á los Subtenientes D. Juan Obregon, D. Antonio Conde, D. Josef Herrera, D. Antonio Villaarnil, D. Josef Correa y D. Pedro Martinez Coronado: á Subtenientes de granaderos de los de Guadix, Santiago y Tuy á los de fu</t>
  </si>
  <si>
    <t>Ocampo, Manuel</t>
  </si>
  <si>
    <t>Manuel Ocampo</t>
  </si>
  <si>
    <t>ef Narciso Dongo: para la Canongía que dexa Melendez á D. Pedro Agustín Cabrera: para la de Dongo á D. Manuel Ocampo; y para la Ración de Cabrera á D. Mariano Pacheco, Cura en el Obispado de Arequipa. Asimismo, y en consideración á los particulares y dilatados servicios de D. Miguel Gregorio de</t>
  </si>
  <si>
    <t>Ocan y Heredia, Felipe</t>
  </si>
  <si>
    <t>Felipe Ocan y Heredia</t>
  </si>
  <si>
    <t>se demuestra su insuficiencia,y notabilísimos defectos en los principios primeros de la música, por D. Felipe Ocan y Heredia: dalo á luz D. F rancisco Olí vares, Presbítero. Se hallará en la librería de Llera, plazuela del Angel: su precio 3 rs. Puede ir en carta. Estampa nueva de Sta. Teresa de Jesús,</t>
  </si>
  <si>
    <t>Ochoa, Miguel</t>
  </si>
  <si>
    <t>Miguel Ochoa</t>
  </si>
  <si>
    <t>añías de .granaderos de los de Salamanca y Soria á los Tenientes de fusileros I). Josef'de Tejada y D. Miguel Ochoa: Tenencias de fusileros en los de Ciudad-Rodrigo y Alcázar al Subteniente Don Antonio del Yerro, y Teniente agregado D. Juan Ramírez: las Subtenencias de granaderos de los de Toro</t>
  </si>
  <si>
    <t>Odero, Félix</t>
  </si>
  <si>
    <t>Félix Odero</t>
  </si>
  <si>
    <t>rez de Faria. Por ser dignos de la noticia del publico los siguientes hechos de Félix Odero, vecino de San Lucar de Barrameda, é individuo de su Matrícula de mar, ha resuelto la Superioridad que se inserte en esta Gazeta el certificado de ellos, dado por el Comandante militar-de</t>
  </si>
  <si>
    <t>económica la satisfacción de que la piedad del Rey recompensase el mérito y extraordinario valor de D. Félix Odero con el grado y sueldo de Alférez de Fragata de la Real Armada, por la intrepidez y humanidad que mostró en el socorro de los que naufragaron por estas costas concluido el combate</t>
  </si>
  <si>
    <t>Odón Soler</t>
  </si>
  <si>
    <t>: para el Priorato Dignidad y primera Silla de la Colegiata de Besalu, en el Obispado de Gerona, á D. Odón Soler, Cura Párroco del lugar de Con cabe lia en el Obispado de Urge!; y para un Beneficio de lá Catedral de Gerona ¿ titulado de Santa. Catalina., á D. Francisco Turón. . . .•( ;; ;-.:</t>
  </si>
  <si>
    <t>Oiavarria, Alexandro</t>
  </si>
  <si>
    <t>Alexandro Oiavarria</t>
  </si>
  <si>
    <t>ferir empleos de Conductores de Artillería a los Sargentos del propio Real cuerpo D. Mariano Negre, D. Alexandro Oiavarria, D* Pablo Iglesias, D* Francisco Guarro, D. Felipe Casalduc, D. Josef Moya, D* Domingo de los Santos, D. Marías Cruz, D. Josef Valenzueta, D. Cándido Turit, D* Nicolás Dehesa y D.</t>
  </si>
  <si>
    <t>Olaguer de León</t>
  </si>
  <si>
    <t>ha servido promover á Teniente en el Regimiento de infanría de Saboya al Subteniente de granaderos D. Olaguer de León: á Subteniente de bandera en el de Jaén al Cadete del dé Africa D. Josef Cabrera y Surga; y en el batallón de infantería ligera de Voluntarios de Tarragona á Subteniente de bander</t>
  </si>
  <si>
    <t>Olaguer Desvalls</t>
  </si>
  <si>
    <t>el Regimiento de caballería del Príncipe se ha servido el Rey conceder empleo de Portaestandarte á D. Olaguer Desvalls, Cadete de Reales Guardias Españolas; y en el de Calatrava Ayudantía al Teniente, graduadode Capitán, D. Francisco Serrano. También se ha servido S. M. promover á Sargento mayor d</t>
  </si>
  <si>
    <t>Olbers</t>
  </si>
  <si>
    <t>propone por asunto del premio dar la teoría de las perturbaciones del planeta Palas descubierto por Mr. Olbers. Las obras que se envíen al concurso deberán estar escritas en francés ó en latín, y no se recibirán hasta 1.° de Octubre de este año._2¡° Noticia de las tareas de la clase, desde</t>
  </si>
  <si>
    <t>Olives, Juan</t>
  </si>
  <si>
    <t>Juan Olives</t>
  </si>
  <si>
    <t>ara un Beneficio Subdiaconil de la misma Catedral, vacante por fallecimiento de D. Juan Cartes; y á D. Juan Olives para una Canongíá de ia Colegiata de Liado, Obispado de Gerona. • El Rey se lia servido conferir el empleo de Sargento: mayor ^eí Regimiento de infantería de Hibernia aí Capitán D</t>
  </si>
  <si>
    <t>Olleros, Pedro Antonio</t>
  </si>
  <si>
    <t>Pedro Antonio Olleros</t>
  </si>
  <si>
    <t>escribanía de Ayuntamiento á cargo de D. Juan de Mata Redulfo, ó del Síndico Procurador del pueblo D. Pedro Antonio Olleros. Consejos y preceptos de Medicina, escritos por el Dr. Ricardo Mead, Médico que fué del Rey de Inglaterra. Un discurso sobre las qualidades que constituyen y perfeccionan á los Mé</t>
  </si>
  <si>
    <t>Oñate, Andrés</t>
  </si>
  <si>
    <t>Andrés Oñate</t>
  </si>
  <si>
    <t>postura i. la referida dehesa comparezca ante el mismo Corregidor , por la escribanía numeraria de D. Andrés Oñate, dentro de 30 días contados desde el 1.8 de Agosto último; en la inteligencia de qué en el día siguiente próximo i su conclusión se celebrará el remate. Por providencia de D. Anto</t>
  </si>
  <si>
    <t>Oñate, Manuel</t>
  </si>
  <si>
    <t>Manuel Oñate</t>
  </si>
  <si>
    <t>Antonio Fernandez para la Dignidad de Tesorero de la Catedral de Albarracin, vacante por muerte de D. Manuel Oñate: á D. Miguel Pagós para una Capellanía residencial de la Parroquia de Santa María del Mar de Barcelona * vacante por fallecimiento de D. Antonio Santa María; y á D. Ramón Casadeva</t>
  </si>
  <si>
    <t>Onofre Noviola</t>
  </si>
  <si>
    <t>undo Ayudante D. Ramón Blay; esta resulta al Teniente D. Félix Llorens ; la Tenencia al Subteniente D. Onofre Noviola, y la de Subteniente de bandera al Cadete D. Félix Grifols. El Rey se ha servido conferir Compañía en el Regimiento de infantería de Córdoba al Teniente Coronel D. Anselmo Plaza,</t>
  </si>
  <si>
    <t>Onofre Valiente</t>
  </si>
  <si>
    <t>el REYpromover á Teniente al Subteniente D. Pedro Valiente ;á Subteniente de compañía aí de bandera D. Onofre Valiente, y á Subteniente de bandera al Cadete D. Josef Navarro. El dia 29 de Agosto próximo pasado fatíecíó en esta Corte, á los 44 años y 4 meses de edad, la Excma. Sra. Doña Juana María</t>
  </si>
  <si>
    <t>Ordoner</t>
  </si>
  <si>
    <t>neral de división , que fué herido en la batalla de Austerliiz; Mr. Hsutpoult, General de división; Mr. Ordoner, General de división y Comandante de las guardias de á caballo; Mr. Petiet, Intendente del exército grande y Consejero de Estado ; Mr. Barral, Arzobispo de Tolosa; Mr. Faletti-Bar</t>
  </si>
  <si>
    <t>Orduña, Francisco</t>
  </si>
  <si>
    <t>Francisco Orduña</t>
  </si>
  <si>
    <t>rasagasti, de la formación y naturaleza de las substancias animales: D. Pedro Vived, de los ácidos: D. Francisco Orduña, del agua: Dé Francisco Perez, de las sales;’ y D. Josef Bejar, de la luz. _ Después acreditaron en sus respuestas el roa</t>
  </si>
  <si>
    <t>Oregbrió González Azaróla</t>
  </si>
  <si>
    <t>tituto nacional de Francia , leída' con aplauso en este Cuerpo sabio, y publicada en castellano por D. Oregbrió González Azaróla. Todos rezelábamos que el dulzor de la utfa y demas fruta bien sazonada dependía de una especie de azúcar que la naturaleza elabora émlas plantas, pero nadie había dado en sacar d</t>
  </si>
  <si>
    <t>Orellaná, Luis</t>
  </si>
  <si>
    <t>Luis Orellaná</t>
  </si>
  <si>
    <t>io Imperial de S. Vicente. En el acto de la adjudicación cedieron la par-: te pecuniaria del premio D. Luis Orellaná, D. Luis Beltran , Doña RafaeH la Peyroíon y Chaubet, y Doña María del' Carmen Dolz del Castellar. Continuó este acto publicándose la adjudicación de 6 premios ofrecidos a las esc</t>
  </si>
  <si>
    <t>Orencio Antonio de Sántolaria</t>
  </si>
  <si>
    <t>iento del Marques de la Cañada Ibañez; y el Gorrégimiento político de la ciudad de Alcalá la Real á D. Orencio Antonio de Sántolaria. En .atención ál mérito y particulares Servicios de B. Manuel de Heredia, Contador principal de Rentas y Propios de la provincia de Cádiz, se ha dignado el Rfiv concederle honores</t>
  </si>
  <si>
    <t>Oris</t>
  </si>
  <si>
    <t>r con las muestras mas sinceras de cordialidad; introducidos que fueron en el Senado, el Presidente Mr. Oris les dixo lo que sigue: ,,Amigos y hermanos: seáis bienvenidos cerca del foco del Senado de Massachusset; sea su llama el emblema de la viva y ardiente amistad que mantendrán siemp</t>
  </si>
  <si>
    <t>Orloíf, Conde</t>
  </si>
  <si>
    <t>Conde Orloíf</t>
  </si>
  <si>
    <t>uchas personas de distinción no le han pagado la visita, que á algunas se la ha hecho dos veces. El Conde Orloíf ha mandado á su portero que ni siquiera reciba las targetas de este Ministro, ni las del Cónsul dé Austria. Es una lástima; pero aquí no vemos mas que intrigas, orgullo y corrupci</t>
  </si>
  <si>
    <t>Orme</t>
  </si>
  <si>
    <t>as de Cádiz batiéndose contra,el ña-? vio la Santísima Trinidad, pintado en: Londres por el célebre D. Orme, Ingles,; de medio cuerpo, en el que se demuestra la falta del brazo derecho, y el uniforme y distinciones con que estaba condecorado: grabado al agua fuerte por D. J. B. ■&gt; Se ha</t>
  </si>
  <si>
    <t>Oromi, Juan</t>
  </si>
  <si>
    <t>Juan Oromi</t>
  </si>
  <si>
    <t>aro Sentmanat, D. Luis Landaburu, D. Antonio y D. Pedro Romero de Tejada, D. Domingo de la Iglesia, D. Juan Oromi,D. Antonio Ibarrola, D. Lorenzo Medrano y Treviño, D. Francisco Romo y Gamboa y D. Andrés Rodríguez. S. M. se ha servido nombrar para el Corregimiento de Letras de la ciudad de Ba</t>
  </si>
  <si>
    <t>Ortega, Juan de Dios</t>
  </si>
  <si>
    <t>Juan de Dios Ortega</t>
  </si>
  <si>
    <t>enos D. Diego Fernandez Peredo y D. Francisco Arandía; á Tenientes de granaderos á los de fusileros D. Juan de Dios Ortega y D. Josef Arechavala; á Tenientes al Subteniente de granaderos D. Juan Josef Pinto, y á los de fusileros D. Juan Bautista Mscali y D; Antonio Laveria; á Subteniente de granaderos al</t>
  </si>
  <si>
    <t>Ortega, Vicente</t>
  </si>
  <si>
    <t>Vicente Ortega</t>
  </si>
  <si>
    <t>S. M. se ha servido conceder la Subtenencia de la Compañía fixa veterana de S. Juan de Nicaragua á D. Vicente Ortega, Sargento primero del batallón fixo de Goatemala. El Rey se ha dignado conceder el empleo de Coronel del Esquadron de dragones de Milicias disciplinadas de Goatemala al Capitán D.</t>
  </si>
  <si>
    <t>Ortis, Pablo</t>
  </si>
  <si>
    <t>Pablo Ortis</t>
  </si>
  <si>
    <t>y el que se iialle asistido de algún agregado, le servirá de mérito á su censura. Se desea.saber de.D. Pablo Ortis, Maestre de víveres que fué de una fragata de la Real Armada, natural de Cartagena de Levante, y en el año de 96 se embarcó ^G4dizHpai«4-as-AméFÍcas en buque mercante. Quien supie</t>
  </si>
  <si>
    <t>Ortiz de Rozas, Ignacio</t>
  </si>
  <si>
    <t>Ignacio Ortiz de Rozas</t>
  </si>
  <si>
    <t>Reales Exércitos D. Francisco de Vargas, Subinspector del Real Cuerpo de Artillería, por muerte de D. Ignacio Ortiz de Rozas. En América. S. M. se ha servido conceder la Subtenencia de la Compañía fixa veterana de S. Juan de Nicaragua á D. Vicente Ortega, Sargento primero del batallón fixo de Goatemala.</t>
  </si>
  <si>
    <t>Ortiz de Zarate, Andrés</t>
  </si>
  <si>
    <t>Andrés Ortiz de Zarate</t>
  </si>
  <si>
    <t>escrito , y se verá ser cierto. Contiene ademas las cuentas de intereses á un tanto por ciento, por D. Andrés Ortiz de Zarate, profesor de Matemáticas, quien facilita todas las operaciones de esta obra con las simples reglas de sumar, restar y multiplicar. Se vende en la librería de Barco, carrera de S.</t>
  </si>
  <si>
    <t>Ortiz de Zárate, Antonio</t>
  </si>
  <si>
    <t>Antonio Ortiz de Zárate</t>
  </si>
  <si>
    <t>irnbro á D. Benito. Arias de Prada, Oidor de la Chancillería de Valladolid: para la que este dexa á D. Antonio Ortiz de Zárate , Alcalde mas antiguo de la Sala del Crimen dé ella; y para esta resulta á D. Antonio Andeyro, Alcalde mayor de la villa del Bonillo.” El Rey ha conferido empleo de Alférez en los</t>
  </si>
  <si>
    <t>Ortiz de Zarate, Joaquín</t>
  </si>
  <si>
    <t>Joaquín Ortiz de Zarate</t>
  </si>
  <si>
    <t>ervido promover á Tenientes del Real Cuerpo de Ingenieros del exército á los Subtenientes del mismo D. Joaquín Ortiz de Zarate, D. Josef y D. Pedro Aguado, D. Manuel Rodríguez Perez, D. Francisco de Paula Gregorio, D. Tomas Aguirre y Castro, D. Juan Bautista Ponsinch, D. Felipe del Arco Agüero , D. Josef</t>
  </si>
  <si>
    <t>Ortiz de Zarate, Juan</t>
  </si>
  <si>
    <t>Juan Ortiz de Zarate</t>
  </si>
  <si>
    <t>y D. Faustino Vitorica; y los Seminaristas D. Pedro Cendeja, D. Manuel Abbad, D. Carlos Van-Zoelen, D. Juan Ortiz de Zarate, D. Sebastian de Navarrete, Don Gerónimo Maza, D. Juan Maza, D; Luis Berganza , D. Alexandro lagoa, D. Bernabé de Otalora, D. Eugenio de Zuloaga, D. Josef María de Bassoco y D. Vi</t>
  </si>
  <si>
    <t>Ortiz de Zárate, Juan</t>
  </si>
  <si>
    <t>Juan Ortiz de Zárate</t>
  </si>
  <si>
    <t>Manuel Abbad: y los Seminaristas D. Ceferino Carrillo, D. Toribio Olalde, Don Pedro Sánchez Pavón, D. Juan Ortiz de Zárate, D. Antonio Albuerne, D. Pablo Unda, D. Josef Silvan, D. Pablo Ferrando, D.AIexandro Lagoa, D. Eugenio de Zuloaga, D. Josef Bassóco, D. Vicente Bas$óco,D. Matías de la Torre, D. J</t>
  </si>
  <si>
    <t>Ortíz Lazcano, Pedro Antonio</t>
  </si>
  <si>
    <t>Pedro Antonio Ortíz Lazcano</t>
  </si>
  <si>
    <t>als ; y á D. Tomas Ribo para la Dignidad de Chantre de la Catedral de Sobona, vacante por muerte de D. Pedro Antonio Ortíz Lazcano.£1 Rey se ha servido conferir el empleo de Coronel del Regimiento de infantería de Córdoba al Brigadier D. Juan de Courten, Teniente Coronel del de Zaragoza: el de Ayudante en el</t>
  </si>
  <si>
    <t>Osete y Olier, Vicente</t>
  </si>
  <si>
    <t>Vicente Osete y Olier</t>
  </si>
  <si>
    <t>la referida Junta para estimularlo^ al estudió de tan interesante facultad, D. Josef María Suárez, D. Vicente Osete y Olier y D. Josef Al;varado: mas como los Sres. Comisionados de acuerdo con los Jueces Censores propusieron á la Junta que podría extenderse á consignar á D. Matías González Casaprin otro pr</t>
  </si>
  <si>
    <t>Osorio Calvache, Fernando</t>
  </si>
  <si>
    <t>Fernando Osorio Calvache</t>
  </si>
  <si>
    <t>con una canción en elogio de las ciencias naturales, de que son base las Matemáticas, recitada por D. Fernando Osorio Calvache, individuo de esta Real Maestranza.__ Ei concurso fué numeroso y lucido, y los aplausos universales.</t>
  </si>
  <si>
    <t>Ossés, Joaquín</t>
  </si>
  <si>
    <t>Joaquín Ossés</t>
  </si>
  <si>
    <t>AIexandro Lagoa, D. Eugenio de Zuloaga, D. Josef Bassóco, D. Vicente Bas$óco,D. Matías de la Torre, D. Joaquín Ossés, D. Gerónimo Maza, D. Juan Maza, Don Bernabé de Otálora, D. Juan de Mazarredo, D. Cárlos Van-Zoelen y Don Sebastian Fernandez Navarrete. Ganaron el premio extraordinario de instru</t>
  </si>
  <si>
    <t>Osuna y Cervera, Francisco</t>
  </si>
  <si>
    <t>Francisco Osuna y Cervera</t>
  </si>
  <si>
    <t>Cadete D. Ramón Carpegna, y en el de Voluntarios de la Corona al Subteniente que fué del de Toledo Don Francisco Osuna y Cervera, y al Sargento primero de granaderos del dev infantería del Príncipe D. Josef Roldan. * El Rey ha conferido en los Regimientos de Milicias provinciales empleo de Sargento mayor en</t>
  </si>
  <si>
    <t>Otero, Manuel</t>
  </si>
  <si>
    <t>Manuel Otero</t>
  </si>
  <si>
    <t>on Tomas Gandía, D. Francisco Martínez y D. Domingo Postigo , y los de fusileros D/ Rafael Ramírez, D. Manuel Otero y D. Joaquín Delgado ; á</t>
  </si>
  <si>
    <t>Ouanias, Antonio</t>
  </si>
  <si>
    <t>Antonio Ouanias</t>
  </si>
  <si>
    <t>de S. Feiiu de Gerona, vacante por promoción de D. Antonio Bonet á Canongía de aquella Catedral, á D. Antonio Ouanias: para una.Canongía de la Colegiata de Mora en¡ el Obispado de Teruel, vacante por fallecimiento de D. Pedro Frayre, á D. Joaquín Calvo Cervantes: para el Ofi ció de Limosnero del</t>
  </si>
  <si>
    <t>Oubril</t>
  </si>
  <si>
    <t>Stuckelberg, que ántes fué Ministro en Holanda ,'reemplazará en Berlín á Mr. Alopeus; y el viage de Mr. Oubril á Francia tiene por objeto secreto él negociar una conciliación entre ámbas Cortes. : . " . í . . T La de Rusia tiene una correspondencia muy, activa con el Gabinete Prusiano , y</t>
  </si>
  <si>
    <t>Oudinot, General</t>
  </si>
  <si>
    <t>General Oudinot</t>
  </si>
  <si>
    <t>e Monarca en cumplir sus palabras. , Esta mañana ha entrado aquí toda la división de granaderos del General Oudinot con los Regimientos 5.0 y io.° de coraceros, y un gran tren de artillería. / Alg ístíos Generales Rusos, prisioneros en la batalla de Austerlitz, no se</t>
  </si>
  <si>
    <t>Oúdinot, General</t>
  </si>
  <si>
    <t>General Oúdinot</t>
  </si>
  <si>
    <t>rtido de capotes. • „ Ayer pasó revista el Emperador á la guardia y á la división de granaderos del General Oúdinot: está muy satisfecho de esta tropa. Ha visto con harto desagrado que el Regimiento 12 de infantería ligera tiene alguna falta de bayonetas, y que el Gefe de batallón, sin embargo</t>
  </si>
  <si>
    <t>la patria. El 2 del corriente pasó por las inmediaciones de Ratisbona la división de granaderos del General Oudinot.__ En aquella ciudad anda muy esparcida una carta , en la qualMr. de Montgelas, Ministro de Negocios extranjeros de S. M. el Rey de Baviera, participa á Mr¿ el Barón ae Flachsland</t>
  </si>
  <si>
    <t>tantes. . i:: j-, PRINCIPADO DE NEUFCHATEt; 'Neufohatel /p de * Marzo* Ayer entró en esta ciudad el General Oudinot con sus granaderos, y tomó posesión de nuestro Principado, cuya entrega le ha hecho el Barón de Chambrier, Comisario de S. M. -el Rey de Prusia, • y el General Oudinot .lo ha reci</t>
  </si>
  <si>
    <t>uir á la felicidad de ese pueblo compuesto en el dia de mis hijos; y hasta este momento deseado, el General Oudinot, Comisario Imperial, uno de mis mas dignos compañeros de armas, se halla autorizado por el Emperador para presidir el Gobierno del Principado de Neufchatel, hasta que se os comuni</t>
  </si>
  <si>
    <t>La guardia de caballería, que va al quartel general , pasa porManheim. El cuerpo de granaderos del General Oudinot, que debía pasar por aquí, ha tomado un camino mas corto para ir al exército. Varis jo de Octubre. El Emperador llegó á Aschaffenburgo el dia 2 á las 7 de ía mañana, acompañado de</t>
  </si>
  <si>
    <t>Oussulton, Lord</t>
  </si>
  <si>
    <t>Lord Oussulton</t>
  </si>
  <si>
    <t>a'le advirtió, que la Cámara no había abierto aun la discusión sobre este asunto;__ En el mismo dia Lord Oussulton pidió se diese un estado de las deudas de la Compañía de la India en la India, especificando la época en que cada una de estas se ha contraído, y á qué plazos; quándo y en dónde d</t>
  </si>
  <si>
    <t>O’hara</t>
  </si>
  <si>
    <t>193 Mr. O’hara se opuso á ella, porque el noble Lord había tomado gran parte en la paz de Atniens, y en la unión del Reyno de Irlanda, operaciones que habían sido muy perjudiciales á aquel país*</t>
  </si>
  <si>
    <t>O’Mealy</t>
  </si>
  <si>
    <t>ca semejantes...... M. J. Cox Barnet,.Cónsul de América en el Havre, presentó ante dicho Tribunal á Mr. O’Mealy, negociante de su país, á quien acusó de que le habia dado públicamente una bofetada, á quien demandaba por indemnización de daños y perjuicios 3500 pesetas.. El Tribunal, admitie</t>
  </si>
  <si>
    <t>Pablo Domingo</t>
  </si>
  <si>
    <t>udad. de Gerona* tacante por muerte.de D. Eudaldo Rigal, á D. Luis María de Martínez y de Válete: á D. Pablo Domingo para la Canongía Doctoral de la Metropolitana de Tarragona; y á D. Manuel Trasovares para un-Beneficio de la Parroquia de ía villa de Epilar Dióxesi de Zaragoza. ; . En el Regimie</t>
  </si>
  <si>
    <t>Pablo, Príncipe</t>
  </si>
  <si>
    <t>Príncipe Pablo</t>
  </si>
  <si>
    <t>t. El Emperador ha dado el gran cordon de la Legión de Honor al Elector, al Príncipe Electoral y al Príncipe Pablo, sus hijos; y á sus hermanos el Príncipe Eugenio Federico Henrique, y Guillermo Federico Felipe: S. M. conoció á estos dos últimos Príncipes al pasar por Luisburgo, y ha tenido mu</t>
  </si>
  <si>
    <t>nviado á este efecto por S. M. el Emperador de los Franceses, entregó al Rey, al Príncipe Real y al Príncipe Pablo las insignias de la gran banda de la Legión de Honor; S. M. y SS. AA. se presentáron ya en la mesa con las insignias puestas. Durante la comida-Ljrindó S. M. á la salud del Emperador</t>
  </si>
  <si>
    <t>Pacchiani</t>
  </si>
  <si>
    <t>manera se puede probar que el ácido muriático no es el agua desoxigenada , como lo habia anunciado Mr. Pacchiani___En fin , supuesto que la fuerza refractiva de un cuerpo depende de sus principios constitutivos, y qué los del ayre atmosférico son los mismos en toda la tierra, se sigue que la</t>
  </si>
  <si>
    <t>Pacheco de Villena y Almeyda, Francisco Xavier</t>
  </si>
  <si>
    <t>Francisco Xavier Pacheco de Villena y Almeyda</t>
  </si>
  <si>
    <t>a (donde se hallaba con Real licencia), á los 70 años, 9 meses y y dias de edad, el Excmo. Sr. Frey D. Francisco Xavier Pacheco de Villena y Almeyda, Caballero Gran Gruí</t>
  </si>
  <si>
    <t>Pacheco, Domingo</t>
  </si>
  <si>
    <t>Domingo Pacheco</t>
  </si>
  <si>
    <t>cer postura á todas ó á cada una de dichas finas acuda por la escribanía de la comisión, que exerce D. Domingo Pacheco, en el término de 30 dias contados desde el 26 de Agosto último; con prevención de que pasados, habiendo postura competente, se procederá al remate en las casas consistoriales. En</t>
  </si>
  <si>
    <t>isiere hacer postura a qualquiera de dichas fincas acuda á la escribanía de la comisión, que exerce D. Domingo Pacheco, en el termino de 00 dias contados desde el 5 del comente; en la inteligencia de que pasados, habiendo postura competente, se procederá al remate al tercer día siguiente en las ca</t>
  </si>
  <si>
    <t>3 libras, 19 sueldos. Quien quisiere hacer postura acuda á la escribanía de la comisión, que exerce D. Domingo Pacheco, en el término de 30 días contados desde el 1 5 dei presente; previniéndose de que pasados se procederá al remate al tercer dia siguiente habiendo postura competente. En virtud de</t>
  </si>
  <si>
    <t>Padre Márcos Burriel</t>
  </si>
  <si>
    <t>rid, quien las dedica á la Reyna'nuestra Señora, que Dios guarde. El nombre del Padre Márcos Burriel, autor de estas Memorias, y las doctas adiciones con que el editor las ha ilustrado, y de que da razón en el prólogo, bastan para hacer recomendable esta obra. La multitud de documentos</t>
  </si>
  <si>
    <t>Padró, Pedro</t>
  </si>
  <si>
    <t>Pedro Padró</t>
  </si>
  <si>
    <t>o una aplicación metódica de los diferentes engrases á las diversas circunstancias de los terrenos: Don Pedro Padró sobre los inxertos r sus diferencias, analogía entre él y el árbol á que se ha de aplicar; de qué fuentes se toma esta analogía, y qué circunstancias sean las mas propias por razó</t>
  </si>
  <si>
    <t>Pagós, Miguel</t>
  </si>
  <si>
    <t>Miguel Pagós</t>
  </si>
  <si>
    <t>para la Dignidad de Tesorero de la Catedral de Albarracin, vacante por muerte de D. Manuel Oñate: á D. Miguel Pagós para una Capellanía residencial de la Parroquia de Santa María del Mar de Barcelona * vacante por fallecimiento de D. Antonio Santa María; y á D. Ramón CasadevaU para un Beneficio</t>
  </si>
  <si>
    <t>Palacio y Gorbea, Lorenzo</t>
  </si>
  <si>
    <t>Lorenzo Palacio y Gorbea</t>
  </si>
  <si>
    <t>istinguida Orcen de Cárlos m, Intendente honorario de Provincia. Sr. D. Diego Crespo de Tejada. Sr. D. Lorenzo Palacio y Gorbea. Sr. D. Josef Antonio de Uriarte, por la Caxa de Consolidación. Y ha nombrado por sus Diputados á los Señores D. Manuel de Ribacoba y Gorbea, y D. Esteban de la Torre, establecien</t>
  </si>
  <si>
    <t>Palacio y Mendoza, Ricardo</t>
  </si>
  <si>
    <t>Ricardo Palacio y Mendoza</t>
  </si>
  <si>
    <t>Abello. El premio 2.0, compuesto también de estampas y estuche matemático por valor de 5 oors. , á D. Ricardo Palacio y Mendoza. El premio 3 .0, de estampas y estuche matemático por valor de 300rs., á D. Nicolás Blanco. Premias adjudicados por el patriótico Cuerpo d otros alumnos de la misma escuela* Cien</t>
  </si>
  <si>
    <t>Palacios, Miguel Rafael</t>
  </si>
  <si>
    <t>Miguel Rafael Palacios</t>
  </si>
  <si>
    <t>e Peñalosa, Cura en el Obispado de Arequipa. Para la Magistral de la Iglesia de Santiago de Chile á D. Miguel Rafael Palacios, Racionero de fa propia; y para la Canongía de merced de la Metropolitana de México, vacante por fallecimiento de D. Juan Pablo de Chaves á D. Josef Joaquín del Moral, Prelado dom</t>
  </si>
  <si>
    <t>Paladio Viílarrasa</t>
  </si>
  <si>
    <t>n la Parroquia de Sta. Pau, Diócesi de Gerona, vacante por fallecimiento de D. Francisca Fluvia, á- D. Paladio Viílarrasa: para otro Beneficio patrimonial servidero de la Parroquia de la villa de 41agon, Diócesi de Zaragoza, á D. Ramón García: para otro Beneficio Diaeoniide la Catedral de Tortosa á D</t>
  </si>
  <si>
    <t>Palatino de Hungría, Archiduque</t>
  </si>
  <si>
    <t>Archiduque Palatino de Hungría</t>
  </si>
  <si>
    <t>r. Laforest á la del Rey de Prusia. AUSTRIA. Viena 8 de Agosto. La tínica noticia del día es que el Archiduque Palatino de Hungría ha hecho su dimisión, y que la Corte la ha aceptado, y piensa conferir este empleo eminente al Archiduque Juan. Dícese que el motivo de tan extraordinaria dimisión ha sido que des</t>
  </si>
  <si>
    <t>Palmer</t>
  </si>
  <si>
    <t>504 £n la sesión undécima de la causa de Lord Melleville, Mr. Palmer em pezó la defensa del acusado, pretendiendo,que el ex-Ministro no había to*&lt; mado parte en las dilapidaciones del erario público. HOLANDA. Haya jj de Mayo. En algunos periódicos de</t>
  </si>
  <si>
    <t>Palomino, Antonio</t>
  </si>
  <si>
    <t>Antonio Palomino</t>
  </si>
  <si>
    <t>, y 9-2 libras, 3 sueldos y 6 dineros en renta: la otra por el Canónigo que fué de aquella,Catedral D. Antonio Palomino, comprehensiva por una parte de una heredad , con su casa de habitación, compuesta de 170^ tablillas, 5 brazas, sita en la huerta de la expresada ciudad, partido del Mudamiento, b</t>
  </si>
  <si>
    <t>Palomo, Ángel</t>
  </si>
  <si>
    <t>Ángel Palomo</t>
  </si>
  <si>
    <t>enencias de bandera en los Inmemorial dei Rey, Sevilla y Ordenes Militares á los Sargentos primeros D. Angel Palomo, D. Salvador Igarriza y D. Francisco Conejo. En el Regimiento de caballería dej Rey se ha servido 'S-'M. conceder Ayudantía al Teniente D. Antonio Caráza: Teneiicia^en'los dél Prí</t>
  </si>
  <si>
    <t>Pando, Manuel</t>
  </si>
  <si>
    <t>Manuel Pando</t>
  </si>
  <si>
    <t>de la Alcázar, D. Joaquin Bermejo y D. Rafael Mateo; y de 8 Pages del Rey, D. Joaquin de la Cueva, D. Manuel Pando, D. Juan de Yanguas, D. Joset María de face, J). Tomas Peñaran</t>
  </si>
  <si>
    <t>Panll</t>
  </si>
  <si>
    <t>l principio de la guerra con el Rajah de Bhurtpoore. Lord Temple justificó al Marques de Wellesley. Mr. Panll replicó diciendo, que la acusación que hará contra el ex-Gobernador, se fundará en los mismos documentos que se quieren alegar en su favor.</t>
  </si>
  <si>
    <t>Pantakóloff, General</t>
  </si>
  <si>
    <t>General Pantakóloff</t>
  </si>
  <si>
    <t>ldeanos armados, con quienes se reuniéron los ó$ Rusos que Había en Corfú. Mandaba este exércíto él General Pantakóloff, teniendo á sus órdenes al General Príncipe Wasminsky, que había llegado recientemente i aquella isla con algunos refuerzos. Sin embargo, el enemigo se mantenía á bordo de sus nav</t>
  </si>
  <si>
    <t>Pantaleon Rodríguez</t>
  </si>
  <si>
    <t>e San Estéban de Gormaz, en el Obispado de Osma, vacante por fallecimiento de D. Manuel Dorramas, á D. Pantaleon Rodríguez; y para el Beneficio rural de Torrejon y Villalpando, en la Diócesis de Cuenca, vacante por dimisión de D. Josef Ventura Duro y Solano, electo Arcediano titular y Canónigo de la C</t>
  </si>
  <si>
    <t>Pantaleon Zuloaga, Pedro</t>
  </si>
  <si>
    <t>Pedro Pantaleon Zuloaga</t>
  </si>
  <si>
    <t>l Subteniente de granaderos Don Gavina Martínez: en el de Hibernia Subtenencia de bandera ai Cadete D. Pedro Pantaleon Zuloaga; y en eí Batallón de Voluntarios de Navarra á Subteniente de bandera al Cadete D. Joaquín de Urrestíeta. En el Real Cuerpo de Ingenieros del Exército de la división de Indias ha p</t>
  </si>
  <si>
    <t>Pantoja, Francisco</t>
  </si>
  <si>
    <t>Francisco Pantoja</t>
  </si>
  <si>
    <t>ubteniente D. Baltasar Araujo; y en el de Voluntarios de la Corona Subtenencia de bandera al Cadete D. Francisco Pantoja.</t>
  </si>
  <si>
    <t>Parceró, Marcos</t>
  </si>
  <si>
    <t>Marcos Parceró</t>
  </si>
  <si>
    <t>precisión de dar instruidos los ñiños en breve y determinado .tiempo ofrece D., Marcos Parceró , Presbítero. Sé híállar? á, 4 quartos en la librería de la viuda de .(j)uiroga., y en Santiago en íá dé Vila. ^ EN LA IMPRENTA REAL.</t>
  </si>
  <si>
    <t>Pardo de Figueroa, Benito</t>
  </si>
  <si>
    <t>Benito Pardo de Figueroa</t>
  </si>
  <si>
    <t>S. el Príncipe Razdziwil, han salido de esta capital para Schwedt. Ha llegado aquí de Madrid el Sr. D. Benito Pardo de Figueroa, Ministro de S. M. Católica. , En virtud de un convenio ajustado entre la Prusia y la Francia ha cedido formalmente á esta última nuestro Monarca el Principado de Neuf</t>
  </si>
  <si>
    <t>Pardo Montenegro, Ramón María</t>
  </si>
  <si>
    <t>Ramón María Pardo Montenegro</t>
  </si>
  <si>
    <t>ix, Lugo, Ciudad-Real y Murcia á D. Francisco Xavier Alaría de Alexo, D. Vicente Gómez de Mercado , D. Ramón María Pardo Montenegro, D. Félix Pérez de Guzman, y al Subteniente agregado D. Francisco Cabero. Teniendo presente el Rey que todos los provistos &lt;en empleos de Real Hacienda de América con Real Título</t>
  </si>
  <si>
    <t>Pardo, Alonso</t>
  </si>
  <si>
    <t>Alonso Pardo</t>
  </si>
  <si>
    <t>a Trinidad, nuestra Señora de la Soledad, nuestra Señora del Carmen y del Santísimo, fundaciones de D. Alonso Pardo é Ines Borro, v del santo Hospital, tasadas todas en 266,083 rs., que valen en renta anuaL 300 fanegas de trigo poco mas ó ménos, y son las mas de buena calidad. Quien quisiere ha</t>
  </si>
  <si>
    <t>Pardo, Benito</t>
  </si>
  <si>
    <t>Benito Pardo</t>
  </si>
  <si>
    <t>S. M. C., al Condé de" Rechtép retí , Ministro del Rey de España en Hamburgo, al Mariscal de Campó D. Benito Pardo, Ministro de S. M. C. en Berlin, y al Caballero Lcrrea; El General Armstrong, Ministro plenipotenciario de los Estados-Unidos dé América, á Mr. Bawduin, Ministró plenipotenciario</t>
  </si>
  <si>
    <t>Pardo, Bernardo</t>
  </si>
  <si>
    <t>Bernardo Pardo</t>
  </si>
  <si>
    <t>Tenencia al Subteniente de granaderos D. Andrés Lastra; Subtenencia de granaderos al "de'fusileros D. Bernardo Pardo; y su resulta al agregado D. ManuelRuiz ~.j .D .O ..de., Monroy. 4 l' •, , , .j 4 ■ ' i ■ * ^ - f i En el Regimiento de dragones Provinciales de la Reyna en Nueva.EsparÉa.se ha se</t>
  </si>
  <si>
    <t>Paredes, Juan</t>
  </si>
  <si>
    <t>Juan Paredes</t>
  </si>
  <si>
    <t>ado al mismo cuerpo; y á igual empleo en la Compañía suelta del partido de Carelmapu al Subteniente D. Juan Paredes. . También se ha servido el Rey conceder Compañía en las sueltas de Milicias urbanas de infantería de Truxillo al Ayudante de las mismas D. Juan Antonio de Ochayta; y Subtenencia</t>
  </si>
  <si>
    <t>Pareja y Cameros, Francisco</t>
  </si>
  <si>
    <t>Francisco Pareja y Cameros</t>
  </si>
  <si>
    <t>aamaño, D. Julio Ponce de León y Morejon, D. Domingo del Barco yMoron, D. Manuel Paulin y Cotiella, Don Francisco Pareja y Cameros, D. Josef Marco y Espejo, D. Ramón Arias y Toubes, D. Ignacio Chacón, D. Angel Valdes y Diaz Canalizo, D. Julián Morales y Sánchez, D. Flaminio Agacini y Bilbao, D. Tomas de Torre</t>
  </si>
  <si>
    <t>Pareja, Luis</t>
  </si>
  <si>
    <t>Luis Pareja</t>
  </si>
  <si>
    <t>ncia al Alférez D. Fausto Caballero; y en el de Santiago Compañía al Ayudante, graduado de Capitán, D. Luis Pareja. Igualmente se ha servido S. M. conceder Tenencia en el Regimiento de dragones de la Reyna al Alférez D. Francisco Cía: en el de Sagunto empleo de Alférez al Portaguión D.. Josef</t>
  </si>
  <si>
    <t>Parés Miro y Grael, Pedro</t>
  </si>
  <si>
    <t>Pedro Parés Miro y Grael</t>
  </si>
  <si>
    <t>a otra dé la Colegiata de Tarrasa, Diócesis de Barcelona, vacante por muerte de Don Juan Rusiñol, á D. Pedro Parés Miro y Grael. El Rey se ha dignado conceder á D. Fernando de Solis Quintano, Regidor de la ciudad de Xerez de los Caballeros, en consideración á sus méritos, rentas y justificada nobleza, Títu</t>
  </si>
  <si>
    <t>Parra, Vicente</t>
  </si>
  <si>
    <t>Vicente Parra</t>
  </si>
  <si>
    <t>redondo; para la Ración vacante en la Colegial de Taíavera, Diócesi de Toledo, por fallecimiento de D. Vicente Parra, á D. Josef Hermenegildo Hernández de Ubago i para el Beneficio residencial de Palacios, de Goda, Obispado de Avila-, vacante por muerte de D. Juan Mas, á D. Josef Pascaste Figuer</t>
  </si>
  <si>
    <t>Pascual Bonomó y Bfet</t>
  </si>
  <si>
    <t>s del Señor Infante don carios maria isidro , hijo segundo del Rey. El R ey se ha servido nombrar á D. Pascual Bonomó y Bfet para la plaza de Ofic ial primero de la Contaduría mayor de Cuentas de las Islas Filipinas, vacante por fallecimiento de D. Antonio Morgado. : Él Comandante general de la- esquadr</t>
  </si>
  <si>
    <t>Pascual Quartero</t>
  </si>
  <si>
    <t>en la plaza de la Estrella una columna triunfal. ESPAÑA. .i S. Clemente en la Mancha 20 de Mayo. : Don Pascual Quartero, Cirujano titular de esta villa f ha practicado la operación cesárea con María Isabel Mancheñó, que falleció en 13 de Enero último de 33 años de edad, y en el séptimo mes de su em</t>
  </si>
  <si>
    <t>Pascual Valle</t>
  </si>
  <si>
    <t>o anterior se habían distribuido otros dos de igual cantidad, ofrecidos generosamente por los Sres. D. Pascual Valle jo y D. Josef Marta Linares, actual segundo Director, que uno y otros los franquean á las ninas pobres que á juicio.de los curadores de escuelas .sobresalen mas en apütionca y con</t>
  </si>
  <si>
    <t>Pascual y Oto, Manuel</t>
  </si>
  <si>
    <t>Manuel Pascual y Oto</t>
  </si>
  <si>
    <t>onias de la Real Capilla, de los Gentileshombres de Boca y Casa D. Vicente Lanz, D. Manuel Salazar, D. Manuel Pascual y Oto, D. Benito de Prado Ulloa, D. Tomas de Arsú, D. Pedro Ladrón de Guevara, D. Juan de Xaramillo, D. Carlos Brasé, D. Josef García Aleson, Don Pedro Josef de Marcoleta, D. Dionisio H</t>
  </si>
  <si>
    <t>Pascual, Domingo</t>
  </si>
  <si>
    <t>Domingo Pascual</t>
  </si>
  <si>
    <t>rancisco Granados y Don Francisco Zapata: en el de Almansa empleo de Portaguión al Sargento primero D. Domingo Pascual; y en el de Húsares Españoles empleo de Alférez al Cadete D. Manuel Bahamonde. En América. S. M. se ha servido nombrar para una Canongía de la Catedral de Córdoba del Tucuman, vac</t>
  </si>
  <si>
    <t>Pascual, Mateo</t>
  </si>
  <si>
    <t>Mateo Pascual</t>
  </si>
  <si>
    <t>D. Dionisio de Piedra; y en el de Hibernia Subtenencia de bandera al Sargento primero de granaderos D. Mateo Pascual. El Rey se ha dignado nombrar para la plaza de Regente de la Real Audiencia de Extremadura, por fallecimiento de D. Pedro Josef de Molina y Muñoz, á D. Francisco Ibañez de Leyva,</t>
  </si>
  <si>
    <t>Pascual, Rafael</t>
  </si>
  <si>
    <t>Rafael Pascual</t>
  </si>
  <si>
    <t>ruirla. Ganaron también este premio los Caballeros Gefe de trozo D. Josef de Castro, y Seminaristas D. Rafael Pascual , D. Cárlos Van-Zoelen y D. Pedro Cendeja, quienes diéron razón del origen , principios y progresos de la Religión hasta la venida de Jesucristo, de la existencia y unidad de Dios</t>
  </si>
  <si>
    <t>Pastor, Antonio</t>
  </si>
  <si>
    <t>Antonio Pastor</t>
  </si>
  <si>
    <t>Francisco Tru^ yolls, Beneficiado de la Catedral de Mallorca: para una Ración de la misma Iglesia á D. Antonio Pastor, Beneficiado de dicha: para una Ración patrimonial de lá Parroquial de Exea de ios Caballeros, Diócesi de Zaragoza, á D. Lamberto La-Iglesia: para un Beneficio de la de la Almunia</t>
  </si>
  <si>
    <t>osef Oliva para un Beneficio residencial de la Metropolitana de Tarragona, vacante por promoción de D. Antonio Pastor á una Ración de la misma Iglesia. S. M. se ha servido conferir la Tenencia Coronela del Regimiento de infantería de Zaragoza al Coronel D. Josef de Cruells, Comandante del tercer</t>
  </si>
  <si>
    <t>Pastor, Francisco</t>
  </si>
  <si>
    <t>Francisco Pastor</t>
  </si>
  <si>
    <t>tor Balmis á la Havana:, y de allí á Yucatán. En ésta provincia se subdividió, saliendo el profesor D. Francisco Pastor del puerto de Sisal para el de Villahermosa en laj provincia de Tabasco á propagar la Vádiná por Ciudad Real de Chiapa hasta Goatemala, dando-la vuelta por el dilatado y fragoso camin</t>
  </si>
  <si>
    <t>Patilo de Wirtemberg, Príncipe</t>
  </si>
  <si>
    <t>Príncipe Patilo de Wirtemberg</t>
  </si>
  <si>
    <t>ión; y quedo hasta la muerte, de V* M. su mas fiel vasallo.zzDe Blucher Bamberg 19 de Noviembre. El Príncipe Patilo de Wirtemberg ha pasado el 13 por Bayreuth acompañado de un Oficial Francés : vuelve á Stuttgardt. Francfort /p de Noviembre. Escriben de Crossen del Oder el 6 de Noviembre lo que sigue: „ El P</t>
  </si>
  <si>
    <t>Patino, Domingo</t>
  </si>
  <si>
    <t>Domingo Patino</t>
  </si>
  <si>
    <t>1098 sileros D. Diego Madrid, y á Subteniente de'bandera al Sargento primero de granaderos D. Domingo Patino. En la mañana del 10 del presente mes se executó, con las formalidades de estilo, en el patio principal del hospital General, el sorteo de la primorosa colgadura de raso blanco co</t>
  </si>
  <si>
    <t>Patricio Gabriel Melendez</t>
  </si>
  <si>
    <t>do nombrar para el Arcedianato de la Catedral del Cuzco á D. Mariano Paz y Pozo: para la Chantría á D. Patricio Gabriel Melendez : para la Tesorería á D. Josef Narciso Dongo: para la Canongía que dexa Melendez á D. Pedro Agustín Cabrera: para la de Dongo á D. Manuel Ocampo; y para la Ración de Cabrera á D.</t>
  </si>
  <si>
    <t>Patricio López Blanco</t>
  </si>
  <si>
    <t>ros, á D. Rosario Petralla: para la Media-Ración de la Catedral de Sigiienza, vacante por muerte de D. Patricio López Blanco, á D. Antonio García, Cura de Garvajosa y su anexo Aguliar en la misma Diócesi: para la Canongía, vacante en la Catedral de Plasencia por fallecimiento de D. Joaquín Ramos y Monro</t>
  </si>
  <si>
    <t>Patricio Martínez de Bustos</t>
  </si>
  <si>
    <t>Junta de dirección y gobierno de dichos piadosos establecimientos á sus Consiliarios Excmos. Sresr D. Patricio Martínez de Bustos y D. Antonio Luis Real, Sres. D. Antonio Aranda y Marques de Benavent, para disponer y presidir los exámenes de los Practicantes de éstas Reales casas, que han asistido á dicho curso;</t>
  </si>
  <si>
    <t>Patricio Pastor</t>
  </si>
  <si>
    <t>as, á quien de consiguiente le correspondió el tercero. En la de Agricultura, dirigida por el socio D. Patricio Pastor, se dió premio de primera clase á Don Mariano Santander y Aferez , único .aspirante. En la de Geografía, que regenta el socio D. Antonio de la Peña,r$e concedió primer premio al m</t>
  </si>
  <si>
    <t>Patrick</t>
  </si>
  <si>
    <t>el Rey últimamente, son Mrs. Tloyd, Francis Dundas y Moore con el grado de Tenientes Generales. El Doctor Patrick va á salir para Alemania, acompañado de muchos Médicos y Cirujanos. Una tempestad ha dispersado la expedición que salió el 10 del presente mes. Excepto unos 20 buques de transport</t>
  </si>
  <si>
    <t>Pau, María Ángel</t>
  </si>
  <si>
    <t>María Ángel Pau</t>
  </si>
  <si>
    <t>de Buenos-Ay res,, resulta fué natural de la villa de Agreda; hijo legítimo de Di, Josef Rubio y de Doña María Angel Pau, vecinos de ella; instituyendo por herederos á sus dos hermanos D. Nicolás. y D. Andrés Rubicí; y hallándose depositado en caxa el líquido de 361 ó pesos fuertes , correspondiente</t>
  </si>
  <si>
    <t>PauII</t>
  </si>
  <si>
    <t>los puertos nacionales 3975, y 1720 para los extrangeros. GRAN BRETAÑA. Londres jo de Abril. El 23 Mr. PauII hizo en la Cámara de los Comunes una acusación contra el Marques de Wellesley relativa á las enormes dilapidaciones de los fondos de la Compañía de la India hechas por este Gobern</t>
  </si>
  <si>
    <t>Paul</t>
  </si>
  <si>
    <t>rido. GRAN BRETAÑA. Londres y de Febrero. Cámara de los Oaammes. Justa di * y de Enero. En este dta Mr. Paul iiamd la consideración; de la Cámara hacia los negocios dé la India; pidió que se ¿raprínuesei* lar piezas de la correspondencia, se comunicasen á cada miembro, y se examinase la</t>
  </si>
  <si>
    <t>nzas que ha concebido en su plantificación nuestro augusto Soberano. GRAN BRETAÑA. Londres de Mayo. Mr. Paul propuso el dia 8 en la Cámara jde los Comunes se presentase una Jista de las contribuciones impuestas en la India durante el gobierno del Marques de Weüesley y el estado de las su</t>
  </si>
  <si>
    <t>Paulin y Cotiella, Manuel</t>
  </si>
  <si>
    <t>Manuel Paulin y Cotiella</t>
  </si>
  <si>
    <t>brera, D. Rafael de Elisa y Caamaño, D. Julio Ponce de León y Morejon, D. Domingo del Barco yMoron, D. Manuel Paulin y Cotiella, Don Francisco Pareja y Cameros, D. Josef Marco y Espejo, D. Ramón Arias y Toubes, D. Ignacio Chacón, D. Angel Valdes y Diaz Canalizo, D. Julián Morales y Sánchez, D. Flaminio Aga</t>
  </si>
  <si>
    <t>Paulina, Princesa</t>
  </si>
  <si>
    <t>Princesa Paulina</t>
  </si>
  <si>
    <t>ear la dignidad de Príncipe Vice-Gran-rAlifnirant^í , $.a La cesión deí Principado de Guastala á la Princesa Paulina, hermana del Emperador, y muger del Príncipe de Borghese, con la soberanía y título de Príncipe y Du,que de Guastala, para sí y sus descendientes legítimos varones. ..-rv.-ii/j' .</t>
  </si>
  <si>
    <t>Paulino Población</t>
  </si>
  <si>
    <t>sco Lleonart y Cuesta , y el segundo D. Valentín Scender de la Fuente por 6 votos contra 5 que tuvo D. Paulino Población, Oficial agregado á la. Contaduría mayor de Cuentas, al que por esta razón juzgó la Sociedad acreedor á que se haga de él mención-honorífica, cuyos dos premios recibieron en el ac</t>
  </si>
  <si>
    <t>Paull</t>
  </si>
  <si>
    <t>prentas de Bonaparte los sucesos mas importantes de las posesiones Inglesas en la India Oriental.__ Mr. Paull dixo que se trataba de los intereses de un pais, cuyas rentas ascendían de 15 á 20 millones de libras esterlinas, y que era este negocio mas importante para la nación que la esqua</t>
  </si>
  <si>
    <t>en sis parecer , se anunciará públicamente en la sala de Westminster. • En la Cámara de los Comunes Mr. Paull presentó el misni'o día nuevos cargos contra el Marques de Wéllesley, considerando la conducta que tuvo con el Nabab de Oufle. Contenia este cargo, que Mr. Paull intitulaba Crímen</t>
  </si>
  <si>
    <t>oir las acusaciones criminales hechas contra el Marques de Weliesley, y puestas sobre la tabla por Mr. Paull el 28 del mes pasado. HOLANDA. Haya 10 de Junio. El 8 por la mañana pasó una Diputación de SS. A A. PP. á casa de Mr. Schimmelpenninck, para hacerle una despedida solemne, en virtud</t>
  </si>
  <si>
    <t>ÑA. Londres 14 de Junio» i . El 18 se ocupó la Cámara de los Comunes de Ja acusación inten#tada;p0r Mr. Paull contra el Marques. de Wellesley. Al cabo de algunos debatei acerca del Tribunal que debía conocer de los delitos de que se acusa al ex-Gobernador, propuso Mr. Fox se juntase la Cá</t>
  </si>
  <si>
    <t>rlamento. Mr. Sheridan, ei\ calidad de candidato por Westminster, halla un competidor muy fuerte en Mr. Paull, que tiene el aura popular. También se ha presentado como candidato el Almirante Hood, que al parecer no cede</t>
  </si>
  <si>
    <t>1048 ventaja á Mr. Sheridan. Mr. Paull tenia anoche 792 votos: Sir Samuel Hood 5 53 , y Mr. Sheridan 394. Se han recibido noticias de todos los navios que componen la esquadra de Sir R. Strachan;, excepto de la fragata</t>
  </si>
  <si>
    <t>Pavón Manzano, Pedro</t>
  </si>
  <si>
    <t>Pedro Pavón Manzano</t>
  </si>
  <si>
    <t>encia, vacante por promoción de D. Josef Vicente de Góngora á Canongía de la Catedral de Almería, á D. Pedro Pavón Manzano, Cura de la Parroquial del lugar de Múñana , Obispado de Avifa. El Rey se ha servido nombrar para una Canongía de la Catedral de AIbarracin, vacante por fallecimiento de D. Manuel</t>
  </si>
  <si>
    <t>Payan, Pablo</t>
  </si>
  <si>
    <t>Pablo Payan</t>
  </si>
  <si>
    <t>Batallón de Milicias disciplinadas de Granada de Nicaragua á Capitán de granaderos al de fusileros D. Pablo Payan, y de fusileros á los Tenientes D. Máximo Aviles, de granaderos, y D. Ramón Arguello; á Teniente de granaderos al,de fusileros D. Joaquín Chamorro; y de fusileros á los Subtenient</t>
  </si>
  <si>
    <t>Payno, Mateo</t>
  </si>
  <si>
    <t>Mateo Payno</t>
  </si>
  <si>
    <t>la villa del Campillo de Alto-Buey, Ooispado de Cuenca, vacante por muerte de D. Bartolomé Ramos, á D. Mateo Payno: para otro también servidero titulado de S. Pedro de Cela , en el Obispado de Tuy, vacante por fallecimiento de D. Francisco Valverde, á D. Gaspar Fernandez de Villanueva, Cura de</t>
  </si>
  <si>
    <t>rroquia de $. Ildefonso de la ciudad de Jaén, vacante por muerte de D. Francisco Alvarez Badillo, á D. Mateo Payno: á D. Antonio Vilana para una Canongía de la Colegial de Guisona, Diócesi de Urgel: á D. Salvador Herms y Vernedas para el Beneficio jbaxo la invocación ¡de S. Felipe y Santiago d</t>
  </si>
  <si>
    <t>Payo Ordas, Manuel</t>
  </si>
  <si>
    <t>Manuel Payo Ordas</t>
  </si>
  <si>
    <t>ta Corte,, una casa sita en la calle Real, libre de todo gravamen. Quien quisiere comprarla acuda á D. Manuel Payo Ordas, que vive calle de las Beatas, núm. 10.. Se cita y emplaza á qualquiera que se considere con derecho á los bienes del concurso de D. Francisco Pren y Estébanes, para que en el pre</t>
  </si>
  <si>
    <t>Pceyo, Pedro</t>
  </si>
  <si>
    <t>Pedro Pceyo</t>
  </si>
  <si>
    <t>el Préstamo de la Parroquia del lugar de la Aba-: día, en la de Coria, vacante por fallecimiento de D. Pedro Pceyo, y para la Media-Prestamera de la villa de Tresjuncos en la de Cuenca, vacante por muerte de D. Miguel Aguado, á D. Alfonso Gómez. El Teniente General D. Ignacio María de Alava,Co</t>
  </si>
  <si>
    <t>Pctriarena, Juan Félix</t>
  </si>
  <si>
    <t>Juan Félix Pctriarena</t>
  </si>
  <si>
    <t>Teniente de granaderos D. Diego Grrego-; á Teniente al Alférez D. Juan de Arias; y á Portaguiones á D. Juan Félix Pctriarena y D. Santos*Zaldival, soldados distinguidos del mismo cuerpo. Para celebrar las diez extracciones ordinarias de la Real lotería en «I</t>
  </si>
  <si>
    <t>Pebarthe, Juan</t>
  </si>
  <si>
    <t>Juan Pebarthe</t>
  </si>
  <si>
    <t>nte del tercer Batallón del de León; y en los de Hibernia y Ordenes Militares Compañías al Teniente D. Juan Pebarthe, y al Ayudante D. Benito Berer.guer, graduados ambos de Capitán. En el Batallón de infantería ligera de Voluntarios de Gerona se ha servido el Rey promover á Subteniente de bander</t>
  </si>
  <si>
    <t>Pedio Antonio Sánchez</t>
  </si>
  <si>
    <t>ue con Real aprobación estableció á !sus expensas en la casa Consular el Dr. D. Pedio Antonio Sánchez, Canónigo de la Cátedral de Santiago. Manifiéstase en este Discurso el ¿origen.y antigüedad de las bibliotecas públicas; y con este motivo se da una noticia de ilas mas ¡famosas de que habl</t>
  </si>
  <si>
    <t>Pedro Antonio</t>
  </si>
  <si>
    <t>e D. .Ramón Morales j á Teniente al Alférez I). Manuel de,la Serna; á Alfé^tcces al Portaestandarte D. Pedro Antonio yillajnayor y al Sargento Don Carlos Ramón Canseco; y á Portaestandarte .al Cadete D. Eusébio Medra* no; asimismo en el Regimiento de Milicias disciplinadas.de caballería de Buenos-</t>
  </si>
  <si>
    <t>Pedro María Martín</t>
  </si>
  <si>
    <t>Lastra; Ayudantía al Teniente, graduado de Capitán, D. Joaquín de Urrutia; Tenencia al Subteniente D. Pedro María Martin, y Subtenencia de bandera al Cadete D. Pió Sánchez Garces: en el de Sevilla Tenencia al Teniente de granaderos, que lo era del de Salamanca, graduado de infantería, Don Benito de</t>
  </si>
  <si>
    <t>PedroAguilaEyComandaiite</t>
  </si>
  <si>
    <t>bh del. Cuerpo, de cázáciosSes de fiafantería de Porto helo» y márgenes .del,río Chagre'al Oapitaií D. PedroAguilaEyComandaiite en ge fe deí batallón de Milicia'? dé 'Paraos/dd'Pátíaíilá't esita Resulta á D. Federico Go-: bea , Aynídatífé vétferaft’Gí d^PReginiiérito dé Milicias disciplinadas de la misma pla</t>
  </si>
  <si>
    <t>PedroíEspinosa</t>
  </si>
  <si>
    <t>y se ha servido nombrar paraJa Canongía de la; Metropolitana de -Tarragona, vacante por renuncia dé D. PedroíEspinosa, á D. Luis Xavier de Garma, Chantre de Jaén : para el Priorato Dignidad y primera Silla de la Colegiata de Besalu, en el Obispado de Gerona, á D. Odón Soler, Cura Párroco del luga</t>
  </si>
  <si>
    <t>Pefiche, Francisco</t>
  </si>
  <si>
    <t>Francisco Pefiche</t>
  </si>
  <si>
    <t>acantes per muerte de D. Miguel Rodríguez y D. Antonio Joaquín de los Reyes, á D. Josef Pereyra y á D. Francisco Pefiche: para otra en la misma Colegial, vacante por promoción de D. Ma-* nuel Guarnan y Texera á la Dignidad de Arcipreste de ella, á D. Mariano de Atienza: para dos Raciones de la Coleg</t>
  </si>
  <si>
    <t>Peggler</t>
  </si>
  <si>
    <t>este añ.) en Inglaterra. No han llegado pliegos de Lord Lauderdale posteriores á los que ha traído Mr. Peggler; pero de un momento á otro se aguarda la vuelta del correo Basílico. ¡"r- -y1'Acaba de publicarse un remedio sencillo,. y según aseguran muy efí-r caz contra las oftalmías, que de</t>
  </si>
  <si>
    <t>Peíiteyro, Juan Antonio</t>
  </si>
  <si>
    <t>Juan Antonio Peíiteyro</t>
  </si>
  <si>
    <t>a uno á D. Eustasio López, D. Isidro Franco y D. Felipe Alvaro, y los tres segundos de á 35 pesos á D. Juan Antonio Peíiteyro, D. Gaspar Cañada y D. Lorenzo -dañan a. El día i.° de Mayo próximo pasado falleció en esta Corte,á los 78 años y 7 meses de edad, el limo. Sr. D. Fernando Josef Mangino Fernandez</t>
  </si>
  <si>
    <t>Peiro Lorien</t>
  </si>
  <si>
    <t>484 da, D., Josef María Feiiu, D. Peiro Lorien, D. MáttUél Cérdan;y hallándose igualmente pronto el Esquadron de Reales Guardias de Corps mandado del Teniente General D. Carlos Morí, primer Teniente de la Compañía Italiana, Co</t>
  </si>
  <si>
    <t>Pekairn</t>
  </si>
  <si>
    <t>en que ha sido preciso mantener ai enfermo: tiene el espíritu tranquilo, y á ratos está alegre. El Doctor Pekairn, que le asiste, dice que su;estado da grandes esperanzas, y que se halla mucho mejor de lo que él esperaba. HOLANDA. Haya 12 de Agosto. Unos 200 granaderos Franceses se han alista</t>
  </si>
  <si>
    <t>Pelaez Valledor, Francisco</t>
  </si>
  <si>
    <t>Francisco Pelaez Valledor</t>
  </si>
  <si>
    <t>1043 ESPAÑA. Paradina i.° de Octubre. Don Francisco Pelaez Valledor, Cura Rector del lagar de Paradina», Obispado de Segovia, en cumplimiento de la Real Orden de S. M., que manda se construyan cementerios fuera de las poblaciones» ha erigido uno j</t>
  </si>
  <si>
    <t>Pelaez, Francisco</t>
  </si>
  <si>
    <t>Francisco Pelaez</t>
  </si>
  <si>
    <t>o Cuerpo D. Antonio Siso; esta Tenencia al Alférez D. Narciso Blanco; su resulta al Portaestandarte D. Francisco Pelaez, y este empleo ál Cadete D. Manuel Escalona. En el de Milicias disciplinadas de caballería de la misma isla ha promovido también St M. á Capitán al Teniente de Carabineros D. Esco</t>
  </si>
  <si>
    <t>Pelet, General</t>
  </si>
  <si>
    <t>General Pelet</t>
  </si>
  <si>
    <t>r el Príncipe de Hohenlohe va caminando en tres colunas; el Príncipe Luis manda la vanguardia, y el General Pelet irá baxo sus órdenes. Mr. Durand, Enviado de Francia en Dresde, ha pasado al Ministro Electoral una Nota con motivo de la entrada de las tropas Prusianas en Saxonia, y en seguida</t>
  </si>
  <si>
    <t>Peletx, General</t>
  </si>
  <si>
    <t>General Peletx</t>
  </si>
  <si>
    <t>Lebrun ha presentado ayer al Emperador 4 estandartes de quatro esquadrones Prusianos que mandaba el General Peletx, á quien ej .General Drouet obligó á capitular cerca-de Lauenburgo, donde , se,-, hallaban separados de la división del General Blucher. . . . - w El Sargento mayor Amiel, al fren</t>
  </si>
  <si>
    <t>Pelew, Almirante</t>
  </si>
  <si>
    <t>Almirante Pelew</t>
  </si>
  <si>
    <t>conclusión de la paz entre Francia y Austria. - *■ ' Las últimas cartas de la India anuncian que eL Almirante Pelew hace disposiciones en Calcutta y Bombay contra la Isla'de Francia. Pero se sabe que esta colonia se halla én un buen estado de defensa, y se teme generalmente que nuestro Almirant</t>
  </si>
  <si>
    <t>Pelgron, Carlos</t>
  </si>
  <si>
    <t>Carlos Pelgron</t>
  </si>
  <si>
    <t>egurar el importe de quatro letras de cambió de io9, 9®, 1692§ y 6250 pesos, giradas á su cargo por D. Carlos Pelgron, dueño de la indicada expedición, por quanto era también portadora de otras letras giradas por el referido, con hipoteca del buque, carga y seguros; y habiéndose instruido otras d</t>
  </si>
  <si>
    <t>Peña Medrano, Juan</t>
  </si>
  <si>
    <t>Juan Peña Medrano</t>
  </si>
  <si>
    <t>J 787 S. M. se ha dignado nombrar para la Yara de Alcalde mayor de la villa del Bonillo á D. Juan Peña Medrano; y para la de la Isla de la Gran Canaria á D. Juan Bayle y Obregon» En América. El Rey se ha servido nombrar para el Arcedianato de la Catedral del Cuzco á D. Mariano Paz y Pozo:</t>
  </si>
  <si>
    <t>Peñá, Juan</t>
  </si>
  <si>
    <t>Juan Peñá</t>
  </si>
  <si>
    <t>s Provinciales ha promovido S. M* a Car pitan en el de Alcázar de S. Juan al Teniente de granaderos D. Juan Peñá? carrillo: á Teniente de .granaderos .e^Aei, de Raredo alde fusileros D. Juan ¡Ventura de,Cevaüos :• á.Teni$iite$ de, fusn^rpsuii lps_.de Tuy yjphinahilla á los Subtenientes de gr</t>
  </si>
  <si>
    <t>Peñuela y Aibarracin, Antonio</t>
  </si>
  <si>
    <t>Antonio Peñuela y Aibarracin</t>
  </si>
  <si>
    <t>Fe, en el Arzobispado de Granada: para otra Ración de la Catedral de Almería, por fallecimiento de D. Antonio Peñuela y Aibarracin , á D* Josef Cortina; y para una Media-Ración de la Catedral de Calahorra, por muerte de D. Felipe Zaballa , á D. Pedro Nolasco Cabezón, Cura de la Parroquial de Quintanas-Rubias</t>
  </si>
  <si>
    <t>Peralta y Astraudi, Manuel</t>
  </si>
  <si>
    <t>Manuel Peralta y Astraudi</t>
  </si>
  <si>
    <t>Pastor , en todos los ramos de Matemáticas puras, resolviendo quantos problemas se les propusiéron; D. Manuel Peralta y Astraudi, Marques de Casares, y Guardia de Corps de la Compañía Americana, de Aritmética, Geometría y Geografía j D. Manuel y D. Bernabé Portillo de Aritmética y Geometría; y D. Josef Pine</t>
  </si>
  <si>
    <t>Perceval</t>
  </si>
  <si>
    <t>Mr. Perceval se justifico de la incohseqiiencia de que se le acusaba: sus amigos y él habian preferido en efecto el impeachement al procedimiento criminal ante los tribunales ordinarios ; mas</t>
  </si>
  <si>
    <t>- 6co verán vacíos, en lugar de que hasta ahora estaban seguros de venir con cargamento. — Mr. Perceval presentó un permiso para abrir los puertos de las colonias, dado hace quatro meses por un Ministro. „Si los Ministros, d¿xo, se atribuyen semejantes derechos antes que haya pasado</t>
  </si>
  <si>
    <t>Percy, Lord</t>
  </si>
  <si>
    <t>Lord Percy</t>
  </si>
  <si>
    <t>Westminster el 7 de Octubre próximo: saldrá el acompañamiento de su casa en Stable-Yard San James. Lord Percy se ha decidido á presentarse á los Electores de Westmins^ •ter, como candidato á la plaza que Mr. Fox tenia de representante-de esta ciudad. Está sostenido por el partido GrenvlUe</t>
  </si>
  <si>
    <t>an juntado en la taberna de la Corona y del Ancora: todos eran de los contrarios al nombramiento de Lord Percy; y Sir Francis Burdett y Mr. Curran fueron propuestos como candidatos en oposición al dicho Lord. Algunos anti-Grenvilistas quisieron que Mr. Grattam, miembro Irlandés del Parlame</t>
  </si>
  <si>
    <t>didatos en lugar Mr.Fox, han abandonado sus pretensiones; y el primero ha declarado que votaría por Lord Percy. HOLANDA. Haya 8 de Octubre. El dia 4 llegaron á esta residencia dos correos del Emperador de los Franceses, expedidos de Maguncia, con cartas para nuestro Soberano, el que en vir</t>
  </si>
  <si>
    <t>Sheridan, Sir Francis Burdett, y Mr. Currau habían rehusado presentarse como candidatos, propuso á Lord Percy , como sugeto que reunía en sí las qualidades propias para determinar la elección presente. Fué muy aplaudida esta arenga; y no presentándose nuevo candidato, se pasó á la votació</t>
  </si>
  <si>
    <t>e los Cb^dados y Ciudades que envían representantes. Mr. Sheridan, que había rehusado Concurrir con Lord Percy* pon motivo del reemplazo de Mr. Fox, acaba de proponerse á los mismos Electores de Westminster. No se duda que sea sostenido por un partido fnuy considerable. Lord S. Vicente ha</t>
  </si>
  <si>
    <t>Péregrifl</t>
  </si>
  <si>
    <t>se'.subastan1'las fintas y edificios pertenecientes-’ ií. las obras píasJ, dé qúe es Ádminístrador D. Péregrifl!Ilopez, Vicario''de la‘Parroquial de la villa de’ Géa; y!son las siguientes: Una heredad de regadío, de caber -4fanegas, en la: partida de la Herrería, tasada .en 7800 rs.: un cer</t>
  </si>
  <si>
    <t>Peregrin Meüana</t>
  </si>
  <si>
    <t>tiqa’; duego leyó, otro discurso D. Juan de Vargas^ patedrático de Sintaxis; después el Seminarista D. Peregrin Meüana recitó, otra obra poética , - alentando á la patria á que sepa, aprovecharse de mndigno establecimiento: concluido este acto se cantó eLÍF Deum £$iU,í#£U|a; Pe$de aquel dia,,comen</t>
  </si>
  <si>
    <t>Perero, Manuel</t>
  </si>
  <si>
    <t>Manuel Perero</t>
  </si>
  <si>
    <t>o mayor á D. Josef Taberner, Capitán del mismo cuerpo: en el de Algarbe empleo de Portaestandarte á D. Manuel Perero, Guardia de la Compañía del Real cuerpo de Guardias de Corps: en el de Santiago empleo de Alférez al Portaestandarte D. Juan Portaz ; y en el de dragones de Villaviciosa Tenencia</t>
  </si>
  <si>
    <t>Pereyra, Diego</t>
  </si>
  <si>
    <t>Diego Pereyra</t>
  </si>
  <si>
    <t>María del Alcázar y S. Andrés de la ciudad de Baeza, Diócesi-de Jaén, vacante por fallecimiento de D. Diego Pereyra, á D. Santiago Moreno: para otra de S. Miguel de S. Quirce, en el Arzobispado de Burgos^-vafeante por muerte de D. Julián Gómez Alvarez, .'á D. FrarK i se o Barrio jProt-Cura y Be</t>
  </si>
  <si>
    <t>Pereyra, Juan Antonio</t>
  </si>
  <si>
    <t>Juan Antonio Pereyra</t>
  </si>
  <si>
    <t>andera en los Regimientos de infantería de Navarra é Hibernia á los Cadetes D. Alberico . Maupoey y D. Juan Antonio Pereyra. ' A D. Gerónimo Valladares, Teniente del Regimiento Provincial de Sevilla,ha conferido S. M. la Tenencia de granaderos del misiqo Cuerpo; á . D. Josef Andrés VUlaseñor, Subtenien</t>
  </si>
  <si>
    <t>Pérez Arroyo, Félix</t>
  </si>
  <si>
    <t>Félix Pérez Arroyo</t>
  </si>
  <si>
    <t>orrupción, toba ó piedra que se cria en ella; y de la extinción de los insectos que la corroen, por D. Félix Perez Arroyo, Cirujano que ha sido de los Reales hospitales. En una de sus quatro láminas se manifiestan los usos del peljcan pata extraer los raigones y muelas, por ocultos que esten. Se hall</t>
  </si>
  <si>
    <t>Pérez Baylon, Andrés</t>
  </si>
  <si>
    <t>Andrés Pérez Baylon</t>
  </si>
  <si>
    <t>rte, ó veladas lúgubres, escritas en Málaga con motivo de la epidemia que padeció esta ciudad , por D. Andrés Perez Baylon, Catedrático de Latinidad. Se hallará en la librería de Claros , calle del Arenal.' Habiéndose advertido que muchas personas tienen descabalada la obra del Teatro de la Legislació</t>
  </si>
  <si>
    <t>Pérez de Bustos, Gregorio</t>
  </si>
  <si>
    <t>Gregorio Pérez de Bustos</t>
  </si>
  <si>
    <t>Capellanía de la Real capilla de Reyes Nuevos de la ciudad de Toledo, vacante por fallecimiento de Don Gregorio Perez de Bustos, á D. Bartolomé Alonso y Robles, Cura de la Parroquial de S. Bartolomé de dicha ciudad: para el Beneficio simple de Sta. María de Anaya, en la Diócesi de Oviedo, vacante por promo</t>
  </si>
  <si>
    <t>Pérez de Guzman, Félix</t>
  </si>
  <si>
    <t>Félix Pérez de Guzman</t>
  </si>
  <si>
    <t>D. Francisco Xavier Alaría de Alexo, D. Vicente Gómez de Mercado , D. Ramón María Pardo Montenegro, D. Félix Pérez de Guzman, y al Subteniente agregado D. Francisco Cabero. Teniendo presente el Rey que todos los provistos &lt;en empleos de Real Hacienda de América con Real Título deben presentarse al Juez</t>
  </si>
  <si>
    <t>Pérez de Vargas, Mateo</t>
  </si>
  <si>
    <t>Mateo Pérez de Vargas</t>
  </si>
  <si>
    <t>ido mombrar para la Dignidad de Tesorero de. la Catedral de Canarias, ¡vacante per fallecimiento de D. Mateo Perez de Vargas, á D. Ló'rénzo Montes de Oca, Racionero de la misma: para una de las quafr9 Cspeílanías menores del Real y primer Monasterio de la Visitación de &gt; 9ue ha vacado por muerte de D. M</t>
  </si>
  <si>
    <t>Pérez de Velasco, Pedro</t>
  </si>
  <si>
    <t>Pedro Pérez de Velasco</t>
  </si>
  <si>
    <t>ismo Regimiento al Sargen-r to primero de granaderos D. Isidro Truquet; y en el de Aragón al Cadete D. Pedro Perez de Velasco. Igualmente se ha servido S. M. promover á Subteniente de bandera del primer batallón de Voluntarios de Aragón ai Cadete D. Josef Villalon. En atención á la calidad, enlaces y ser</t>
  </si>
  <si>
    <t>Pérez del Busto, Ángel</t>
  </si>
  <si>
    <t>Ángel Pérez del Busto</t>
  </si>
  <si>
    <t>de cementerios en el distrito de este Priorato de Santiago de Uclés, el Alcalde mayor de esta villa D. Angel Perez del Busto, de acuerdo con el Doctor D. Josef de Loeches, Cura Párroco y Delegado del limo* Sr. Obispo y Prior perpetuo, y tratado el asunto en el Ayuntamiento, ha llevado á efecto, en el té</t>
  </si>
  <si>
    <t>Pérez Idiaquez, Vicente</t>
  </si>
  <si>
    <t>Vicente Pérez Idiaquez</t>
  </si>
  <si>
    <t>Francisco Julián Bernal; de fusileros á D. Juan Manuel Gallardo, D. Antonio Josef Laso de la Vega , D. Vicente Perez Idiaquez, D. Mateo de Soto, D. Sixto Carrera, D. Remigio.Diaz y D. Mauricio Zelaya; y de bandera á D. Pedro Luque y D. Juan Miguel Morazan, todos vecinos de la jurisdicción del mismo cuerp</t>
  </si>
  <si>
    <t>Pérez Jusfiniani, Esteban</t>
  </si>
  <si>
    <t>Esteban Pérez Jusfiniani</t>
  </si>
  <si>
    <t>uatro Villas á D. Antonio Josef Madrigal, Subteniente del mismo; y Subtenencia de bandera al Cadete D. Esteban Pérez Jusfiniani: empleo de Alférez en el Regimiento, de caballería de la Ha vana si Portaestandarte D. Francisco Toyos; y esta resalta al Sargento segundo D. Antonio Arocha: Tenencia en el de dra</t>
  </si>
  <si>
    <t>Pérez Penuelas, Luis</t>
  </si>
  <si>
    <t>Luis Pérez Penuelas</t>
  </si>
  <si>
    <t>n 276,856 rs. Quien quisiere hacer postura acuda ante el referido Sr. Teniente por la escribanía de D. Luis Perez Penuelas.^ Quien quisiere tomar en arrendamiento un molino harinero intitulado de Morarniz, que se halla situado en la ribera del Rio Nares, jurisdicción de la villa de Cabañil las del Cam</t>
  </si>
  <si>
    <t>Pérez Peñuelas, Luis</t>
  </si>
  <si>
    <t>Luis Pérez Peñuelas</t>
  </si>
  <si>
    <t>e 15,388 rs. Quien quisiere hacer postura acuda ante el referido Sr. Teniente, por la escribanía de D. Luis Perez Peñuelas. En la Gazeta de 24 del anterior, núm- 52, se anunció al público la subasta de la dehesa de Guadamez, perteneciente á las obras pías del Santísimo Cristo de Zalamea de la Serena,</t>
  </si>
  <si>
    <t>Pérez Villamil, Juan</t>
  </si>
  <si>
    <t>Juan Pérez Villamil</t>
  </si>
  <si>
    <t>cha mejora acuda ante él referido Sr. Teniente, por la citada escribanía. , Por providencia del Sr. D. Juan Perez Villamil, Caballero pensionado de la distinguida Real Orden Española de Carlos 111, del Consejo de S. M., su'Fiscal togado en el Supremo de la Guerra, Asesor general interino de los Cuerpo</t>
  </si>
  <si>
    <t>Pérez Zaragoza, Agustín</t>
  </si>
  <si>
    <t>Agustín Pérez Zaragoza</t>
  </si>
  <si>
    <t>la Parroquial de la villa de Hinojosa de Duero, Diócesi de Ciudad-Rodrigo, vacante por promoción de D. Agustín Perez Zaragoza, á Canongía de la Colegiata de Sta. Fe, en el Arzobispado de Granada: para otra Ración de la Catedral de Almería, por fallecimiento de D. Antonio Peñuela y Aibarracin , á D* Josef</t>
  </si>
  <si>
    <t>Pérez Zurita, Juan</t>
  </si>
  <si>
    <t>Juan Pérez Zurita</t>
  </si>
  <si>
    <t>aquín de Heredia y Hore : para el Deanato de la Catedral de Santander, vacante por fallecimiento de D. Juan Perez Zurita, á D. Francisco Antonio del Acebo, Canónigo Pectoral de ella; y para el Beneficio simple servidero de la Parroquia de Sta. María de Jaraíz, Diócesi de Plasencia, vacante por promo</t>
  </si>
  <si>
    <t>Pérez, Agustín</t>
  </si>
  <si>
    <t>Agustín Pérez</t>
  </si>
  <si>
    <t>los Sargentos primeros D. Josef Aramburu y D. lííadio Egoabíl; á Alféreces á ios Sargentos primeros D. Agustín Perez y D. Manuel Antonio Aldaco, y á Portaestandartes á D. Josef Espinosa y D. Antonio Velasco, también Sargentos primeros del mismo Cuerpo. En las Compañías de</t>
  </si>
  <si>
    <t>Pérez, Andrés</t>
  </si>
  <si>
    <t>Andrés Pérez</t>
  </si>
  <si>
    <t>Chenard; á Subtenientes de fusileros los de bandera D. Antonio Boza, D, Josef Gregorio de Castilla, D. Andrés Perez y D. Josef Cayetano de Sastre, y á Subtenientes de bandera al Sargento primero D. Nicolás Naranjo, y á los Cadetes D. Antonio Arango, D. Miguel Ferrery Don Rafael Granda. En el Regimi</t>
  </si>
  <si>
    <t>Pérez, Fernando</t>
  </si>
  <si>
    <t>Fernando Pérez</t>
  </si>
  <si>
    <t>ibrería de Villareal, calle de las Carretas, á 10 rs. en rústica. Carta de Paracuellos, escrita por D. Fernando Perez á un sobrino que se hallaba en peligro de ser autor de un libro: publicóla con notas un Bachiller en Artes. Se hallará en la librería de Aguilera, calle nueva de S. Isidro, como t</t>
  </si>
  <si>
    <t>Pérez, Francisco</t>
  </si>
  <si>
    <t>Francisco Pérez</t>
  </si>
  <si>
    <t>9 rs.—En la ciudad y plaza de Ceuta una casa sita en la calle real de Almrna, que linda con otra de D. Francisco Perez, tasada en 30,008 rs, 12 mrs.: otra en la misma ciudad y callejón que nombran de Duarte, que linda con casas del mismo Sr. Marques y otras del Canónigo Laredo, en 14,722 rs. 11 mr</t>
  </si>
  <si>
    <t>Pérez, Francisco Antonio</t>
  </si>
  <si>
    <t>Francisco Antonio Pérez</t>
  </si>
  <si>
    <t>quisiere hacer postura á dichas fincas Jo executará por la escribanía de la comisión que desempeña D. Francisco Antonio Pérez. En virtud de providencia del Tribunal del Consulado de Cádiz, de 13 de Oc- tubre próximo pasado, en autos de acreedores de D. Josef de Herrera y: su tesra- ' mentaría,^ nú ni* 8,</t>
  </si>
  <si>
    <t>Pérez, Gabriel</t>
  </si>
  <si>
    <t>Gabriel Pérez</t>
  </si>
  <si>
    <t>e: varias capellanías laicas les fundadas en las Parroquial de la villa de Xea; á saber: la:una por D. Gabriel Pérez ,Fax© lariñvocacion dél Trasagrario : süs bienes-son : una huerta cerrada y arboleada ,,de 10 fanegas dé sembradura,, tasadas en 30)750 rs&lt;: una pieza de 2 fan., en45P°::'Otra de</t>
  </si>
  <si>
    <t>Pérez, Ignacio</t>
  </si>
  <si>
    <t>Ignacio Pérez</t>
  </si>
  <si>
    <t>olsona, vacante por muerte de D. Domingo Prat, á D. Sebastian Pía. - El Rey sé ha servido nombrar á D. Ignacio Perez para la Vara de Daimiel, y para la de Almonacid de Zurita á D. Josef Jorge del Molino y Torres, ámbasde segunda clase , en el territorio de la Orden de Calatrava; y para la del Go</t>
  </si>
  <si>
    <t>Pérez, Mateo</t>
  </si>
  <si>
    <t>Mateo Pérez</t>
  </si>
  <si>
    <t>de los Peligros; en Cádiz en la de Pajíres, en Málaga en la de Carreras, y en Cartagena en casa de D. Mateo Perez, Cirujano de la esquadra. Obras completas de Vaca: 3 tomos en 8.°: su precio 24 rs. en rústica y 34 en pasta. El primer tomo contiene las odas, canciones líricas, poemas, églogas</t>
  </si>
  <si>
    <t>Pérez, Nicolás</t>
  </si>
  <si>
    <t>Nicolás Pérez</t>
  </si>
  <si>
    <t>cciones de órdenes contenidas en ellas. Exámen crítico del tomo i.° del Anti-Quixote, publicado por D. Nicolás Pérez, soi-disant el Setabiense, socio de varias Academias anónimas: por el Tutor, Curador y Defensor de los manes de Miguel de Cervantes Saavedra contra todos los follones y malandrine</t>
  </si>
  <si>
    <t>de infantería de Voluntarios de la Corona Subtenencia de bandera al Sargento primero de granaderos D. Nicolás Perez. En el Real Cuerpo de Artillería se ha dignado S. M. promover á Subinspector del departamento de Cartagena al Gefe de Escuela del de la Coruña D. Josef de Viv'anco; á Gefe de Escu</t>
  </si>
  <si>
    <t>Peréz, Ramón</t>
  </si>
  <si>
    <t>Ramón Peréz</t>
  </si>
  <si>
    <t>760 tana de Julián García Conde, tasados en 69 rs., y se renden, sin inclusión de la casa propia de D. Ramón Peréz, sita en el mismo parage, para pago de acreedores, acuda ante el Sr. D. Torquato Antonio Collado, Teniente Corregidor de esta villa, por la escribanía de D. Alexandro Gutiérrez} p</t>
  </si>
  <si>
    <t>Perignon y los Senadores Garat y Lacepede, Mariscal</t>
  </si>
  <si>
    <t>Mariscal Perignon y los Senadores Garat y Lacepede</t>
  </si>
  <si>
    <t>Señores, os ve con mucha complacencia en su seno, y os convida á asistir á su junta.” En seguida el Mariscal Perignon y los Senadores Garat y Lacepede propusiéron se erigiese el monumento triunfal decretado por ei Senado.. Mr. Chaptal pronunció el discurso que sigue: „ Senadores , habéis votado unánimemem te un monumento triunfa</t>
  </si>
  <si>
    <t>Perl, Juan</t>
  </si>
  <si>
    <t>Juan Perl</t>
  </si>
  <si>
    <t>icha villa. Los que quisieren hacer pretensión dirigirán sus memoriales á D.' Agustín Monge Gil y á D. Juan Perl ines Isla, teniendo entendido que* su provisión se- hará el día 15 del próximo Setiembre. ■ Virtud perdida por el vicio. Vida y hechos-de Lidoro y Engracia, que muestran la felici</t>
  </si>
  <si>
    <t>Perrond, Capitán</t>
  </si>
  <si>
    <t>Capitán Perrond</t>
  </si>
  <si>
    <t>n en los parages en que los Ingleses han usurpado el dominio. La Henriqueta, de Burdeos, la Belona, Capitán Perrond, y otro corsario de la Isla de Francia, han apresado últimamente en los mares de las Indias 7* buques Ingle fes ricamente cargados: uno de ellos se valúa en 1.800® pesetas. Ayer s</t>
  </si>
  <si>
    <t>Perry</t>
  </si>
  <si>
    <t>en la esqnadra Francesa, la qual en este espacio de tiempo ha apresado 6 embarcaciones. Según dice Mr. Perry jú csquadra pasa al.Brasil á hacer aguada, y de allí se dirigirá á las Indias Occidentales % el 20 de Marzo, hallándose á los 16 grados, 4f minutos de latitud Sur y á los 7 de lon</t>
  </si>
  <si>
    <t>Perry, Capitán</t>
  </si>
  <si>
    <t>Capitán Perry</t>
  </si>
  <si>
    <t>los Ingleses se habían apoderado de esta colonia, ha cambiado su rumbo hacia la Isla de Francia. El Capitán Perry, que mandaba el buque Lady Shawe Steward, apresado y quemado por Gerónimo Bonaparte, ha llegado á Londres. Ha permanecido este Capitán 15 semanas en la esqnadra Francesa, la qual</t>
  </si>
  <si>
    <t>Pestaiozzi</t>
  </si>
  <si>
    <t>rte se lee que á propuesta del Arzobispo de Xindblom, apasionadísimo por el Sistema de educación de Mr. Pestaiozzi, ha asignado S. M. el Rey de Sue'cia fondos fixos para establecer exercicios gimnásticos en la Universidad de Linkoping; En la noche del 27 pasó por Manheim S. A. el Príncipe Real</t>
  </si>
  <si>
    <t>drid. Memorial literario, núms. 18 y 19 de este año. Contiene idea del nuevo método de educación de Mr. Pestaiozzi; reflexiones sobre la utilidad de los montes, y perjuicios de su decadencia; extracto de la obra intitulada Estudios y libros necesarios á un Teólogo, por el P. Manuel Gil; extrac</t>
  </si>
  <si>
    <t>Pestalozzi</t>
  </si>
  <si>
    <t>del Consejo del Gobierno det Cantón de Vaud para examinar prolixamente la enseñanza y educación de Mr. Pestalozzi, se ha restituido ya después de haber desempeñado su comisión. Ha dado un informe exponiendo las ventajas que traerá la adopción del método que sigue dicho autor; y ademas ha prop</t>
  </si>
  <si>
    <t>de Abril manifestando los progresos que hacia en algunas partes de España el método de educación de Mr. Pestalozzi. Mr. Voitel lo aprendió del inventor en Burgdorf en 1.801 y 1802, hallándose con Licencia. Vuelto á su Regimiento., estableció una escuela Pestalozziana para los hijos de los Ofic</t>
  </si>
  <si>
    <t>Petiet</t>
  </si>
  <si>
    <t>t, General de división; Mr. Ordoner, General de división y Comandante de las guardias de á caballo; Mr. Petiet, Intendente del exército grande y Consejero de Estado ; Mr. Barral, Arzobispo de Tolosa; Mr. Faletti-Barolle , Presidente de la Academia de Turin, y uno de los mas ricos propietar</t>
  </si>
  <si>
    <t>Petitpierre, Agustín</t>
  </si>
  <si>
    <t>Agustín Petitpierre</t>
  </si>
  <si>
    <t>la Escueia, y, para persuadir con hechos, dio una muestra del Método en la persona de su discípulo D. Agustín Petitpierre, Cadete de dicho Regimiento, de 9 años de edad, y con solos 9 meses de enseñanza. Puestas las tablasá la vista del público, hizo varios exercicios de diversos ramos del Método, en</t>
  </si>
  <si>
    <t>Petty, Henrique (lord)</t>
  </si>
  <si>
    <t>Lord Henrique Petty</t>
  </si>
  <si>
    <t>y ha dexado á la vista de Cádiz y de Cartagena fuerzas suficientes para bloquear estos dos puertos. Lord Henrique Petty na sido nombrado Representante'de la Universidad de Cambridge en lugar de Mr. Pitt. 1 - " *-**■■'- ' ■ HOLANDA. . ’ . . : " "Haya ’if dé Febrero, El dictamen de la Alta'Corté de J</t>
  </si>
  <si>
    <t>s aumentos de renta que las circunstancias y el poco valor del dinero han hecho necesarios,P . Ayer Lord Henrique Petty ha hechouen:lak Cámara,de los Comunes la propuesta que había anunciado relativa á la vacunación. Según parece por su informe, se han retardado los progresos de este último descubr</t>
  </si>
  <si>
    <t>o durara mas de 3 semanas. En vista del mensage del Rey, enviado el miércoles último al Parlamento, Lord Henrique Petty ha hecho ayer una propuesta relativa al aumento de las rentas de los Príncipes de la familia Real ; queda exceptuado el Duque de Yorck en este nuevo arreglo, porque con las grande</t>
  </si>
  <si>
    <t>Petty, Lord</t>
  </si>
  <si>
    <t>Lord Petty</t>
  </si>
  <si>
    <t>erca del todo»..” El discurso al Rey fué aprobado ea la misma Junta. Cámara de los Comunes. Dia 2/. Lord Petty propuso la enmienda siguiente al discurso ai Rey : ,, Opina la Cámara , que deben inmediatamén-r te abrirse los debates sobre, las causas, de los desastres inauditos que han exper</t>
  </si>
  <si>
    <t>a causa de Mr. Hastings no debía atribuirse al lugar donde se vio,,sino á su misma-naturaleza.. ; ■ Lord Petty, Canciller, del Echiquier, se maravilló de ver que después de desechar él procedimiento criminal, se quisiese ahora qui tar ziimpeachement su publicidad é importancia. No podía co</t>
  </si>
  <si>
    <t>Peyroloa, Francisco</t>
  </si>
  <si>
    <t>Francisco Peyroloa</t>
  </si>
  <si>
    <t>235 JEn Toledo.............. Sres* Chavavrí y Posadillo* En Valencia..........Sres. D. Francisco Peyroloa y compañía* En Valladolid...... D. Francisco Durango. En Zamora............ D. Josef Ligero. En Zaragoza....... D. Tornas de la Madrid. En Zcuta.............. D. Pedro Huguet, comis</t>
  </si>
  <si>
    <t>Peyrolon, Francisco</t>
  </si>
  <si>
    <t>Francisco Peyrolon</t>
  </si>
  <si>
    <t>Andrés Martinez de Aparicio. En Toledo.............. Sres. Chavarri y Posadillo. En Valencia Sres. D. Francisco Peyrolon y compañía. En Valladolid. Sres. D. Francisco Durango é hijo mayor. En Zamora.......... . D. Joseí Ligero. En Zaragoza........ D. Tomas de la Madrid. En Zeuta............... D. Pedr</t>
  </si>
  <si>
    <t>s Martínez de Aparicio. En Toledo............. Sres. Chavarri y Posadillo. En Valencia..... . Sres. D. Francisco Peyrolon y compañía. En Valladolid...... D. Francisco Durango é hijo mayor. En Zamora.......... D. Josef Ligero. En Zaragoza........ D. Tomas de la Madrid. En Zenta.............. D. Pedro Hu</t>
  </si>
  <si>
    <t>Pfuhl, General</t>
  </si>
  <si>
    <t>General Pfuhl</t>
  </si>
  <si>
    <t>s asuntos de Hannóver y de la Alemania septentrional, y que e(te es el objeto del viage á Viena del General Pfuhl, quien ademas de una carta del Rey de Prusia para el Emperador Napoleón, lleva poderes competentes del Emperador de Rusia. Francfort i.° de Enero de 18o&lt;51 La caxa militar del exé</t>
  </si>
  <si>
    <t>Pía, Sebastián</t>
  </si>
  <si>
    <t>Sebastián Pía</t>
  </si>
  <si>
    <t>sia Parroquial de la villa de Cardona, Diócesi de Solsona, vacante por muerte de D. Domingo Prat, á D. Sebastian Pía. - El Rey sé ha servido nombrar á D. Ignacio Perez para la Vara de Daimiel, y para la de Almonacid de Zurita á D. Josef Jorge del Molino y Torres, ámbasde segunda clase , en el te</t>
  </si>
  <si>
    <t>Piáeyro y las Casas, Gerónimo</t>
  </si>
  <si>
    <t>Gerónimo Piáeyro y las Casas</t>
  </si>
  <si>
    <t>ca, D. Josef Mariano del Pulgar y Varo, D. Francisco del BarcoGordon, D. Mariano Narvaez y Narvaez, D. Gerónimo Piáeyro y las Casas, D. Josef Arias de Saavedra Caro y Tavera, D. Antonio Moscoso y Vázquez,,D. Salvador Moreno de Guerra Navarro y Rio, D. Josef Barco y la Cendeja y D. Vicente Vázquez y Moscoso. El</t>
  </si>
  <si>
    <t>Pico de Haedo, Félix</t>
  </si>
  <si>
    <t>Félix Pico de Haedo</t>
  </si>
  <si>
    <t>que quisiere hacer dicha mejora lo executará por la escribanía del número de esta villa, que exerce D. Félix Pico de Haedo. A la casa situada en la plazuela del Rastro, núm. 3, manz. 88, valuada en 45,327 rs., se ha hecho postura en el todo de su tasa á vales Reales. Quien quisiere hacer mejora acuda</t>
  </si>
  <si>
    <t>la Cruz del Espíritu Santo, tasada en 113,770 rs. = Por el mencionado Sr. Teniente y escribanía de D. Félix Pico de Haedo se ha mandado sacar á pública subasta, por término de 15 días contados desde el 29 de Mayo, otra casa sita en la calle de las Hileras, núm. 8, manz. 389,avaluada en 252,533 rs* Qu</t>
  </si>
  <si>
    <t>. 470, tasado según se halla en 16,202 rs. 12 mrs., acuda á executarlo por la escribanía que exerce D. Félix Pico de Haedo, en el término de 30 dias contados desde el 12 del corriente. Se vende una casa en la villa de Brúñete, frente á la ermita de la Soledad, con 5124 píes de sitio, tasada en 5® rs.:</t>
  </si>
  <si>
    <t>, manz. 389, tasada en 251,533 rs. Quien ¡ quisiere hacer postura .acuda 4 la escribanía que exerce D. Félix Pico de Haedo. Por providencia del Sr. D. Torquato Antonio Collado, Teniente Corregidor de esta villa, se ha mandado sacar a pública subasta, por término de 30 dias, una casa sita en esta Corte</t>
  </si>
  <si>
    <t>Pico, Ramón Antonio</t>
  </si>
  <si>
    <t>Ramón Antonio Pico</t>
  </si>
  <si>
    <t>iz............... D. Benito de la Piedra. En Cartagena...... D. Bernardo Elizalde. En Ciudad-Real.. D. Ramón Antonio Pico. En Córdoba........... Sres. Barcia padre é hijo. En la Coruña...... . D. Manuel Elzaurdi. En Cuenca............ . Sres. viuda de Escolar, Noríega é hijo. En Granada... D. Francis</t>
  </si>
  <si>
    <t>iz............... D. Benito de la Piedra. En Cartagena...... D. Bernardo Elizalde. En Ciudad-Real.. D. Ramón Antonio Pico. En Córdoba.......... Sres. Barcia padre é hijo. En la Cortina....... D. Manuel Eizaurdi. En Cuenca........... Sres. viuda de Escolar y Noriega é hijo. En Granada........ D. Franc</t>
  </si>
  <si>
    <t>Picton, General</t>
  </si>
  <si>
    <t>General Picton</t>
  </si>
  <si>
    <t>irmado, Federico Guillermo____ Y á continuación ReckHardenberg GRAN BRETAÑA. Londres 8 de Marzo. El General Picton, Gobernador de la isla de la Trinidad, ha comparecido ante el Tribunal del Banco del Rey, por haber mandado dar tormento á una Española de 13 años, para obligarla á confesar el de</t>
  </si>
  <si>
    <t>espuestas sencillas movieron á un tiempo el ínteres y la indignación del auditorio. El defensor del General Picton entró en una larga discusión, pretendiendo hallar en el origen de las leyes Españolas el uso del tormento, citando á este fin ur edicto del año 1260; pero el testimonio de D. Pedro</t>
  </si>
  <si>
    <t>A. Londres 28 de Junio. Fué tal la impresión que hizo en el público algunos meses hace la cansa del General Picton-, Gobernador que,fué'de la isla de la Trinidad, que creemos recibirá ahora con gusto las noticias de lo ocurrido últimamente en ella. El 23 del corriente, se* ha presentado en el T</t>
  </si>
  <si>
    <t>Pierrard, Santiago</t>
  </si>
  <si>
    <t>Santiago Pierrard</t>
  </si>
  <si>
    <t>pleo de Alférez al Portaguión D.. Josef Domínguez; y en el de húsares Españoles Tenencia al Alférez D. Santiago Pierrard. El Brigadier D. Agustín de Figueroa, Comandante de Marina en PuertoCabello, ha escrito al Excmo¿ Sr. Príncipe de la Paz en 18 de Febrero de este año, el oficio del tenor siguient</t>
  </si>
  <si>
    <t>Pierrepont</t>
  </si>
  <si>
    <t>á muy en breve á Boinzenburgo. El Rey permanece todavía en Stralsund, de .donde, ha salido el dia 9 Mr. Pierrepont, Ministro de Inglaterra. Ai dia siguiente de haber visitado al Emperador de los Franceses, salió de Moravia el Emperador de Austria, y se trasladó á Troppau, adonde se</t>
  </si>
  <si>
    <t>Pinckney</t>
  </si>
  <si>
    <t>omerciantes. Se añaden ademas otros reglamentos para facilitar el exámen de las cuentas públicas. ■ Mr. Pinckney, Embaxador de los Estados-Unidos de América, Encargado de una negociación importante cerca del Gobierno, ha llegado á Londres con su familia. En la Gazeta de la Corte se incluye l</t>
  </si>
  <si>
    <t>Piñeyro, Juan Benito</t>
  </si>
  <si>
    <t>Juan Benito Piñeyro</t>
  </si>
  <si>
    <t>lférez D. Alonso Dávila; y á Alféreces los Sargentos primeros D. Francisco Aldao, de Carabineros, y D. Juan Benito Piñeyro. También se ha dignado S. M. nombrar para la Regencia de la Audiencia de Quito, vacante por promoción del Sr. D. Francisco Ignacio Cortones á Ministro Togadodel Supremo Consejo de</t>
  </si>
  <si>
    <t>Pingarron, Ramón</t>
  </si>
  <si>
    <t>Ramón Pingarron</t>
  </si>
  <si>
    <t>manz. 529, rematada en 105,340. rs. en vales Reales. Quien quisiere hacer mejora acuda ante el Sr. D. Ramón Pingarron , Alcalde de Casa y Corte, por la escribanía de D. Valdomero Moraleda. El Sr. D. Joséf Ruiz de Celada, Comisionado Regio para la venta de fincas secularizadas de la Diócesi de Zar</t>
  </si>
  <si>
    <t>Pinilla, Manuel</t>
  </si>
  <si>
    <t>Manuel Pinilla</t>
  </si>
  <si>
    <t>apellanía de -Reyes nuevos de Toledo, vacante por fallecimiento de D. Francisco Salvador Carmona, á D. Manuel Pinilla, Cura de la Parroquia de la villa del Molar, en el mismo Arzobispado: para el Beneficio simple servidero de la Parroquia'de la villa de Oropesa, Diócesi de Avila, vacante por muer</t>
  </si>
  <si>
    <t>Pino, General</t>
  </si>
  <si>
    <t>General Pino</t>
  </si>
  <si>
    <t>ué preciso recurrir al Virey de Italia, quien inmediatamente envió algunas tropas á las órdenes del General Pino, Ministro de la Guerra del Reyno de Italia.__ Al General de la división de la Gendarmería, Radet, le encargó también que viniese á Plasencia. Al mismo tiempo se presentó en esta c</t>
  </si>
  <si>
    <t>Piñuela, Sebastián</t>
  </si>
  <si>
    <t>Sebastián Piñuela</t>
  </si>
  <si>
    <t>a trasera para el cuidado del coche. Otro coche para el Notario de los Reynos, que fué el limo. Sr. D. Sebastian Piñuela, en los mismos términos que el antecedente» Otro para los 4 Caballerizos de Campo , que fuéron D. Fernando de la Cueva, D. Josef Alcázar, D. Joaquin Bermejo y D. Rafael Mateo, que</t>
  </si>
  <si>
    <t>Pinzano y Nogués, Antonio</t>
  </si>
  <si>
    <t>Antonio Pinzano y Nogués</t>
  </si>
  <si>
    <t>adetes Don Leandro Camuñez y D. Mariano Zepero: en el batallón de infantería de Veracruz Tenencia á D. Antonio Pinzano y Nogués, Subteniente del Regimiento de infantería de, Saboya. En Zalamea de la Serena, provincia de Extremadura, se vende una dehesa cerrada de pasto y labor, nominada de Guadamez, la qua</t>
  </si>
  <si>
    <t>Pío Rüiz</t>
  </si>
  <si>
    <t>1116 teniente de gf&amp;iiaderos al de fusileros D. Pío Rüiz, y ¿ Subteniente de bandera al Cadete D. Juan de Castro Palomino. En el Cuerpo de Cazadores Voluntarios Me* infantería del Río «Hacha se ha dignado el Rey promover á Capitán ai Te</t>
  </si>
  <si>
    <t>Pió Sánchez Garces</t>
  </si>
  <si>
    <t>aquín de Urrutia; Tenencia al Subteniente D. Pedro María Martin, y Subtenencia de bandera al Cadete D. Pió Sánchez Garces: en el de Sevilla Tenencia al Teniente de granaderos, que lo era del de Salamanca, graduado de infantería, Don Benito de la Riva: en el de Irlanda Tenencia al Subteniente de grana</t>
  </si>
  <si>
    <t>Pío, Papa</t>
  </si>
  <si>
    <t>Papa Pío</t>
  </si>
  <si>
    <t>a del Beato Francisco de Gerónimo, de la Compañía de Jesús, beatificado por nuestro Santísimo Padre Papa Pío vii en 2 de Mayo de 1806. Se hallará en el almacén de_ papel de Ortega, calle de las Carretas. Estampa de medio pliego que representa la última escena de la comedia el S£ de las N</t>
  </si>
  <si>
    <t>Pirez, Antonio</t>
  </si>
  <si>
    <t>Antonio Pirez</t>
  </si>
  <si>
    <t>en d de Voluntarios de Navarra al primer Ayudante D. Jorsef Pirez: está resulta al Capitán segundo D. Antonio Pirez: el empleo de segundo Ayudante en el Batallón de Voluntarios de Valencia al Teniente D. Miguel Pulido; y Subtenencia de bandera en el de Barbastro al Cade*e D. Antonio Jordán. S.</t>
  </si>
  <si>
    <t>Pisana y Muñoz, Luis</t>
  </si>
  <si>
    <t>Luis Pisana y Muñoz</t>
  </si>
  <si>
    <t>en Almagro, ó en Madrid á D. Antonio Causada, en la calle de Cedaceros, núm. 16. Por providencia de D. Luis Pisana y Muñoz , Comisionado Real para la venta de bienes eclesiásticos de la Diócesi de Cuenca, se han mandado sacar á pública subasta 86 almudes de tierra, sitos en térmitio¡de Ja, vijla de To</t>
  </si>
  <si>
    <t>Pitt</t>
  </si>
  <si>
    <t>mitad del número. El medio de hacer volar los navios que últimamente se ha ensayado en presencia de Mr. Pitt es exactamente el mismo de que Lord Stanhope habló 2 años hace en, la Cámara de los Pares; y, según dixo, había sido inventado por un Americano que se llamaba Mr.Fielton. Esta inven</t>
  </si>
  <si>
    <t>Febrero. El paquebote de Falmouth, que acaba de llegar, trae la noticia positiva de haber falleció Mr. Pitt el dia 23 de Enero de resultas de un ataque de gota al pecho.</t>
  </si>
  <si>
    <t>qiiencias empiezan á dar algún cuidado. El 26 de Febrero habrá un ayuno’genéral en los tresReyitos. Mr. Pitt ha terminado stí gloriosa carrera á las 4 y media de esta mañana. Debe considerarse su muerte como úna pérdida irreparable. Ha muerto sin agonías, y hasta el ultimo instante ha co</t>
  </si>
  <si>
    <t>Comunes que el lunes hará una propuesta acerca ae decretar una recompensa nacional á la memoria de Mr. Pitt. Dícese que su objeto es proponer se vote una suma de 50® libras esterlinas para pagar las deudas de este Ministro. Como primer Lord de la Tesorería tenia 5® libras esterlinas anu</t>
  </si>
  <si>
    <t>uridad de la patria; pero una triste circunstancia, á ¿aber, la enfermedad de un honorable miembro (Mr. Pitt) nos fuerza á dilatar el entraren materia, para mí muy sensible en el memento actual, y atendido mi modo de sentir. Tampoco debemos olvidar que el estado de Ja Gran Bretaña exige</t>
  </si>
  <si>
    <t>ismas razones que motivaron la que en una Ocasión semejante se hizo en memoria del ilustre padre de Mr. Pitt. Sin duda nadie negará que el hijo á lo ménos igualo al padre. Usaré las mismas expre*sibries que se emplearon en la propuesta hecha acerca de Lord Chatanv. Propongo que se presef</t>
  </si>
  <si>
    <t>l desempeño de su empleo, seria uno de los primerosádar mi aprobación; pero se trata de proclamar á Mr. Pitt excelente estadista, y no merezco elogios en cumplir con la obligación que tengo de combatir esta propuesta. —Yo fui y siempre he sido uno de ios que notáron los vicios del sistema</t>
  </si>
  <si>
    <t>empleado; no hay mas que ver los grandes medios de defensa y de ataque creadlos pqr Mr. Pitt , para presagiar á la Gran Bretaña sucesos que él no podrá ver,,y para hacer elogio de su patriotismo y energía. Si tendemos lavista hacia nuestra armada, ¿ qué cosa os representa</t>
  </si>
  <si>
    <t>mas gusto, por quanto no contenia la expresión de excelente estadista (aludiendo al epíteto dado á Mr. Pitt por Mr. Lasceiles). Concluyó su discurso diciendo: ,,La imputación que el honorable vocal que me ha precedido hace al Marques de Cornwallis de haber tomado parte en la unión del R</t>
  </si>
  <si>
    <t>ero no se ha confirmado. Lo cierto es que dicho Señor está enfermo de mucho cuidado. Se enterrará á Mr. Pitt junto áT la puerta occidental de la Abadía de Westminster, en el parage donde está colocado el monumento erigido á la memoria de su padre Lord Chathatn. Se hacen las disposiciones</t>
  </si>
  <si>
    <t>rtos. Lord Henrique Petty na sido nombrado Representante'de la Universidad de Cambridge en lugar de Mr. Pitt. 1 - " *-**■■'- ' ■ HOLANDA. . ’ . . : " "Haya ’if dé Febrero, El dictamen de la Alta'Corté de J usticia nacional de esta República sobre la demanda presentada á-SS. ÁÁ. PP. por e</t>
  </si>
  <si>
    <t>ue hemos concebido en quanto á la conservación de la paz del norte de Alemania. El fallecimiento de Mr. Pitt y la mudanza del Ministerio Británico;, ¿son dos acaecimientos de tal naturaleza, que, en llegando á saberse en la Corte de Petersburgo , influirán sin duda en que los asuntos político</t>
  </si>
  <si>
    <t>á el budjet este año, no se cree que la nueva administración se aparte en este punto del sistema de Mr. Pitt. FRANCIA. París 4 de Marzo. Antes de ayer á medio dia S, M. el Emperador y Rey se traslado al palacio del Cuerpo Legislativo para abrir su sesión, con el acompañamiento prescrito</t>
  </si>
  <si>
    <t>sterlinas, sin contar varias reclamaciones de indemnizaciones. Hoy se han celebrado las exequias de Mr. Pitt ccn la mayor solemnidad. Salió el acompañamiento de la Ornara de los Pares á la una del día. Toda la nobleza y muchas personas distinguidas han asistido al entierro. También le ha</t>
  </si>
  <si>
    <t>toda disposición relativa á erigir el monumento que anteriormente se habia decretado en memoria de Mr. Pitt.” Desechóse la propuesta por 94 votos contra 58.___Mayoría á favor del monumento 36. Según cartas de Falmouth y de Plymouth los navios Dragón de 74 y Latona de 36 han perecido en</t>
  </si>
  <si>
    <t>ey al discurso de gracias de la Cámara de los1 Comunes; propuesta para ¿acerolos honores fúnebres á Mr. Pitt# y piñttirá db la política de aquel* primer Ministró :&amp;c. *, de España varias Reales órdenes. Eti (lá parte-litbrária principia la: contestación de D: Git Cano Moya á la respuesta</t>
  </si>
  <si>
    <t>stra administración.... En quanto al plan de enganches limitados, el noble Lord ha-o.b* servado que Mr. Pitt había sido seducido por esta idea, que luego había abandonado. He leído que después de la muerte de César, Marco Antonio publicaba algunas notas y apuntamientos como si fuesen esc</t>
  </si>
  <si>
    <t>ndham, ridiculizando el exército reglado del Ministro, comq;este había hecho con los voluntarios de Mr. Pitt; y,su discurso, que duró muchas horas, fué muy aplaudido. La ©pinion de Mr. Canning tuvo 119 votos, y la propuesta de Mr. Windham para la segunda lectura del bilí no pasó sino á l</t>
  </si>
  <si>
    <t>ua Española: un tomo en 3.° Se hallará en la librería de Calleja, calle de Majaderitos. Exequias de Mr. Pitt, Canciller del Echíquier, primer Lord de la Tesorería, y primer Ministro de Inglaterra. En esta obrita se demuestran los principales sucesos é intrigas de este Ministro mientras m</t>
  </si>
  <si>
    <t>estos Señores abandonáron los negocios, y salieron de la carrea ra política después de la muerte de Mr. Pitt, convencidos de que eran muy débiles é inhábiles para existir por sí solos. Es cierto que disipado ya este terror pánico, han manifestado con sus vociferaciones que si les falta e</t>
  </si>
  <si>
    <t>se rie de los nuevos Ministros , siempre que se.aproximan en algo á las disposiciones adoptadas por Mr. Pitt; y el otro, quando se apartan de ellas. Según lo que podemos saber del estado de las negpciaciones, no creemos que se consiga la paz. Parece que el Gobierno Francés insiste en que</t>
  </si>
  <si>
    <t>preguntas: ¿Qué motivos tendrá de queja? ¿ Kn qué fundará sus esperanzas ?' Después de la muerte de Mr. Pitt, los Ministros, que habían sido sus compañeros, leyéron al Parlamento de Inglaterra las piezas y los tratados en que estribaba una gran coaligacion, que se deshizo como humo en 3</t>
  </si>
  <si>
    <t>a India Oriental: ¿ñ 21 dél mismo mes pereció Lord Nelson: en 23 de Enero de este año de 1806 murió Mr. Pitt: en 12 de Setiembre Lord Thurloxv terminó su carrera; y en fin, Mr. Fox ha muerto en 13 del corriente. Murió Mr. Fdxi el sábado 13 á las 6 menos quarto de la tarde , en los brazos</t>
  </si>
  <si>
    <t>entes de manifestar su talento y grande eloquencia, que siempre empleó en oponerse al Ministerio de Mr. Pitt, excepto en el intervalo en que se ausentó del Parlamento. Recobró su poder con la muerte de. este Ministro: y según sus últimas declaraciones, se cree que pensaba en hacer la paz</t>
  </si>
  <si>
    <t>o por el partido GrenvlUe; y no se duda que sea elefgido ^ aunque: los contrarios del Ministerio de Mr. Pitt quieren, según parece , oponerse,y votar por Mr. Sheridan.__ En la Junta de los miembros de Westminster, que hubo el 18 en la taberna de la Corona y del Ancora, Mr. Sheridan hizo</t>
  </si>
  <si>
    <t>Pitt y del Embaxador de Rusia</t>
  </si>
  <si>
    <t>esquinas de las calles principales, y Jo que es mas particular hasta en las puertas de las casas de Mr. Pitt y del Embaxador de Rusia. Anoche se junto un Consejo, que duró algunas horas, y al que se llamaron varios miembros del Parlamento. Es muy cierto que se trató en él acerca de retirar las tropas Inglesas qu</t>
  </si>
  <si>
    <t>Planas, Miguel</t>
  </si>
  <si>
    <t>Miguel Planas</t>
  </si>
  <si>
    <t>esto de dos unidos, vacante en la Parroquia de Cambrils, Diócesi de Tarragona, por fallecimiento de D. Miguel Planas: á D. Miguel Ferrer para otro con cargo de Sochantre, vacante en la Colegiata de S. Feliu de Gerona por muerte de D. Áiitonio-Comas. , S. M. se ha servido conceder en los Regimien</t>
  </si>
  <si>
    <t>Plandolit, Pedro</t>
  </si>
  <si>
    <t>Pedro Plandolit</t>
  </si>
  <si>
    <t>des que en él concurren para el mas cabal desempeño de este encargo. El Rey se ha servido nombrar á D. Pedro Plandolit para él empleo de Guarda- Almacén extraordinario de Artillería en la isla dé Iviza.' • S. M. ha concedido’ honores de Comisario Ordenador de sus Exércitos á D. Josef Aténza dél Ca</t>
  </si>
  <si>
    <t>Planté, Juan</t>
  </si>
  <si>
    <t>Juan Planté</t>
  </si>
  <si>
    <t>------ --------------- ------------------------------- ; ----- --------- ---------------------- —-» D. Juan Planté, comerciante -en.Santander, remitió por el correo de la costa de 6 del corriente 26 vales Reales de„i.° de Enero, endosados á Q. Guillermo dft Uhagon, vecino de Bilbao: 21 de rgo</t>
  </si>
  <si>
    <t>llermo de Uhagon, vecino de Bilbao, remitió con carta de 24 de Abril último, debidamente endosado á D. Juan Planté, comerciante en Santander, un vale Real de 300 pesos, creación de Mayo, núm. 454529, el qual se ha extraviado. Quien supiere áp su paradero se servirá avisarlo á qualquiera de los</t>
  </si>
  <si>
    <t>Planté, Martín</t>
  </si>
  <si>
    <t>Martín Planté</t>
  </si>
  <si>
    <t>ien supiere áp su paradero se servirá avisarlo á qualquiera de los dos sugetos expresados, ú bien á D. Martin Planté, dé Madrid, en la calle de Fuencarral, frente á la de las Infantas, núm. 2. Por providencia de D. Felipe de Sierra y Pambley, Comisionado Regio para la venta.de bienes eclesiástic</t>
  </si>
  <si>
    <t>Ploomer</t>
  </si>
  <si>
    <t>47 6 El tercero fue Mr. Charlton, caxeró de esta casa. Durante el examen de los últimos testigos, Mr. Ploomer ha hecho algunas objeciones legales. Han asistido á esta sesión 150 miembros de la Cámara de los Comunes, el Príncipe de Gales y tres hermanos suyos._«Vuelve á decirse de nuevo qu</t>
  </si>
  <si>
    <t>Poblador, Victoriano</t>
  </si>
  <si>
    <t>Victoriano Poblador</t>
  </si>
  <si>
    <t>de la Catedral de Vique, baxo la invocación de San Feliú, vacante por muerte de D. Félix Montaña: á D. Victoriano Poblador para un Beneficio de las Parroquiales unidas de la ciudad de Fraga,- Diócesi de Lérida, vacante por fallecimiento de D. Francisco Galicia: á D. Fr. Francisco Xavier de Portella y</t>
  </si>
  <si>
    <t>Pociello, Joaquín</t>
  </si>
  <si>
    <t>Joaquín Pociello</t>
  </si>
  <si>
    <t>Badén, y sobrino del Príncipe Primado. ESPAÑA. Madrid 21 de Octubre. S. M. se ha servido nombrar á D. Joaquin Pociello para una Ración de la Parroquial de la villa de Benavarre, Diócesi de Lérida, vacante por promoción de D. Joaquin Sarroca al Gurato del lugar de Zaydin de la misma Diócesi; y á D.</t>
  </si>
  <si>
    <t>Pode, Carlos</t>
  </si>
  <si>
    <t>Carlos Pode</t>
  </si>
  <si>
    <t>sus empleos. El nuevo Almirantazgo se compone de Mr. Grey, primer Lord; del Almirante Marckham, de Sir Carlos Pode, Sir P. Stephens, y de Lord Russel. '• Se anuncia que Lord San Vicente tendrá un mando muy considerable, que comprehenderá todos los mares de Europa. Acaba de hacerse una. grande</t>
  </si>
  <si>
    <t>Polaco Zajonzeck, General</t>
  </si>
  <si>
    <t>General Polaco Zajonzeck</t>
  </si>
  <si>
    <t>s en el territorio que han ocupado las tropas Francesa^.- Y3 están en el quartei general Francés el General Polaco Zajonzeck y otros muchos Oficiales Generales, y no tardará en llegar el General?KoXcinsko; “1. -&gt;Y. . 'Y vh/'KF asegura: que; pronto saldrán dé Aiigsburgo las tropas Francesas, y que la ciuda</t>
  </si>
  <si>
    <t>Polanco, Juan Francisco</t>
  </si>
  <si>
    <t>Juan Francisco Polanco</t>
  </si>
  <si>
    <t>io del corriente año en los autos del concurso de acreedores á bienes quedados por fallecimiento de D. Juan Francisco Polanco, se manda emplazar , para que en el término perentorio de dos años acudan con los correspondientes documentos á deducir la acción y derecho que Ies asista, para el reintegro de Ja</t>
  </si>
  <si>
    <t>Policiano Sacristán</t>
  </si>
  <si>
    <t>arroquia de Bernuy y de Zapardiel, Obispado de Avila, vacante por muerte .de D. Francisco Alonso, á D. Policiano Sacristán, Clérigo de Prima tonsura. , , „ S. M. se ha servido nombrar para la Capiscolía mayor, tercera Dignidad de la Colegiata de S. Feiiu de Gerona, vacante por promoción de D. Antonio</t>
  </si>
  <si>
    <t>Pollet, Capitán</t>
  </si>
  <si>
    <t>Capitán Pollet</t>
  </si>
  <si>
    <t>s Baxaes vecinos. El 26 de Octubre entró en el puerto de Flesínga el corsario el Aguila, de Dieppe, Capitán Pollet, con 2 embarcaciones Suecas apresadas, de por* te deióo toneladas cada una, cargadas de mercancías. El 27 conduxo á Boloña el corsario nombrado el Gran Napoleón, el bergantín Ingl</t>
  </si>
  <si>
    <t>Ponsinch, Juan Bautista</t>
  </si>
  <si>
    <t>Juan Bautista Ponsinch</t>
  </si>
  <si>
    <t>Pedro Aguado, D. Manuel Rodríguez Perez, D. Francisco de Paula Gregorio, D. Tomas Aguirre y Castro, D. Juan Bautista Ponsinch, D. Felipe del Arco Agüero , D. Josef Sánchez Tagle, D. Francisco Xaramillo, D. Dionisio López Pinto, D. Mariano Carrillo de Albornoz, Don Francisco Josef Justis, D. Bernardo Land</t>
  </si>
  <si>
    <t>Pophain, Almirante</t>
  </si>
  <si>
    <t>Almirante Pophain</t>
  </si>
  <si>
    <t>imo Bonaparte y Willaumez, en el caso que intentasen algún ataque. Las fuerzas navales que manda el Almirante Pophain se componen de dos navios de 64 cañones, uno de j.o y dos fragatas.-Se</t>
  </si>
  <si>
    <t>Porlier, Esteban</t>
  </si>
  <si>
    <t>Esteban Porlier</t>
  </si>
  <si>
    <t>ferir el empleo de Coronel del Regimiento de infantería de Aragpn al Coronel D. Esteban Porlier, Teniente Coronel del de Voluntarios de Castilla; Subtenencia de bandera en dicho Cuerpo ai Cadete D. Juan Solo de Zaldivar, y en el de Mallorca y España a los Cadetes de los mismos D. Tema</t>
  </si>
  <si>
    <t>Portal</t>
  </si>
  <si>
    <t>en cifra. Nota. En esta Gazeta se incluye el anuncio de subscripción al Curso de Anatomía médica de Mr. Portal. Otra. En la Gazeta anterior, pág. 808, lín. 9, dice el ácido nítrico tan útil para los viages de mar, léase el ácido cítrico. EN LA IMPRENTA REAL.</t>
  </si>
  <si>
    <t>Portaz, Juan</t>
  </si>
  <si>
    <t>Juan Portaz</t>
  </si>
  <si>
    <t>mpañía del Real cuerpo de Guardias de Corps: en el de Santiago empleo de Alférez al Portaestandarte D. Juan Portaz ; y en el de dragones de Villaviciosa Tenencia al Alférez D. Gregorio Losada; empleos de Alférez á lós Portaguiones D. Antonio Contreras y D. Josef Ausejo ; y esta resulta á los C</t>
  </si>
  <si>
    <t>Póster, General</t>
  </si>
  <si>
    <t>General Póster</t>
  </si>
  <si>
    <t>ronto á embarcarse para la India. Le acompañarán varios Oficiales generales: entre otros se cita al General Póster. También se dice que se trata de dar un sucesor al General Lake, y de nombrar algunos nuevos Gobernadores. Parte de las tropas destinadas á embarcarse en Portsmouth para fuera</t>
  </si>
  <si>
    <t>Potestá, Luis</t>
  </si>
  <si>
    <t>Luis Potestá</t>
  </si>
  <si>
    <t>análisis del alfabeto, finalizándose con la práctica de. la^ principales reglas de. la Aritmética. D. Luis Potestá, de edad de 9 años, al abrirse el segundo acto, pronunció una cra«sien -,»y4oS'dema&amp;-alumnos- siguiércn.,patentizandoias.,utilidades de la Gramática castellana«en- toda^ .sus part</t>
  </si>
  <si>
    <t>Pou, Segismundo</t>
  </si>
  <si>
    <t>Segismundo Pou</t>
  </si>
  <si>
    <t>la Colegial de Guisona, Diócesi de Urgel, vacante por fallecimiento de D. Juan Alguacil y Daura: á D. Segismundo Pou para un Beneficio de: sangre de la Catedral de Vique, baxo la invocación de San Feliú, vacante por muerte de D. Félix Montaña: á D. Victoriano Poblador para un Beneficio de las Pa</t>
  </si>
  <si>
    <t>Powis, Lord</t>
  </si>
  <si>
    <t>Lord Powis</t>
  </si>
  <si>
    <t>ueños demuestra cimV¡Lw "V . 7' :7. á.. Jif ,7 ■ - - -w "r.7. ,7í , Londres 4 de Diciembr, , “ ~ •- Lord Powis j que ha sido nombrado. Lord- Te¡ úáEU'e- de Irlanda, ¿bandos</t>
  </si>
  <si>
    <t>Pppham, Almirante</t>
  </si>
  <si>
    <t>Almirante Pppham</t>
  </si>
  <si>
    <t>rciantes de la ciudad* El Imperial montaba 140 cañones. , JPor los pliegos del General iBaitd y del Almirante Pppham, con fecha de 28 de Enero enel Cabo de Buena-Esperanza, sersabe que, e^General Jan:sens ha capitulado el-16 del mismOj mes, y ¡que toda !a colonia está sometida enteramente. Mr. -</t>
  </si>
  <si>
    <t>Pradas, Juan Antonio</t>
  </si>
  <si>
    <t>Juan Antonio Pradas</t>
  </si>
  <si>
    <t>ro Nasarre, i del calórico: D. Tomas Mártinez, de la formación de los fluidos elásticos aériformes: D. Juan Antonio Pradas,5 de las afinidades: D. Mariano Calvete, de la electricidad: D. Victoriano Rodriguez, del gas hidrógeno: D. Sebastian Puertas, de los seres simples: p. Manuel Gascón, de los metal</t>
  </si>
  <si>
    <t>Pranciscp García Montañés</t>
  </si>
  <si>
    <t>te el Gobernador de ella, Juez comisionado, por el oficio deí Escribano de su número y Ayuntamiento D. Pranciscp García Montañés. Por el juzga,4° de D. Antonio de Quadroa, Gobernador de la ciudad de Teruel, se están subastando las fincas correspondientes á la ofira pía, denominada de Pon Miguel Alrreu, las</t>
  </si>
  <si>
    <t>Prat, Domingo</t>
  </si>
  <si>
    <t>Domingo Prat</t>
  </si>
  <si>
    <t>sidencia de la Iglesia Parroquial de la villa de Cardona, Diócesi de Solsona, vacante por muerte de D. Domingo Prat, á D. Sebastian Pía. - El Rey sé ha servido nombrar á D. Ignacio Perez para la Vara de Daimiel, y para la de Almonacid de Zurita á D. Josef Jorge del Molino y Torres, ámbasde segu</t>
  </si>
  <si>
    <t>Prats, Ramón</t>
  </si>
  <si>
    <t>Ramón Prats</t>
  </si>
  <si>
    <t>niente al Subteniente D„ Francisco de Paula Grifols, y á Subteniente de bandera al Sargento primero D. Ramón Prats: en el batallon de infantería ligera de Voluntarios de Tarragona á Subteniente de bandera al Cadete D. Joaquín María de Arespacochaga. S. M. se.ha servido nombrar á D. Antonio Med</t>
  </si>
  <si>
    <t>Pren y Estébanes, Francisco</t>
  </si>
  <si>
    <t>Francisco Pren y Estébanes</t>
  </si>
  <si>
    <t>núm. 10.. Se cita y emplaza á qualquiera que se considere con derecho á los bienes del concurso de D. Francisco Pren y Estébanes, para que en el preciso término de ro meses, contados desde el 26 de Setiembre último, se presente en el Tribunal de Cádiz, con los comprobantes que lo legitime, á formalizar el q</t>
  </si>
  <si>
    <t>Presidente Jefferson</t>
  </si>
  <si>
    <t>da.del Rubio, 7 en Cádiz en casa de D. Manuel Navarro. Contiene el discurso del Presidente Jefferson en ia apertura del Congreso de los Estados-Unidos de América, y varias resoluciones contra Jos que apresasen sus marineros; contradicción de los Rusos á lo que h</t>
  </si>
  <si>
    <t>Presidente Kercheisén</t>
  </si>
  <si>
    <t>e diario. : El Príncipe de Hatzfeld; Mr. Busching, Presidente de la Policía; el Presidente Kercheisén; Formey, Consejero íntimo; Polzig, Consejero de -la Municipalidád t'íMts. Ráek i Siegr , Hermensdorif, Consejeros, Diputadds de 1á&gt; cilidad de Berlín, han entr</t>
  </si>
  <si>
    <t>Presidente Mr</t>
  </si>
  <si>
    <t>muestras mas sinceras de cordialidad; introducidos que fueron en el Senado, el Presidente Mr. Oris les dixo lo que sigue: ,,Amigos y hermanos: seáis bienvenidos cerca del foco del Senado de Massachusset; sea su llama el emblema de la viva y ardiente am</t>
  </si>
  <si>
    <t>Pri, Príncipe</t>
  </si>
  <si>
    <t>Príncipe Pri</t>
  </si>
  <si>
    <t>os Ingleses en el Re; no de Na-»* poles, y capitulación de Cotron; cartas del Emperador Napoleón al Príncipe Pri-¿ nudo y. al Rey de Raviera; senado-consulto para autorizar las vinculaciones que; permita el Emperador que se bagan; discurso de los Comisarios Imperiales á la Asamblea de ios Jud</t>
  </si>
  <si>
    <t>Priest, Coronel</t>
  </si>
  <si>
    <t>Coronel Priest</t>
  </si>
  <si>
    <t>e contiene verdades algo fuertes. Hamburgo tp de Julio. En las cartas de Petersburgo se dice que el Coronel Priest ha sido nombrado Comandante de los cazadores de la guardia. Dícese también que el General Kutusow será Gobernador de Moscow, el Feld-Mariscal Kamenskoi será Comandante en gefe del</t>
  </si>
  <si>
    <t>Primado de la Confederación del Norte, Príncipe</t>
  </si>
  <si>
    <t>Príncipe Primado de la Confederación del Norte</t>
  </si>
  <si>
    <t>rá la capital de la Confederación. Las ciudades Imperiales perderán regularmente su soberanía; y el Príncipe Primado de la Confederación del Norte será el Duque de Brunswick. Hamburgo 20 de Agosto. Nuestros políticos, y sus heles ecos los gazeteros, han tomado por *ti cuenta de unos dias á esta parte el asustar con voces de</t>
  </si>
  <si>
    <t>Primado de la Confederación del Rhin, Príncipe</t>
  </si>
  <si>
    <t>Príncipe Primado de la Confederación del Rhin</t>
  </si>
  <si>
    <t>de Wúrtemberg: se añade que después del mensage *e le) éron las dos cartas siguientes: una para el Príncipe Primado de la Confederación del Rhin, y otra para el Rey de Baviera. Al Principe Primado. ,,Hermano: no habiéndose determinada aun la formula que se debe observar en la correspondencia cori ios Soberanos reunidos en</t>
  </si>
  <si>
    <t>go que se dexáron ver los batidores hizo salva ía artillería, y las campanas se echaron á vuelo. El Príncipe Primado de la Confederación del Rhin salió á recibir al Monarca al puente del Bosque. Después de haberse desayunado , el Emperador continúo su camino á Wurtzburgo. Entre las oersbnas de su comitiva se hallan el Gener</t>
  </si>
  <si>
    <t>ncia de las infracciones continuas que hace al tratado de paz.” FRANCIA. Maguncia 12 de Octubre. El Príncipe Primado de la Confederación del Rhin llegó aquí esta mañana , y salió por la tarde para Francfort. Esperamos de un instante á otro la Reyna de Holanda: muchos empleados de su Casa han venido ya. , Continuamente pasan</t>
  </si>
  <si>
    <t>Primado, Príncipe</t>
  </si>
  <si>
    <t>Príncipe Primado</t>
  </si>
  <si>
    <t>particular con el nombre de Estados confederados del Rhin. — El ArchiCanciller tomará el título de Príncipe Primado, y presidirá la Dieta.--- El Elector de Badén, el Duque de Berg y de Cleves, y el Landgrave de Hesse-Darmstadt, se titularán Grandes Duques con el goce de honores, derechos y prer</t>
  </si>
  <si>
    <t>ancilleir deí Imperio Germánico S. A. Erna, nuestro muy benigno Soberano, y habiendo ¡accedido como Príncipe Primado á una Confederación del Rkin., formada por Príncipes Soberanos, S. A. S. ha resuelto que, hasta,nueva, orden * se le dé el tratamiento siguiente: dirigiéndole la palajbra, Serenís</t>
  </si>
  <si>
    <t>onfederación del Rhin. Se cree que el mismo Encargado de Negocios será acreditado después cerca del Príncipe Primado en Francfort. El sábado ultimo falleció Mr. Coulomb, antiguo Oficial de Ingenieros, miembro del Instituto, y uno de los mas hábiles geómetras de Europa. Sus interesantes experimento</t>
  </si>
  <si>
    <t>las Altas Partes contratantes, han sido ahora dirigidas con las piezas originales á S. A. Erna, el Príncipe Primado para custodiarlas como Director que es de la Confederación. ;r{ ; . . Desde el dia 2 del corriente están saliendo de TJlma diferentes divisiones del gran parque de artillería Fran</t>
  </si>
  <si>
    <t>cuenta y uno. A breve rato han llegado Mrs. de Rot y de Hickstein, Comisarios de S. A. Electoral el Príncipe Primado, y les ha hecho entrega de nuestra ciudad Mr. Lambert, Comisario de S. M. el Emperador de los Franceses y Rey de Italia. Extendido y firmado el testimonio de la toma de posesión,</t>
  </si>
  <si>
    <t>emberg, y otras del mismo tenor á; los Grandes Duques de Berg, de Badén y de Hesse-Darms-* tadt, al Príncipe Primado, y al Colegio de Príncipes de la Confederación del Rhin. El Príncipe Real de Bavlera llegó á Milán el 15 del corriente ; dicen que se detendrá algún tiempo en compañía de su herma</t>
  </si>
  <si>
    <t>aviera. La ciudad y territorio de Francfort tieHe 4 millas quadradas y 50© habitantes, pertenece al Príncipe Primado. El Principado de Heiterheim,era de la Orden Teutónica, tiene 18 millas quadradas y 36© habitantes, ahora pertenece al Gran Duque de Badén. El Burgraviado de Friedberg se incorpor</t>
  </si>
  <si>
    <t>ente ilegan varios Generales y Oficiales del Estado mayor Prusiano. Hoy ha llegado á esta ciudad el Príncipe Primado.__ Se asegura que en las inmediaciones de Kreuznack ha de formarse un campamento de 60© hombres: dícese también que van á organizarse otra vez las cohortes de las guardias departa</t>
  </si>
  <si>
    <t>Badén, de Ahremberg y Ley en. Francfort 26de Setiembre. • Ayer llegó aquí sin que le esperásemos el Príncipe Primado, y se apeó en el palacio dé Taxis. S.: A. recibió lás diputaciones de nuestro Senado, del vecindario, y de los principales cuerpos de la ciudad. El Estado mayor Francés pasó tambi</t>
  </si>
  <si>
    <t>Cetto, Enviado de Baviera, © en el Barón de Daiberg, Enviado dei Gran Duque de Badén, y sobrino del Príncipe Primado. ESPAÑA. Madrid 21 de Octubre. S. M. se ha servido nombrar á D. Joaquin Pociello para una Ración de la Parroquial de la villa de Benavarre, Diócesi de Lérida, vacante por promoció</t>
  </si>
  <si>
    <t>■ Francfort 28 de Octubre. Ayer tarde llegó aquí el Duque de Benevento, y se apeó en el oalacio del Príncipe Primado. Hoy ha salido para el quartel general de S M I. ‘1 Los Reyes de Baviera y de Wurtemberg han hecho p~esente que en las actuales circunstancias, la Dieta de la Confederación pudier</t>
  </si>
  <si>
    <t>rán las tropas confederadas. Los Bávaros y Wirtembergeses irán á Francfort del Oder: las tropas del Príncipe Primado á Erfurth: las de Badén á Sttetin: las de Darmstadt y Nassau Üsingen á Spandau: las del Gran Duque de Berg, de HohenzoliermHechingen y Sigmaringen , y del Príncipe de Isemburgo á</t>
  </si>
  <si>
    <t>Príncipe de Auersberg, Feld-Mariscal</t>
  </si>
  <si>
    <t>Feld-Mariscal Príncipe de Auersberg</t>
  </si>
  <si>
    <t>ndante de. la plaza* El Conde de Harnancourt preside el Consejo de Guerra encargado de la causa del Feld-Mariscal Príncipe de Auersberg. S. M. el Emperador ha nombrado para la plaza de Oculista de los po~ bres á Mr. Josef Beer, Médico bien conocido por su habilidad en este importante ramo del arte de curar. Se le</t>
  </si>
  <si>
    <t>Príncipe de Hatzfeld, General</t>
  </si>
  <si>
    <t>General Príncipe de Hatzfeld</t>
  </si>
  <si>
    <t>Comandante de la plaza, presentó las llaves al Emperador, y luego pasó á palacio, presidido por el General Príncipe de Hatzfeld.: El Emperador ha mandado que los 2© vecinos mas acomodados se ¡unten en la Casa de la ciudad, á efecto de nombrar 60 de ellos para componer el Cabildo. Cada uno de ios 20 cantone</t>
  </si>
  <si>
    <t>Príncipe de Ponte Corvo, Mariscal</t>
  </si>
  <si>
    <t>Mariscal Príncipe de Ponte Corvo</t>
  </si>
  <si>
    <t>, para manifestar su regocijo, iluminaron ayer sus casas , sin que los Magistrados lo mandasen. El Mariscal Príncipe de Ponte Corvo ha ido á Raízeburgo y Xauenburgo, de donde volverá mañana por la noche : este Príjacigte ha regalado á la ciudad dos buques Prusianos cargados de harina.</t>
  </si>
  <si>
    <t>Príncipe de Ponte-Corvo, Mariscal</t>
  </si>
  <si>
    <t>Mariscal Príncipe de Ponte-Corvo</t>
  </si>
  <si>
    <t>su mando, estaban en Naumburgo , teniendo algunas partidas sobre Leipsick y Halle.__ El cuerpo del Mariscal Príncipe de Ponte-Corvo caminaba áDornnburgo___ El del Mariscal Lannes llegó á Tena___ El del Mariscal Augereau estaba situado en Kahla. _EL del Mariscal Ney en Roda.__ El quartel general se hallaba en G</t>
  </si>
  <si>
    <t>Príncipe de Pontecorvo, Mariscal</t>
  </si>
  <si>
    <t>Mariscal Príncipe de Pontecorvo</t>
  </si>
  <si>
    <t>HoíF, donde llegará el 9. Eí centró, compuesto de fa reserva del Gran Duque de Berg, del cuerpo del Mariscal Príncipe de Pontecorvo, y del Mariscal Davoust y de lar guardia Imperial, marcha por Bamberg sobre Cronach; llegará el 8 á Saalburgo, y de allí se encaminará por el mismo pueblo y Schleitz sobre Gera. L</t>
  </si>
  <si>
    <t>ia Schleitz, donde habia un General Prusiano con 10® hombres. A las 12 llegó ei Emperador; mandó al Mariscal Príncipe de Pontecorvo que acometiese y se apoderase de aquel puesto, manifestando que su ánimo era que dicha operación quedase évaduad» áates dél anochecer; Hizo el Mariscal sus disposiciones; se puso</t>
  </si>
  <si>
    <t>Príncipe de Schwarzemberg, General</t>
  </si>
  <si>
    <t>General Príncipe de Schwarzemberg</t>
  </si>
  <si>
    <t>tiene, según dicen,; 6ó millones de; florines, en o^éja mayor parte. Se asegura que elTje^l niente General Príncipe de Schwarzemberg será nombrado Embaxador de Austria cerca de la Corte de Francia. Las Gazetas de Hungría^ qué.habían suspendido hablar de Servios, de Czerni-Jorge y de Belgrado, para ocuparse en o</t>
  </si>
  <si>
    <t>Príncipe de Schwarzenberg, General</t>
  </si>
  <si>
    <t>General Príncipe de Schwarzenberg</t>
  </si>
  <si>
    <t>as dará también para dirección del cuerpo del General Ruso de Tolstoy. Se confirma la voz de que el General Príncipe de Schwarzenberg irá.de Embaxador Austríaco á París, y el Conde de Cobentzel á Berlia en lugar</t>
  </si>
  <si>
    <t>Príncipe de Wolkonskoy, General</t>
  </si>
  <si>
    <t>General Príncipe de Wolkonskoy</t>
  </si>
  <si>
    <t>adores. El campamento de Brezesc se compone de 5© hombres con parque de artillería, mandados por'el General Príncipe de Wolkonskoy. El de Kobryn se compone de 2© hombres, mandados por el General Sievers. El deWilna tendrá unos 10© hombres. Los Prusianos han puesto aceleradamente varios almacenes en Varsovia,</t>
  </si>
  <si>
    <t>Príncipe Víctor de Rohan, General</t>
  </si>
  <si>
    <t>General Príncipe Víctor de Rohan</t>
  </si>
  <si>
    <t>ntos que hay en esta capital, que para fines del mes habrán de quedar sobre el pie de paz. El Mayor-General Príncipe Víctor de Rohan, cuya intrepidez y conducta militar han sido admiradas por los mis nos enemigos, se ha sincerado completamente del cargo que se le hizo de no haber executado las órdenes ael Archi</t>
  </si>
  <si>
    <t>Príncipe Wasminsky, General</t>
  </si>
  <si>
    <t>General Príncipe Wasminsky</t>
  </si>
  <si>
    <t>$ Rusos que Había en Corfú. Mandaba este exércíto él General Pantakóloff, teniendo á sus órdenes al General Príncipe Wasminsky, que había llegado recientemente i aquella isla con algunos refuerzos. Sin embargo, el enemigo se mantenía á bordo de sus navios, ó en los muros de Castelnoro. El General en gtfe</t>
  </si>
  <si>
    <t>Príncipe, Mariscal</t>
  </si>
  <si>
    <t>Mariscal Príncipe</t>
  </si>
  <si>
    <t>El cuerpo del Mariscal Davoust ha entrado hoy 25 á las 10 de la mañana en Berii'n. _— El cuerpo del Mariscal Príncipe.'de Ponte-Corvo se,halla ePiBrandemburgo. -—El cuerpo dei Mariscal Augereau entrará Berlín mañana 26.. — El ..Emperador llegó ayer á Potsdam, y se apeo.én el pala¡cio- Por la.tayd</t>
  </si>
  <si>
    <t>Proust, Luis</t>
  </si>
  <si>
    <t>Luis Proust</t>
  </si>
  <si>
    <t>M. en la Imprenta Real, á benefi . ¡o de los que se dedican á las ciencias naturales, con notas de D. Luis Proust, Catedrático de Química del Real Laboratorio de esta Corte. El tomo 6.° está concluyéndose. Véndese , con los anteriores, en el despacho de la Imprenta Real. A D. Seraíin Josef Or</t>
  </si>
  <si>
    <t>pe, y en la de Villareal, calle de las Carretas. Ensayo sobre el azúcar de uva, Memoria escrita por D. Luis Proust, del Instituto nacional de Francia , leída' con aplauso en este Cuerpo sabio, y publicada en castellano por D. Oregbrió González Azaróla. Todos rezelábamos que el dulzor de la utf</t>
  </si>
  <si>
    <t>ra, y.en Lérida en casa del autor, calle de Caballeros.. , Tratado sobre el alcanfor de.Murcia, por D. Luis Proust. En esta obrita , impresa en 1789, se enseña el modo de extraer el alcanfor de los aceytes de espliego, mejorana , .tomillo' &amp;c.; y se manifiesta queda España podr£ ¡surtir de ets</t>
  </si>
  <si>
    <t>Proustj, Luis</t>
  </si>
  <si>
    <t>Luis Proustj</t>
  </si>
  <si>
    <t>Gazeta de 3 1 de Enero de 1801. Quaderno i.° del tomo z.tí de los Anales de Química de Segovia, por D. Luis Proustj impreso en 1795. Se trata en él de algunas minas de cobre, y de la plata contenida en algunos; de su afinación; de la preparación del ácido nítrico, tan útil para los víages del m</t>
  </si>
  <si>
    <t>Prudencio Aróstegui</t>
  </si>
  <si>
    <t>to primero veterano de la misma plana mayor; y la&gt; Subtenencia de la partida de asamblea de Piura á D. Prudencio Aróstegui, también Sargento primero veterano de la asamblea de Chiloe. Por providencia del Juez-comisionado ReaPeh la-ciudad de Toledo se saca a pública subasta la dehesa de pasto y labor i</t>
  </si>
  <si>
    <t>Prusiano Bila, General</t>
  </si>
  <si>
    <t>General Prusiano Bila</t>
  </si>
  <si>
    <t>dó al General Becke-r, que con la brigada de dragones del General Boussart acometiese la coluna del General Prusiano Bila, que se hallaba en la llanura inmediata á la ciudad de Ankian. En un instante fuéron-arrolladas y perseguidas hasta el pueblo la infantería y la caballería enemigas, y su General</t>
  </si>
  <si>
    <t>ioneros, 90 cañones montados en los fuertes, y almacenes considerables de víveres-----La coiuna del General Prusiano Bila fue hecha prisionera él 31 de Octubre en las fronteras de la Pomerania Sueca, después del combate d$ Ariklam. El General de división Becker , ai frente dé la brigada dq dragones d</t>
  </si>
  <si>
    <t>Prusiano Biucher, General</t>
  </si>
  <si>
    <t>General Prusiano Biucher</t>
  </si>
  <si>
    <t>De resultas del combate de Halle no hay cuerpo enemigo que no haya experimentado alguna pérdida. El General Prusiano Biucher con -i© hombres pasó por en medio de la división de dragones del General Klein , que le habia cortado: supuso que habia un armisticio de 6 semanas, y el General Klein tuvo la sand</t>
  </si>
  <si>
    <t>Prusiano Blucher, General</t>
  </si>
  <si>
    <t>General Prusiano Blucher</t>
  </si>
  <si>
    <t>ador, en nombre del i.° y 4.0 cuerpos, 60 banderas y estandartes tomados en Lubeck á las tropas del General Prusiano Blucher: los 4® ca</t>
  </si>
  <si>
    <t>Prusiano Husdunne, General</t>
  </si>
  <si>
    <t>General Prusiano Husdunne</t>
  </si>
  <si>
    <t>allos del i.° de húsares del 7.° de. car «adores, cercó, inmediato.á VVismar sobre el Báltico.., át General Prusiano Husdunne, y le hizo prisionero con dos brigadas da húsares,, dos bar tallones de granaderos, y dos cañones. Esta coluna pertenece al cuerpo cuyo alcance siguen el Gran Duque de Berg, el Pr</t>
  </si>
  <si>
    <t>Prusiano Lecoq, General</t>
  </si>
  <si>
    <t>General Prusiano Lecoq</t>
  </si>
  <si>
    <t>opas Francesas y Holandesas tomaron posesión deHamelen el 12 del corriente, á quienes la entregó el General Prusiano Lecoq. Se ignoran las condiciones de la capitulación. París 24 de Noviembre. DIARIO TRIGESIMOSEGUNDO DEL EXERCITO GRANDE. Berlín 16 de Noviembre. Con la toma de Magdeburgo y la jornada</t>
  </si>
  <si>
    <t>Prusiano, General</t>
  </si>
  <si>
    <t>General Prusiano</t>
  </si>
  <si>
    <t>enterios, iglesias, casas de campo, lugares, villas y ciudades, escrita en aíeman por ei Sr. Gaudi, General Prusiano, traducida al francés, y anotada por Mr. Belayre, General de división, y vertida de este idioma al castellano, con aumento de notas, varias láminas , y un discurso preliminar: un</t>
  </si>
  <si>
    <t>llegó á la frontera , envió ai Capitán. Toll como parlamentario, á fin de participar su llegada ai General Prusiano, quien fué introducido por el Conde de la Gardie, y estuvo con nuestro Soberana hasta las 2. de la tarde; concluida la conferencia, se volvió acompañado por el Capitán Toll hasta</t>
  </si>
  <si>
    <t>nó Sú posición y él Saale. - * Ei dia 9 marchó el Gran Duque de Berg hacia Schleitz, donde habia un General Prusiano con 10® hombres. A las 12 llegó ei Emperador; mandó al Mariscal Príncipe de Pontecorvo que acometiese y se apoderase de aquel puesto, manifestando que su ánimo era que dicha opera</t>
  </si>
  <si>
    <t>Puch, Manuel</t>
  </si>
  <si>
    <t>Manuel Puch</t>
  </si>
  <si>
    <t>Portaestandarte al Cadete D. Vicente Dolz; y en el de Santiago empleo de Alférez al Portaestandarte D. Manuel Puch. Igualmente se há servido el Rey promoverá Teniente Coronel del Regimiento de dragones del Rey al Coronel D. Josef Sánchez Yebra, Sargento mayor del de dragones de la Reyna. S. M.</t>
  </si>
  <si>
    <t>Puente, Benito</t>
  </si>
  <si>
    <t>Benito Puente</t>
  </si>
  <si>
    <t>279 de su edad, el Sr. D. Benito Puente , Ministro del Supremo Consejo de Castilla. Sirvió á S. M. por espacio de 37 años continuos, contados desde que pasó á la villa de Brihuega con comisión del Consejo á pacificar y</t>
  </si>
  <si>
    <t>Puertas, Sebastián</t>
  </si>
  <si>
    <t>Sebastián Puertas</t>
  </si>
  <si>
    <t>las afinidades: D. Mariano Calvete, de la electricidad: D. Victoriano Rodriguez, del gas hidrógeno: D. Sebastian Puertas, de los seres simples: p. Manuel Gascón, de los metales: D. Juan Josef Atorrasagasti, de la formación y naturaleza de las substancias animales: D. Pedro Vived, de los ácidos: D. F</t>
  </si>
  <si>
    <t>Puicercus, Salvador</t>
  </si>
  <si>
    <t>Salvador Puicercus</t>
  </si>
  <si>
    <t>rancisco Marco Laño, á D. Jayme Salas: para la Canongía que este obtiene en lá Catedral de Huesca á Don Salvador Puicercus: á D. Ignacio Rives.para una Canongía de la Metropolitana de Tarragona, vacante por promoción de D. Fernando Ximenez Vallejo al Priorato de S. Hipólito de Córdoba: á D. Pedro Anto</t>
  </si>
  <si>
    <t>Puig, Vicente</t>
  </si>
  <si>
    <t>Vicente Puig</t>
  </si>
  <si>
    <t>ionario de la Monacal de S. Salvador de Breda, Vacante en la Diócesi de Gerona por fallecimiento de D. Vicente Puig: á D. Isidro Feyxes para, un Beneficio de residencia de la Colegial de Mantesa,, .Diócesi de Vique, vacante por muerte de D.i Jayme Oliveras; y á D. Josef Frigola y Fort para la C</t>
  </si>
  <si>
    <t>Puigvert, Salvador</t>
  </si>
  <si>
    <t>Salvador Puigvert</t>
  </si>
  <si>
    <t>d'NegréfeyR'égefité de la de México; y para el Corregimiento de Guáranda enlá Provincia del Cuzco á D. Salvador Puigvert. j*-' • - : - - --- - -1 ■..' : - * ■ En* la Stíhdelégacfcin générál ‘de bienes mostrencos, vacantes y ábintestatos se vende en pública subasta un oficio de Regidor de esta villa,</t>
  </si>
  <si>
    <t>Pulido, Miguel</t>
  </si>
  <si>
    <t>Miguel Pulido</t>
  </si>
  <si>
    <t>Antonio Pirez: el empleo de segundo Ayudante en el Batallón de Voluntarios de Valencia al Teniente D. Miguel Pulido; y Subtenencia de bandera en el de Barbastro al Cade*e D. Antonio Jordán. S. M. se ha servido conferir la Tenencia Coronela del Regimiento de caballería de Algarbe al Teniente Cor</t>
  </si>
  <si>
    <t>Pultney</t>
  </si>
  <si>
    <t>o luego á hacer algunas observaciones acerca.del servicio militar por tiempo* limitado, notó lo que Mr. Pultney habia dicho relativamente al sistema adoptado antiguamente en Francia. „Este vocal, dixo, no se ha explicado* con claridad, quando ha sentado que este sistema habia sido funesto á</t>
  </si>
  <si>
    <t>Punsnow</t>
  </si>
  <si>
    <t>nición de Bareuth, de la que hace parte el Regimiento Bávaro del Duque Guillermo, hará el sitio. El Dr. Punsnow escribe de Siberia alDr. Schiiz, residente en Halle, sobre un terremoto que ha habido en los contornos de Krasnojarsk___ „ Antes de ayer (8 de Agosto) sentirnos aquí un terremoto qu</t>
  </si>
  <si>
    <t>Pyman, Teniente General</t>
  </si>
  <si>
    <t>Teniente General Pyman</t>
  </si>
  <si>
    <t>, entre dós quales lo 'están gravemente el Capítan Laatz y el Coronel Loyer. El Rey ha nombrado al Teniente General Pyman.su Ministro plenipotenciario , y Enviado extraordinario cerca del Príncipe Regente de Portugal. &gt; . - •, Nuestros fondos han subido de nuevo casi un i por 100. Se atribuye esta su</t>
  </si>
  <si>
    <t>Pymann</t>
  </si>
  <si>
    <t>del beneficio de una pacificación general. , El Secretario de Estado del Departamento de la Guerra, Mr. Pymann, que ha estado algunos dias en el quartel general del Príncipe Luis, ha llegado hoy al Haya, janana esperamos á S. A. I. en calidad de Comandante en gefe del exércitó- del Norte,</t>
  </si>
  <si>
    <t>Qudinot, General</t>
  </si>
  <si>
    <t>General Qudinot</t>
  </si>
  <si>
    <t>reunido al de Cleves, forma los Estados del Príncipe Joaquín, Gran Almirante del Imperio.____ _ El General Qudinot ha tomado posesión de los Condados de Neufchátel y de Valíengin, en donde ha encontrado muchas mercancías Inglesas almacenadas por todos los mercaderes de la Suiza, y principalmen</t>
  </si>
  <si>
    <t>Quesada y Tarriba, Miguel</t>
  </si>
  <si>
    <t>Miguel Quesada y Tarriba</t>
  </si>
  <si>
    <t>z de Carrizosa , D. Antonio Ribera y Vázquez , D. Josef Paez y Mesa, D. Carlos Soubiran y Mantelan, D. Miguel Quesada y Tarriba, D. Toribio Pasalagua y Martinez, D. Vicente Fernandez de Mesa, D. Francisco de Nava y Rodríguez, D. Antonio Diaz de Herrera, D. Francisco Rodríguez López Guerrero, D. Juan Moro d</t>
  </si>
  <si>
    <t>Queypo de Llano, Fernando</t>
  </si>
  <si>
    <t>Fernando Queypo de Llano</t>
  </si>
  <si>
    <t>al cadáver, y los Señores Mayordomos de Semana Marques de Campo de Villar, Marques de Casata*bares, D. Fernando Queypo de Llano, D. Santiago Ulloa, y el Marques de Fontanar, que por estar dé servidumbre derla, difuntaTrisícíís a siguió la comitiva;, y los Gentileshombres de Boca y Casatya-expresados, les a</t>
  </si>
  <si>
    <t>Quiara, Domingo</t>
  </si>
  <si>
    <t>Domingo Quiara</t>
  </si>
  <si>
    <t>Trinitarios Descalzos de esta Corte, quien les dará razón del asunto. Se desea saber el paradero de D. Domingo Quiara, natural de la Corte de Turin, que residió en esta de Madrid , y salió de ella para aquella en el año de 1786, si es muerto ó; vivo,:-ó de sus parientes ó herederos, por tener que</t>
  </si>
  <si>
    <t>Quintana, Andrés Benito</t>
  </si>
  <si>
    <t>Andrés Benito Quintana</t>
  </si>
  <si>
    <t>alado para el día go del presente en las casas consistoriales de la plaza Mayor. Por providencia de D. Andrés Benito Quintana, Comisionado Regio en la Diócesi de Calahorra y Santo Domingo de la Calzada, que tiene su residencia enla ciudad de Logroño, se ha mandado sacar á pública subasta diferentes finca</t>
  </si>
  <si>
    <t>Corregidor D. Torquato Antonio Coilado, por la escribanía de D. Miguel Gonzalo. Por providencia de D. Andrés Benito Quintana, Comisionado Regio para la venta de bienes eclesiásticos en la Diócesi de Calahorra y Santo Domingo de la Calzada, residente en la ciudad de Logroño, se han mandado sacar á públic</t>
  </si>
  <si>
    <t>dentro del término de 30 días contados desde el 10 de Setiembre próximo pasado. Por providencia de D. Andrés Benito Quintana, Comisionado Real para la enagenacion de bien.es eclesiásticos de la Diócesi de Calahorra y Santo Domingo de la Calzada, residente en la ciudad de Logroño, se ha mandado sacar á p</t>
  </si>
  <si>
    <t>la com** ponen, y la sesión de 29 de Julio. De España. Varias órdenes Reales &amp;c. Por providencia de D. Andrés Benito Quintana , Comisionado Regio para la venta de bienes eclesiásticos de la Diócesi de Calahorra y Sto. Domingo de la Calzada, residente en la ciudad de Logroño,, se ha mandado sacar á public</t>
  </si>
  <si>
    <t>su remate está señalado para el día 12 de Enero próximo en la casa de Gobierno. Por providencia de D. Andrés Benito Quintana, Comisionado Regio en el Obispado de Calahorra y la Calzada,, se han mandado-sacar á subasta a 2.5 heredades de fértilísima .producción, entre ellas algunas huertas., consistentes</t>
  </si>
  <si>
    <t>Quintanilia, Pedro Luís</t>
  </si>
  <si>
    <t>Pedro Luís Quintanilia</t>
  </si>
  <si>
    <t>nte D. Gabriel Menéses: la Subtenencia al Alférez D. Josef Belen Zamora; y esta resuira ai Sargento D. Pedro Luís Quintanilia. __ Hn ei Regimiento de. dragonea Provinciales de Puebla, en el Reyno de Nueva-España , se ha servido el Rey promover á C2pitan al Teniente Don Josef Mariano Arias; á Teniente al</t>
  </si>
  <si>
    <t>Quintano, Juan</t>
  </si>
  <si>
    <t>Juan Quintano</t>
  </si>
  <si>
    <t>ncidos, y los Caballeros D. Francisco Amorós, Oficial de la Secretaría del Despacho de la Guerra, y D. Juan Quintano, de la de Hacienda, prepu iéron dos problemas complicados, que resolvió el niño con igual prontitud, y demostró con igual acierto quedos anteriores, habiendo merecido unánimes y r</t>
  </si>
  <si>
    <t>Quirico de Aristizaval y Sequeyra</t>
  </si>
  <si>
    <t>Ramírez, D. Juan VanHalen y Sarti, D. Josef González de Argandoña, D. Manuel de Umendia y Foronda, D. Quirico de Aristizaval y Sequeyra, D. Josef Yustiniani y Cabrera, D. Rafael de Elisa y Caamaño, D. Julio Ponce de León y Morejon, D. Domingo del Barco yMoron, D. Manuel Paulin y Cotiella, Don Francisco Pareja y Ca</t>
  </si>
  <si>
    <t>Quiroga, Cardenal</t>
  </si>
  <si>
    <t>Cardenal Quiroga</t>
  </si>
  <si>
    <t>o se mandó subastar la dehesa de Fuerte el Caño, perteneciente á las obras pias fundadas por el Sr. Cardenal Quiroga en el Convento de Religiosos Agustinos de la villa de Madrigal, la qual tiene varios edificios, tasados en 46,463 rs., y 2551 fanegas y 45 estadales de tierra del marco de 500 estad</t>
  </si>
  <si>
    <t>mente á pública subasta la dehesa de Fuente el Caño, perteneciente á las obras pías fundadas por el Cardenal Quiroga en el Convento de Religiosos Agustinos de la villa de Madrigal, la qual dista 4 leguas, de dicha ciudad, y tiene varios edificios, tasados en 46,463 rs., y 2552 fanegas y 45 estadal</t>
  </si>
  <si>
    <t>Quirós, Manuel</t>
  </si>
  <si>
    <t>Manuel Quirós</t>
  </si>
  <si>
    <t>t-acho,, p. Josef Alaría N oriega y D. Franciscp Xavier de Andrade, y a Subtenientes, dex bandera á D. Manuel Quirós, D. Joaquín Madrid y D.? Salvador Artacho.,. El Rey nuestro Señor, á consulta del Real y Supremo Consejo de Ca§&gt;, tilla, sé ha servido" conceder a la ciudad de Truxiilo-una feria</t>
  </si>
  <si>
    <t>Quixote</t>
  </si>
  <si>
    <t>breve discurso el rídículo.y temerario empeño con que el Setabiense intenta deprimir la Historia de D. Quixote, sus plagios freqiientes, sus noticias inconexas y agenas , sus promesas jactanciosas, y su trasonismo literario: todo para desagravio dél inmortal Cervántes, desengaño de lectore</t>
  </si>
  <si>
    <t>a en la Rusia. Los Médicos ae esta capital han respondido hasta ahora cón el despreció á este nuevo D. Quixote, y el Redactor del Periódico Ruso, titulado el Liceo, lo ha censurado agriamente; Mr. Welansky está disponiéndose á contestarle: es de desear que esta guerra de plumadas lo tenga</t>
  </si>
  <si>
    <t>Quíxote de la Mancha</t>
  </si>
  <si>
    <t>o • que ¿1 tercero siguiente se dará principio' ¿ la oposición. Vida y hechos del ingenioso hidalgo D. Quíxote de la Mancha,. por el Licenciado Alonso Fernandez dé Avellaneda: nueva edición’ igual en todo-á la precedente. En menos de quatro méses se ha consumido la copiosa edición anterior, y esto ha m</t>
  </si>
  <si>
    <t>RafaeH la Peyroíon y Chaubet</t>
  </si>
  <si>
    <t>o de la adjudicación cedieron la par-: te pecuniaria del premio D. Luis Orellaná, D. Luis Beltran , Doña RafaeH la Peyroíon y Chaubet, y Doña María del' Carmen Dolz del Castellar. Continuó este acto publicándose la adjudicación de 6 premios ofrecidos a las escuelas y enseñanzas de la villa de Villareal, y 25 dis</t>
  </si>
  <si>
    <t>Rafaela Peyroíon</t>
  </si>
  <si>
    <t>recitando dos odas en acción de gracias D. Juan Bautista Ximeno á nombre de los niños premiados, y Doña Rafaela Peyroíon á nombre de las niñas. Pronunció D. Joaquín Fusell el elogio que se le había encargado formar á la buena memoria de D. Francisco Bahamonde y Sessé, Vice-Censor que fué de la Real</t>
  </si>
  <si>
    <t>Rafnon Qúeypo de Llano</t>
  </si>
  <si>
    <t>I-I5 D. Rafnon Qúeypo de Llano : el de Teniente ;de granaderos de los de Tuy y Toro á los de fusileros D. Vicente Kindelan y Meneses y D. Francisca Martin: el de Teniente de fusileros del de Santiago al Subteni</t>
  </si>
  <si>
    <t>Raimond</t>
  </si>
  <si>
    <t>Obispo de Montpeílier; Lubersac, antiguo Obispo de Chartres, y Ruffo, antiguo Obispo de St. Flour. Mr. Raimond, Secretario de la Legación Francesa en Stuttgardt, ha sido nombrado Encargado de Negocios en Ragusa---- Mr. Hermán, primer Secretario de la Legación en Madrid, pasa á Comisario ge</t>
  </si>
  <si>
    <t>Ramírez de Bciones, Felipe</t>
  </si>
  <si>
    <t>Felipe Ramírez de Bciones</t>
  </si>
  <si>
    <t>en 75,930 rs. Quien quisiere hacer postura acuda á la escribanía de la comisión que está á cargo de D. Felipe Ramírez de Bciones; en la inteligencia que está señalado para su remate el dia 27 del corriente. Por providencia de D. Josef Garcini de Queralt , Comisionado Real para la venta de bienes, eclesiásti</t>
  </si>
  <si>
    <t>Ramírez y Espino, Vicente</t>
  </si>
  <si>
    <t>Vicente Ramírez y Espino</t>
  </si>
  <si>
    <t>ante en la Catedral de Canaria por promoción de D. Antonio María Lugo al Arcedianato de la misma, á D. Vicente Ramírez y Espino: para la Ración, vacante en dicha Catedral de Toledo por promoción de D. Mateo Anchuelo á Canongía de la misma, á D. Josei González Calderón, con retención de la Dignidad de Capis</t>
  </si>
  <si>
    <t>Ramírez, Domingo</t>
  </si>
  <si>
    <t>Domingo Ramírez</t>
  </si>
  <si>
    <t>la Parroquia de la Magdalena de la ciudad de Plasencia, vacante por muerte de D. Lorenzo Tirado, á D. Domingo Ramírez, Clérigo de Prima. En América. S. M. se ha servido nombrar para el Obispado de NuevaSegovia, en las Islas Filipinas, á D. Fray Cayetano Pallas, Prior que fue de Dominicos de Méxic</t>
  </si>
  <si>
    <t>Ramírez, Gaspar</t>
  </si>
  <si>
    <t>Gaspar Ramírez</t>
  </si>
  <si>
    <t>a en la Audiencia de Guadalaxara á D. Antonio Villaurrutia, Oidor de Charcas, y para esta resulta á D. Gaspar Ramírez, Conde de S. Xavier : para la Regencia de Chile, asimismo vacante por promoción al expresado Consejo de D. Fernando Márquez de la Plata , á Don Juan Rodríguez Ballesteros *. para</t>
  </si>
  <si>
    <t>Ramírez, Juan</t>
  </si>
  <si>
    <t>Juan Ramírez</t>
  </si>
  <si>
    <t>ileros en los de Ciudad-Rodrigo y Alcázar al Subteniente Don Antonio del Yerro, y Teniente agregado D. Juan Ramírez: las Subtenencias de granaderos de los de Toro y Burgos á los Subtenientes de fusileros D. Josef Bocalan y D. Ramón. Gas trillo; y las Subtenencias de bandera de los de Laredo, Se</t>
  </si>
  <si>
    <t>Ramírez, Vicente</t>
  </si>
  <si>
    <t>Vicente Ramírez</t>
  </si>
  <si>
    <t>ranó, á D. Manuel Gómez Moya: para otra Ración en la Catedral de Canarias, vacante por promoción de D. Vicente Ramírez á Canongía de la misma, á D. Josef Romero Franchis, Capellán Real de la propia Iglesia : para ,urja Media-Ración, vacante en la Catedral de Segovia, por muerte de I&gt;. Gerónimo Ort</t>
  </si>
  <si>
    <t>Ramirezí de Briones, Felipe</t>
  </si>
  <si>
    <t>Felipe Ramirezí de Briones</t>
  </si>
  <si>
    <t>cha villa, en 4416 rs Quien quisiere hacer postura acuda á la escribanía dé la comisión, que exerce D. Felipe Ramirezí de Briones, dentro del término de 30 días contados desde el 10 de Setiembre próximo pasado. Por providencia de D. Andrés Benito Quintana, Comisionado Real para la enagenacion de bien.es ecle</t>
  </si>
  <si>
    <t>Ramiro</t>
  </si>
  <si>
    <t>que funda principalmente su respuesta á la nueva demostración de la falsedad del privilegio del Rey D. Ramiro r, que escribió D. Joaquín Antonio del Camino, Canónigo de Lugo, y publicó Ja Real Academia de la-Historia. Si ilustran los puntos mas substanciales que se controvierten en el Dis</t>
  </si>
  <si>
    <t>Ramo</t>
  </si>
  <si>
    <t>ejora acuda ante el Sr. D. León de Sagasta, Teniente Corregidor de esta villa, por la escribanía de D. Ramo» de Mi» llaCüellar. Por auto proveído por el: Tribunal del Consolado de la ciudad de Cádiz en 2 de Julio del corriente año en los autos del concurso de acreedores á bienes quedado</t>
  </si>
  <si>
    <t>Ramond</t>
  </si>
  <si>
    <t>2 metros. La comparación de todas las medidas tomadas por Deluc, Saussure, Pictet, y combinadas por Mr. Ramond, con las que él mismo hizo en,los Pirineos, dio empíricamente 18,336 metros: la diferencia produciría apénas un metro sobre la altura de Chnr.horazo. Los autores de la Memoria han</t>
  </si>
  <si>
    <t>Ramos y Monroy, Joaquín</t>
  </si>
  <si>
    <t>Joaquín Ramos y Monroy</t>
  </si>
  <si>
    <t>iar en la misma Diócesi: para la Canongía, vacante en la Catedral de Plasencia por fallecimiento de D. Joaquín Ramos y Monroy, á D. Francisco de Sales y Andrés, Revisor general del Supremo Consejo de la Inquisición; y para la Abadía de Foncebadon, Dignidad de la Catedral de Astorga,de precisa residencia,</t>
  </si>
  <si>
    <t>Ramos, Bartolomé</t>
  </si>
  <si>
    <t>Bartolomé Ramos</t>
  </si>
  <si>
    <t>servidero de la villa de la Motilla del Palancar, en el Obispado dé Cuenca , vacante por muerte de D. Bartolomé Ramos, á D. Antonio María Rodríguez defS. Juan: para otro igual de la Parroquia de S. Andrés de la ciudad de Murcia , vacante por promoción de D. Josef de Guevara Vasconcelos á Canongía</t>
  </si>
  <si>
    <t>o simple servidero de la villa del Campillo de Alto-Buey, Ooispado de Cuenca, vacante por muerte de D. Bartolomé Ramos, á D. Mateo Payno: para otro también servidero titulado de S. Pedro de Cela , en el Obispado de Tuy, vacante por fallecimiento de D. Francisco Valverde, á D. Gaspar Fernandez de V</t>
  </si>
  <si>
    <t>Rap, General</t>
  </si>
  <si>
    <t>General Rap</t>
  </si>
  <si>
    <t>han de entrar diferentes cuerpos del exército, que están aun en Alemania, para pasarles revista. El General Rap va con este objeto á Strasburgo. Una carta escrita el 15 de Abril último en Vincennes, en la América Septentrional, dice que el Gobernador ha sabido de oficio que los salvages Ind</t>
  </si>
  <si>
    <t>Raymundó</t>
  </si>
  <si>
    <t>anasio de Ayesa, D. Bernabé Poiledo y D* Antonio Romeros y á Subtenientes el agregado de esta clase D. Raymundó dg Silva, los Cadetes D, Josef Urquizu, D, Fernando del Joro y D. Ildefonso del Toro, y los Sargentos primeros D. Manuel de Seda y Df Anastasio Díaz de granaderos, D. Dionisio Lóp</t>
  </si>
  <si>
    <t>Raymundo de Mixares</t>
  </si>
  <si>
    <t>e* tropclitana de Manila, en las islas Filipinas, á D. Francisco P¡gz Durana; para el Arcedianato á D. Raymundo de Mixares, y para }a Chantría á Don Josef Xavier de Torres; para la Tesorería de La misma á D. Juan Garcds; para la Cancngía á D. Sebastian Rodríguez Xaramillo, y para la Ración a D. Josef</t>
  </si>
  <si>
    <t>Raymundo de Santander</t>
  </si>
  <si>
    <t>taron mas dignos, y fué en la forma siguiente: En la Cátedra de Economía civil, que dirige el socio D. Raymundo de Santander, se distribuyó el primero á D. Félix Fernandez Cavada, el segundo á D. Cipriano Antonio de Barcenilla y Langayo, sorteado con D. Julián Cabañas, á quien de consiguiente le corresp</t>
  </si>
  <si>
    <t>Raymundo Ferrer</t>
  </si>
  <si>
    <t>o Escolanó. En el Regimiento de Reales Guardias Españolas se ha servido el Rey promover á Capitán á D. Raymundo Ferrer, Teniente de granaderos del mismo Cuerpo: Compañía en el Regimiento de infantería de la Corona al</t>
  </si>
  <si>
    <t>Razdziwil, Príncipe</t>
  </si>
  <si>
    <t>Príncipe Razdziwil</t>
  </si>
  <si>
    <t>el Rey y la Reyna, SS. AA. RR. los Príncipes Henriqüe, .Guillermo y Augusto-Femando, y S. A. S. el Príncipe Razdziwil, han salido de esta capital para Schwedt. Ha llegado aquí de Madrid el Sr. D. Benito Pardo de Figueroa, Ministro de S. M. Católica. , En virtud de un convenio ajustado entre la Pr</t>
  </si>
  <si>
    <t>Real Armada</t>
  </si>
  <si>
    <t>desea.saber de.D. Pablo Ortis, Maestre de víveres que fué de una fragata de la Real Armada, natural de Cartagena de Levante, y en el año de 96 se embarcó ^G4dizHpai«4-as-AméFÍcas en buque mercante. Quien supiere del citado D. Pablo</t>
  </si>
  <si>
    <t>Real Cuerpo de Artillería de Mkrina</t>
  </si>
  <si>
    <t>de Jülío de 1/p‘p Francisco S. Miguel y Agu^dó* Ayudante de Ja 4.* brigada del' Real Cuerpo dé Artillería dé Mkrina, hijo dé Antonio y de María Aguado, rikturál dé ésta Corté, se há niañdáríío por ol Sr*"D. Temas~Moya«o, Alcalde de Casa y Corte, .en-yirtud-de comision~queTe ha conferido el Ilustrísim</t>
  </si>
  <si>
    <t>Real de Ba, Princesa</t>
  </si>
  <si>
    <t>Princesa Real de Ba</t>
  </si>
  <si>
    <t>- sus habitantes la comunicación del feliz matrimonio1 d-e nuestro Príncipe amado el Vi re y con lá Princesa Real de Ba viera., y queriendo que este acontecimiento sirva de época á un acto grandioso de benevolencia publica, ha mandado que, entre los tes timón iós de alegría pública qué se darán con</t>
  </si>
  <si>
    <t>Real de Baviera, Príncipe</t>
  </si>
  <si>
    <t>Príncipe Real de Baviera</t>
  </si>
  <si>
    <t>exercicios gimnásticos en la Universidad de Linkoping; En la noche del 27 pasó por Manheim S. A. el Príncipe Real dé Baviera, que va á París.—-Las tropas Prusianas, que se habiafl retirado hacia el país de Waldeck y la Wcstfalia , ocupan ahora diferentes puntos de la Weteravia.__ Corre muy valida la voz</t>
  </si>
  <si>
    <t>se decida este negocio ocuparán las tropas Francesas los países que están en pleyto, Dícese que el Príncipe Real de Baviera se detendrá un año entero en París, y que se enviarán á aquella capital del Imperio Francés 40 niños huérfanos de militares Bávaros, para educarlos allí á expensas del Emperador.</t>
  </si>
  <si>
    <t>a inteligencia entre ambas Cortes; y ahora vuelve á hablarse del proyecto de enlace matrimonial del Príncipe Real de Baviera con una Princesa de Rusia. El General Austríaco Brady y Mr. de Ghisilieri han sido arrestados , y se ha nombrado una junta para examinar su conducta___ Los puertos de Trieste y de</t>
  </si>
  <si>
    <t>xército -tomó posesión de Hannóver en nombre del Emperador y Rey. FRANCIA. Niza 12 de Noviembre. El Príncipe Real de Baviera ha llegado á esta ciudad. Viene de Marse* lta, y pasa á Milán á ver á su hermana y cuñado el PHncipe Virey de Italia. So ha recibido aquí aviso de oficio de que el Dey de Argel ha</t>
  </si>
  <si>
    <t>Real de Bavlera, Príncipe</t>
  </si>
  <si>
    <t>Príncipe Real de Bavlera</t>
  </si>
  <si>
    <t>Hesse-Darms-* tadt, al Príncipe Primado, y al Colegio de Príncipes de la Confederación del Rhin. El Príncipe Real de Bavlera llegó á Milán el 15 del corriente ; dicen que se detendrá algún tiempo en compañía de su hermana la Vireyna. * Escriben de Hamburgo que el Rey de Prusia ha hecho sacar de Berlin t</t>
  </si>
  <si>
    <t>Real de Wúrtemberg, Princesa</t>
  </si>
  <si>
    <t>Princesa Real de Wúrtemberg</t>
  </si>
  <si>
    <t>ador fué de dar parte al Senado del matrimonio contratado entre S. A. I. el Príncipe Gerónimo y una Princesa Real de Wúrtemberg: se añade que después del mensage *e le) éron las dos cartas siguientes: una para el Príncipe Primado de la Confederación del Rhin, y otra para el Rey de Baviera. Al Principe Prim</t>
  </si>
  <si>
    <t>Recuero García, Miguel</t>
  </si>
  <si>
    <t>Miguel Recuero García</t>
  </si>
  <si>
    <t>el facultativo que le solicite presentará su memorial al Ayuntamiento por el oficio de su Escribano Don Miguel Recuero García, en el término preciso de 15 dias. En la villa del Viso del Marques, provincia de la Mancha, se halla vacante la plaza de Cirujano latino: su dotación 400 ducados anuales, y á mas</t>
  </si>
  <si>
    <t>Reden</t>
  </si>
  <si>
    <t>tienda del Rubio, y en Cádiz en casa de D. Manuel Navarro. Contiene, entre otras cosas, la nota de Mr. Reden á la Dieta Germánica al presentar el manifiesto del Rey de Inglaterra contra Prusia; el discurso de Mr. Fox sobr; el mismo asunto; la capitulación del General Holandés Mr. Janssen</t>
  </si>
  <si>
    <t>Regente de Portugal, Príncipe</t>
  </si>
  <si>
    <t>Príncipe Regente de Portugal</t>
  </si>
  <si>
    <t>ombrado al Teniente General Pyman.su Ministro plenipotenciario , y Enviado extraordinario cerca del Príncipe Regente de Portugal. &gt; . - •, Nuestros fondos han subido de nuevo casi un i por 100. Se atribuye esta subida á varias causas reunidas, como son los sucesos del exército Francés, el aumento de territo</t>
  </si>
  <si>
    <t>Regnault</t>
  </si>
  <si>
    <t>on un proyecto de ley relativo á la institución de una Junta de Prohombres en León. En esta ocasión Mr. Regnault pronunció un discurso motivando las causas que habia tenido el Gobierno para presentarlo á ia Legislatura, y manifestó que muchas instituciones útiles sujetas ai régimen de las co</t>
  </si>
  <si>
    <t>Regnier</t>
  </si>
  <si>
    <t>oductos de su industria , ó á la feria nacional que deberá celebrarse al tiempo de dichas ■fiestas. Mr. Regnier, Auditor del Consejo de Estado, hijo de S. E. el Gran Juez, Ministro de la Justicia, ha sido nombrado Secretario de Embaxada en España. Se citaba hace algunos años en París un hom</t>
  </si>
  <si>
    <t>Reinhard</t>
  </si>
  <si>
    <t>está aquí ya de vuelta del viage que ha hecho á Hungría el dia 6 del corriente saldrá para París.__ Mr. Reinhard , nombrado. Cónsul general y Encargado de Negocios en la Turquía Europea, ha. pasada por esta capital para ir á Jassy, en donde tendrá su residencia.. Habiéndose disminuido consid</t>
  </si>
  <si>
    <t>Reinhart</t>
  </si>
  <si>
    <t>en la embaxada de España á Mr. de Beauharnais,;actualmente en.Florenc;ia--! .-•,: • .• V. ; &lt;-.v ,7 Mr. Reinhart, nombrado hace poco tiempo Residente y Comisario general de las Relaciones comerciales en Moldavia, ha marchado» a su destinoi Un Diario de Burdeos anuncia que todas las casas de</t>
  </si>
  <si>
    <t>Rejón de Silva, Diego</t>
  </si>
  <si>
    <t>Diego Rejón de Silva</t>
  </si>
  <si>
    <t>io López Pinto, D. Mariano Carrillo de Albornoz, Don Francisco Josef Justis, D. Bernardo Landaburu, D. Diego Rejón de Silva, D. Mariano Genaro Sentmanat, D. Luis Landaburu, D. Antonio y D. Pedro Romero de Tejada, D. Domingo de la Iglesia, D. Juan Oromi,D. Antonio Ibarrola, D. Lorenzo Medrano y Treviño,</t>
  </si>
  <si>
    <t>Remon, Manuel</t>
  </si>
  <si>
    <t>Manuel Remon</t>
  </si>
  <si>
    <t>iente de Rey de la Plaza de Panamá y Cabo subalterno del Comandante general de la misma Provincia á D. Manuel Remon, Teniente Coronel del Regimiento de infantería de Puebla. Para proceder la Sociedad patriótica de comerciantes de Madrid al repartimiento de lo que ha producido la subscripción vo</t>
  </si>
  <si>
    <t>Reo, Vicente</t>
  </si>
  <si>
    <t>Vicente Reo</t>
  </si>
  <si>
    <t>eros Doik Pascual Ariza y D. Josef Guarrero: en el de Alga‘be emplgo de, Alférez áí Portaestandarte D. Vicente Reo deseos: en elde Aíontesave hipido rde. Portaestandarte ai Sargento primevo D. jManuel de Pineda ; iy.dii ’lp&amp;fde d^ago^ n.es de Alrnansa y Lusirania .empleps de Alférez á iosf Portag</t>
  </si>
  <si>
    <t>Repnin, Príncipe</t>
  </si>
  <si>
    <t>Príncipe Repnin</t>
  </si>
  <si>
    <t>lS¡i(?n. 34 del Diario del exértilógrande. Briinn 10 de Diciembre. Hoy ha recibido el Emperador al Príncipe Repnin, que quedó prisionero eihlaóba talla: de Aristerlitz al frente de los Guardias, dé Gorps de. que erá:GDrojiel ;.S. M. le ha dicho que rio,quería privar al Emperador Alexandto tan</t>
  </si>
  <si>
    <t>Requesens, Vicente</t>
  </si>
  <si>
    <t>Vicente Requesens</t>
  </si>
  <si>
    <t>Don **Pablo Solana, D. Josef de Torres y D. Juan de Cuellar, y el de Portaestandartes á los Cadetes D. Vicente Requesens y D. Ignacio Foxa, y al Sargento primero D. Cristóbal Blasco. También se ha servido el Rey conferir el Regimiento de dragones de Villaviciosa al Coronel Barón de Armendariz, Teniente</t>
  </si>
  <si>
    <t>Reuthy, Juan</t>
  </si>
  <si>
    <t>Juan Reuthy</t>
  </si>
  <si>
    <t>apitán segundo al Teniente de granaderosiD-Cristóbal;Stóífeb Tenencia de granaderos al de fusileros D. Juan Reuthy: esta resulta al Subteniente de granaderos D. Juan Miguel Roth: Subtenencia de granaderos al de fusileros D. Cristóbal Krucker; y Subtenencia de bandera al Cadete D. Cristóbal Tii</t>
  </si>
  <si>
    <t>Rey, Antonio</t>
  </si>
  <si>
    <t>Antonio Rey</t>
  </si>
  <si>
    <t>8 meses María Reglero, vecina de esta ciudad, la acometió un accidente apoplético, é inmediatamente D. Antonio Rey y D. Josef Martínez, Médicos titulares de ella, la aplicaron todos ios remedios oportunos; y no habiendo conseguido ningún alivio, murió á las 1,6 horas. En este apuro se dispuso que</t>
  </si>
  <si>
    <t>Rey, Luis (príncipe)</t>
  </si>
  <si>
    <t>Príncipe Luis Rey</t>
  </si>
  <si>
    <t>n enjaezados unos caballos Arabes----- Ei Emperador se volvió á la sala del trono paj¿a declarar al Príncipe Luis Rey de -Holanda; y el Embaxador Turco pasó á presentarse á la Emperatriz, que le recibió en pie, rodeada de las Princesas, de las Damas y de los empleados de su quarto. Concluido el cump</t>
  </si>
  <si>
    <t>Rey, Tomás</t>
  </si>
  <si>
    <t>Tomás Rey</t>
  </si>
  <si>
    <t>ileros D. Miguel Velazquez y D. Josef Padilla; y Subtenencias de bandera en los de León y Badajoz á D. Tomas Rey y D,, Manuel Bravo*</t>
  </si>
  <si>
    <t>Reyes, Manuel</t>
  </si>
  <si>
    <t>Manuel Reyes</t>
  </si>
  <si>
    <t>ier Velazquez, Teniente de ias de S. Carlos; la Tenencia de aquella al Sargento primero de la misma D. Manuel Reyes, y la Subtenencia al Cadete D. Juan Chavez: Compañías en las sueltas de disciplinadas de infantería de Chiloe á D. Cristóbal Olavarria y D. Pedro Olavarria, Tenientes de las misma</t>
  </si>
  <si>
    <t>Reymundo Fraguas, Antonio</t>
  </si>
  <si>
    <t>Antonio Reymundo Fraguas</t>
  </si>
  <si>
    <t>exhortatoria sobre la utilidad de estos establecimientos, que dixo el Presbítero y Teniente de Cura D. Antonio Reymundo Fraguas; y en seguida se hizo una solemne procesión, á la que asistiéronlos dos Cabildos secular y eclesiástico, y un numeroso concurso de gentes de todas clases. Madrid jj&gt; de Setiembre.</t>
  </si>
  <si>
    <t>Reyna, Rafael</t>
  </si>
  <si>
    <t>Rafael Reyna</t>
  </si>
  <si>
    <t>173 de ‘Lambayeque á D. Rafael Reyna, Subteniente agregado al mismo cuerpo; y á igual empleo en la Compañía suelta del partido de Carelmapu al Subteniente D. Juan Paredes. . También se ha servido el Rey conceder Comp</t>
  </si>
  <si>
    <t>Reynier, General</t>
  </si>
  <si>
    <t>General Reynier</t>
  </si>
  <si>
    <t>rillas del Adriático, donde fué recibid© con todos los honores de su graduación por la división del General Reynier. El día siguiente por la mañana prosiguió el Mariscal su camino para el Reyno de Ñápeles. Esperamos aquí de un dia á otro un cuerpo de tropas Españolas, compuesto de 4® hombres de</t>
  </si>
  <si>
    <t>Reynoso, Félix</t>
  </si>
  <si>
    <t>Félix Reynoso</t>
  </si>
  <si>
    <t>dias 23 y 24 de Noviembre. La sesión del 23 se abrió por un eloqiiente discurso leído por el socio D. Félix Reynoso , en que por una serie comparativa de los trabajos emprendidos por la Sociedad desde su establecimiento, demostró la mayor importancia de los actuales en el plan que últimamente h</t>
  </si>
  <si>
    <t>Reynoso, Francisco</t>
  </si>
  <si>
    <t>Francisco Reynoso</t>
  </si>
  <si>
    <t>istiana, compuesto por el P. Gerónimo de Ripalda, ademas de saber el que mandó imprimir elllmo. Sr. D. Francisco Reynoso, Obispo que fué de Córdoba. Otros 17 niños desde 5 hasta 8 años dixéron toda la explicación hasta el capítulo if, con solo de 3 á 4 meses de escuela. Otros 10 niños de 4 á 5 años</t>
  </si>
  <si>
    <t>Re’gnault de St</t>
  </si>
  <si>
    <t>Oradores del Gobierno^encargados de proponer un senado-consulto , estaban ya en la sala del Senado: Mr. Re’gnault de St. Jean d’Angely llevó la voz, y propuso levantar 8g© hombres de la conscripción de 1807, escogidos entre los nacidos desde i.° de Enero de 1787 hasta 31 de Diciembre, del mismo año</t>
  </si>
  <si>
    <t>Ribera y Vázquez, Antonio</t>
  </si>
  <si>
    <t>Antonio Ribera y Vázquez</t>
  </si>
  <si>
    <t>de Cáceres, D. Justo Pasalagua y Martínez, D. Antonio Godoy y Castro, D. Pedro López de Carrizosa , D. Antonio Ribera y Vázquez , D. Josef Paez y Mesa, D. Carlos Soubiran y Mantelan, D. Miguel Quesada y Tarriba, D. Toribio Pasalagua y Martinez, D. Vicente Fernandez de Mesa, D. Francisco de Nava y Rodríguez</t>
  </si>
  <si>
    <t>Ribo, Tomás</t>
  </si>
  <si>
    <t>Tomás Ribo</t>
  </si>
  <si>
    <t>a Canongía de la Colegiata de Sra. Ana de Barcelona t vacante por muerte de D. Antonio Vinals ; y á D. Tomas Ribo para la Dignidad de Chantre de la Catedral de Sobona, vacante por muerte de D. Pedro Antonio Ortíz Lazcano.£1 Rey se ha servido conferir el empleo de Coronel del Regimiento de inf</t>
  </si>
  <si>
    <t>Richarte, Agustín</t>
  </si>
  <si>
    <t>Agustín Richarte</t>
  </si>
  <si>
    <t>á Teniente Coronel del Regimiento de Milicias urbanas de dragones de Tinta, en el Reyno del Perú, á D. Agustín Richarte, Capitán del mismo Cuerpo; á Capitanes al Ayudante D. Diego de Mesa , y á los Tenientes D. Andrés Mexia y D. Tadeo González; á Tenientes á los Alféreces D. Fernando Aragón, D. Adr</t>
  </si>
  <si>
    <t>Rico, Diego</t>
  </si>
  <si>
    <t>Diego Rico</t>
  </si>
  <si>
    <t>el Regimiento de caballería de Borbon D. Joaquín María de Campos; y ha nombrado para esta resulta á D. Diego Rico, Sargento del expresado Real Cuerpo de Carabineros. A D. Juan Saenz de Tejada, Director honorario y Contador de los Reales almacenes de cristales de Madrid, se ha servido S. M. co</t>
  </si>
  <si>
    <t>Riega, Bernardo</t>
  </si>
  <si>
    <t>Bernardo Riega</t>
  </si>
  <si>
    <t>stado; D. Miguel Cayetano Soler, del de Háciéndk; el Baylío D. Francisco Gil, del de Marina; el Sr. D. Bernardo Riega, del Consejo Reai y iSupremo; y Asesor dedá Real Casa; y el Bséribáab déf la misma D^Juan fVíiUaíy Olier; y después dé eñ«r;egaddH p'0i?d$cho^SridGáb2ÍÍero al referido; Juez el te</t>
  </si>
  <si>
    <t>Rincón Gallardo, Manuel</t>
  </si>
  <si>
    <t>Manuel Rincón Gallardo</t>
  </si>
  <si>
    <t>Subtenencia de bandera en el de las Ordenes Militares ral Cadete D. Félix Maclauglin. En América. A D. Manuel Rincón Gallardo&gt; Coronel del Regimiento de dragones provinciales de S. Carlos, en el Reyno de Nueva-España, se ha servido S. M.&gt; nombrarle Coronel del Regimiento de dragones provinciales de S. Lu</t>
  </si>
  <si>
    <t>Risueño, Benigno</t>
  </si>
  <si>
    <t>Benigno Risueño</t>
  </si>
  <si>
    <t>e sus respectivas tareas..—.D. Fulgencio Botella abrió el acto con un discurso gratulatorio; siguió D. Benigno Risueño, de edad de 3 años y medió, con la mámfestacion de la Historia sagrada. En forma de diálogo se demostró la Caligrafía i con exacto análisis del alfabeto, finalizándose con la prác</t>
  </si>
  <si>
    <t>Riva, Ramón</t>
  </si>
  <si>
    <t>Ramón Riva</t>
  </si>
  <si>
    <t>o á otro de la misma invocación de la Catedral de Solsona, vacante por muerte de D. Antonio Font, i D. Ramón Riva. El Rey se ha servido conceder Tenencia en el Regimiento de infantería de Cantabria al Subteniente de granaderos D. Sebastian de Arcos; y Subtenencias de bandera en el de Irlanda</t>
  </si>
  <si>
    <t>Rivas y Aleu, Miguel</t>
  </si>
  <si>
    <t>Miguel Rivas y Aleu</t>
  </si>
  <si>
    <t>Arzobispado de Granada, por muerte de D. Josef Antonio de los Ríos , á D. Martin Luque y Lozano: á D. Miguel Rivas y Aleu para un Beneficio^compuesto de dos unidos, vacante en la Parroquia de Cambrils, Diócesi de Tarragona, por fallecimiento de D. Miguel Planas: á D. Miguel Ferrer para otro con cargo</t>
  </si>
  <si>
    <t>Rivaud, General</t>
  </si>
  <si>
    <t>General Rivaud</t>
  </si>
  <si>
    <t>6: ¿friménos^de^tmarloraTué todo arrollado: los Regimientos 2 y 4 de húsares y toda la división del General Rivaud atravesaron la ciudad , y desalojaron al enemigo de Dienitz, Peissen y de Rabatz. La caballería Prusiana intentó cargar al 8 y; 96 de infantería; pero fué rechazada vigorosamente.</t>
  </si>
  <si>
    <t>Rives, Ignacio</t>
  </si>
  <si>
    <t>Ignacio Rives</t>
  </si>
  <si>
    <t>Jayme Salas: para la Canongía que este obtiene en lá Catedral de Huesca á Don Salvador Puicercus: á D. Ignacio Rives.para una Canongía de la Metropolitana de Tarragona, vacante por promoción de D. Fernando Ximenez Vallejo al Priorato de S. Hipólito de Córdoba: á D. Pedro Antonio Fernandez para l</t>
  </si>
  <si>
    <t>Roberto Barlow</t>
  </si>
  <si>
    <t>ió enteramente él apetito , las fuerzas le abandonaron, y sintiendo próxima su muerte hizo llamar á Sir Roberto Barlow, en quien tenia su confianza; le comunicó sus ideas, y le hizo prometer las cumpliría, y se conformaría á sus instrucciones. Encargóle desempeñase las fun iones de Gobernador gene</t>
  </si>
  <si>
    <t>Roberto Dundas</t>
  </si>
  <si>
    <t>a absuelvo , se le debían reembolsar los gastos hechos durante su causa en la' sala de Westminster. Mr. Roberto Dundas habló de ios enormes gastos de la causa. La propuesta de Mr. Whitbread se aprobó, y se han nombrado á Mrs. Fox y Whitbread y los Lores Hardick y Henrique Petty individuos de la ju</t>
  </si>
  <si>
    <t>Roberto Montgomery</t>
  </si>
  <si>
    <t>avisar eü éstá Corte 4 D. Pablo Sagrista y Soler, en Cádiz á D. Juan Bautista Bourt* e« Alicante i D. Roberto Montgomery y compañía, en Valencia á O. Vicente Calía e hijo*y eA Barcelona a D* Joaquín de Roca y Batí le. Por providencia de D&gt; Manuel de la Piara y Fatias» Comisionado Real en la ciudad de</t>
  </si>
  <si>
    <t>Roberto Spencer, Lord</t>
  </si>
  <si>
    <t>Lord Roberto Spencer</t>
  </si>
  <si>
    <t>sobrino, hijo del General Fox; y á sus amigos Lord Holland, el General Fox, el General Fitz-Patrik, Lord Roberto Spencer, Lord Fitz-William &amp;c. dexa parte de sus libros y quadros en testimonio de su carino. La guerra entre Francia y Prusia ha empezado. Las Gazetas de Hamburgo, que llegan hasta el 17</t>
  </si>
  <si>
    <t>Roberto Troiter</t>
  </si>
  <si>
    <t>o, y las galerías estaban ocupadas desde muy temprano. El primer testigo qüé ha comparecido ha sido Mr. Roberto Troiter, hermano de Mr. Alexandro Trotter: duró su examen diez minutos. El segundo ha sido Mr. Antrobus , uno dé los asociados de la casa de Couts y compañía.</t>
  </si>
  <si>
    <t>Roca, Antonio</t>
  </si>
  <si>
    <t>Antonio Roca</t>
  </si>
  <si>
    <t>o Beneficio de la Parroquia de Constan— ti, en la misma Dióceis de Tarragona, vacante por muerte de D. Antonio Roca, á D. Tomas Capellá. El Rey se ha servido conceder en el Regimiento de infantería de Navarra Tenencia al Subteniente D. Juan Colorado, y Subtenencia de bandera al Sargento primero</t>
  </si>
  <si>
    <t>ficio residencial de la Parroquia de Constanti, Diócesi de Tarragona, vacante por fallecimiento de •D. Antonio Roca, y por no haberlo admitido D. Tomas Capella. En América, S. M. se ha dignado promover á Comandante de las quiltro Compañías-de Milicias disciplinadas de infantería de Valparaíso á</t>
  </si>
  <si>
    <t>Roca, Juan</t>
  </si>
  <si>
    <t>Juan Roca</t>
  </si>
  <si>
    <t>ra libertad de determinar sobre ellas.. ESPAÑA.. Madrid 79 de Agosto. S. M. se ha servido nombrar á D. Juan Roca para una Canongía de fa Catedral de Gerona, vacante por talle cimiento de D. Antonio Doria: á D. Vicente Castañer para otra Canongía de la Colegiata de Sra. Ana de Barcelona t vac</t>
  </si>
  <si>
    <t>Rocreuse, Carlos</t>
  </si>
  <si>
    <t>Carlos Rocreuse</t>
  </si>
  <si>
    <t>ente D. Pedro Terrene; y Subtenencias de bandera en el mismo Cuerpo y en el de Toledo á los Cadetes D. Carlos Rocreuse y D. Francisco Armero y Campo* El Rby se ha dignado conferir al Capitán General de su Real Armada D. F rancisco de Borja el Gobierno militar y político de la plaza de Cartagena, vacan</t>
  </si>
  <si>
    <t>Rodney, Almirante</t>
  </si>
  <si>
    <t>Almirante Rodney</t>
  </si>
  <si>
    <t>a 14 de Enero de 1780 un reñido combate (de que salió herido) con la esquadra Inglesa del mando del Almirante Rodney, compuesta de 23 navios; á cuyas superiores fuerzas tuvo que rendirse con 3 de la de su mando, después de haber ordenado una dispersión , que salvó á los demas___Su conducta merec</t>
  </si>
  <si>
    <t>Rodney, General</t>
  </si>
  <si>
    <t>General Rodney</t>
  </si>
  <si>
    <t>contra la qual se hallaba apostada en las Antillas una esquadra de 33 navios Ingleses, al mando del General Rodney , cuyas esperanzas burló D. Josef Solano, tomando sobre sí la extraña resolución de variar la derrota que expresamente se le habia mandado seguir de Real orden , y el éxito feliz</t>
  </si>
  <si>
    <t>Rodrigo Medrano</t>
  </si>
  <si>
    <t>infantería de Guadalaxara al Capitán de granaderos del mismo cuerpo , graduado de Teniente Coronel, D. Rodrigo Medrano. El Rey' se ha dignado promover á Teniente de ía Compañía fixa de artíllelos de guarnición cíe la plaza de Vigo a D. J3yme Sola, Subteniente de la de San Sebastian. Ei Capitán Gen</t>
  </si>
  <si>
    <t>Rodrigo Vallabriga, Francisco</t>
  </si>
  <si>
    <t>Francisco Rodrigo Vallabriga</t>
  </si>
  <si>
    <t>. Juan Nion y Caamaño: Tenencia en el Regimiento de infantería de Jaén al Subteniente de granaderos D. Francisco Rodrigo Vallabriga : Subtenencia de bandera en el mismo Regimiento al Sargen-r to primero de granaderos D. Isidro Truquet; y en el de Aragón al Cadete D. Pedro Perez de Velasco. Igualmente se ha ser</t>
  </si>
  <si>
    <t>Rodrigo Zorrilla y Monroy</t>
  </si>
  <si>
    <t>o de los medios de proporcionarla en su caso, evitando qualquiera retardación; y ha nombrado al Sr. D. Rodrigo Zorrilla y Monroy, Ministro del mismo Supremo Consejo, para presenciar dicha junta; y para verificarla ha señalado el dia 23 del presente mes de Noviembre en su posada, á lac diez en punto de su ma</t>
  </si>
  <si>
    <t>Rodrigo, Tomás</t>
  </si>
  <si>
    <t>Tomás Rodrigo</t>
  </si>
  <si>
    <t>e fusileros D. Fernando de la Serna : á Capitán de fusileros del de Soria al Teniente de granaderos D. Tomas Rodrigo: á Tenientes de granaderos de los de Ciudad-Rodrigo y Santiago á los de fusileros D. Juan Antonio Frade y D. Jacobo Aguiar: á Tenientes de fusileros de los de Ciudad-Rodrigo, Toro</t>
  </si>
  <si>
    <t>Rodrigueé, Carlos</t>
  </si>
  <si>
    <t>Carlos Rodrigueé</t>
  </si>
  <si>
    <t>a deaposehto. Quién quisiere hacer.pbstúra acuda ante dicho Señor por la escribanía dé próvintíá de D. Carlos Rodrigueé^e ¡Moya; advirtiendo que está señalado su reniate para el día dfel presénte á las 12 de su mañana , en la audiencia de su Señoría: s ; ■ -Habiendo fallecido en la Havana á 18 de J</t>
  </si>
  <si>
    <t>Rodríguez Ballesteros, Juan</t>
  </si>
  <si>
    <t>Juan Rodríguez Ballesteros</t>
  </si>
  <si>
    <t>e Chile, asimismo vacante por promoción al expresado Consejo de D. Fernando Márquez de la Plata , á Don Juan Rodríguez Ballesteros *. para la plaza de Oidor de Lima que este dexa al Alcalde del Crimen de ella D. Josef Baquixano : para esta resulta al Oidor de Chile D. Josef de Santiago Concha; y para esta pla</t>
  </si>
  <si>
    <t>Rodríguez Berenguer, Bartolomé</t>
  </si>
  <si>
    <t>Bartolomé Rodríguez Berenguer</t>
  </si>
  <si>
    <t>n la Diócesi de Sevilla, vacante por dimisión de D. Agustín González, se ha servido S. M. nombrar á D. Bartolomé Rodríguez Berenguer, Presbítero de la misma: í D. Fr. Andrés Casaus, Abad del Real Monasterio de Camprodon, para la del de Su. María de RipolU imbas de la Congregación Benedictina claus</t>
  </si>
  <si>
    <t>Rodríguez Bereriguer, Bartolomé</t>
  </si>
  <si>
    <t>Bartolomé Rodríguez Bereriguer</t>
  </si>
  <si>
    <t>a: para la Préstamera de la villa de ViÜalba,'vacante en el Arzobispado de Sevillaipor promoción de*D. Bartolomé Rodríguez Bereriguer al Beneficio de Lebrija en propia Diócesi , á D. Josef Lino Rengel Alinuzara: para el •Beneficio simple de la Parroquial de Arganin en el Obispado.de Zamora, vacante por haber con</t>
  </si>
  <si>
    <t>Rodríguez Conchero, Pedro</t>
  </si>
  <si>
    <t>Pedro Rodríguez Conchero</t>
  </si>
  <si>
    <t>de la Congregación de Polonia, y Abad del Monasterio de Copritmico &amp;c., traducido al castellano por D. Pedro Rodríguez Conchero, Presbítero: un tomo en 8.°, con una lámina fina alusiva á la obra. Se hallará en las librerías de Dávila y Ramos, calle de las Carretas y carrera de S. Gerónimo, en el puesto (ta</t>
  </si>
  <si>
    <t>Rodríguez de Arellano, Vicente</t>
  </si>
  <si>
    <t>Vicente Rodríguez de Arellano</t>
  </si>
  <si>
    <t>4rs. en el despacho de la Imprenta Real. Las tardes de la Granja, traducción libre del francés por D. Vicente Rodríguez de Arellano*. 8 tomos en 8.°, con 31 láminas, y al pie de cada una un epigrama moral alusivo al asunto que representa. En esta obra (cuyo primer objeto es ia mejor educación de los jóvenes) s</t>
  </si>
  <si>
    <t>Rodríguez de Ledesma, Francisco</t>
  </si>
  <si>
    <t>Francisco Rodríguez de Ledesma</t>
  </si>
  <si>
    <t>ren la obra que con el título de Diploma de Ramiro 1 publicó el P. M. F. P. R., escrito por el Lie. D. Francisco Rodríguez de Ledesma, Abogado del Ilustre Colegio de esta Corte, y Diputado general de la provincia de Extremadura. Se hallará en la librería de Sancha, calle del Lobo, y en.la de Carrillo, frente á l</t>
  </si>
  <si>
    <t>Rodríguez de San Juan, Antonio María</t>
  </si>
  <si>
    <t>Antonio María Rodríguez de San Juan</t>
  </si>
  <si>
    <t>iguel Ladrón de Guevara, y de S. Pedro de Arroyo, en la Diócesi de Oviedo, vacante por promoción de D. Antonio María Rodríguez de San Juan al de la villa de la Motilla del Palancar, en el Obispado de Cuenca, á D. Francisco Xavier González; y para el Beneficio simple, titulado Media-Ración, del lugar de Arcediano, en</t>
  </si>
  <si>
    <t>Rodríguez de Toares, Manúel</t>
  </si>
  <si>
    <t>Manúel Rodríguez de Toares</t>
  </si>
  <si>
    <t>aderos D. Valentín Gutierre* y D. Josef Saturio Ovejas; y á Subteniente de bandera en el de Xerez á-D. Manúel Rodríguez de Toares, Cadete del mismo. -■ S. M. se ha servido ¡promover á Teniente Coronel de Artillería al Capítan del propio Real Cuerpo D. Rafael de Valbuena.</t>
  </si>
  <si>
    <t>Rodríguez López Guerrero, Francisco</t>
  </si>
  <si>
    <t>Francisco Rodríguez López Guerrero</t>
  </si>
  <si>
    <t>rtinez, D. Vicente Fernandez de Mesa, D. Francisco de Nava y Rodríguez, D. Antonio Diaz de Herrera, D. Francisco Rodríguez López Guerrero, D. Juan Moro de Flores y Mendez, D. Josef Villavicencio y Rodríguez de Arias, D. Fulgencio Anrich y Gómez,D. Francisco Sirera y Sánchez, D. Josef Ranero y Santelices, D. Lorenzo</t>
  </si>
  <si>
    <t>Rodríguez Pérez, Manuel</t>
  </si>
  <si>
    <t>Manuel Rodríguez Pérez</t>
  </si>
  <si>
    <t>s del exército á los Subtenientes del mismo D. Joaquín Ortiz de Zarate, D. Josef y D. Pedro Aguado, D. Manuel Rodríguez Perez, D. Francisco de Paula Gregorio, D. Tomas Aguirre y Castro, D. Juan Bautista Ponsinch, D. Felipe del Arco Agüero , D. Josef Sánchez Tagle, D. Francisco Xaramillo, D. Dionisio Lópe</t>
  </si>
  <si>
    <t>Rodríguez Sotelo, Manuel</t>
  </si>
  <si>
    <t>Manuel Rodríguez Sotelo</t>
  </si>
  <si>
    <t>que fuéron D. Juan Sánchez Satostegui, D. Miguel González Cárdenas, D. Juan Ignacio Arespacochaga, D. Manuel Rodríguez Sotelo, D. Josef Gutiérrez, D. Juan María Maestre y Maestre, y el Dr. D. Manuel Céspedes. Los tres primeros fuéron examinados de Aritmética, Algebra, Geometría y Trigonometría, y recibié</t>
  </si>
  <si>
    <t>Rodríguez Xaramillo, Sebastián</t>
  </si>
  <si>
    <t>Sebastián Rodríguez Xaramillo</t>
  </si>
  <si>
    <t>ía á Don Josef Xavier de Torres; para la Tesorería de La misma á D. Juan Garcds; para la Cancngía á D. Sebastian Rodríguez Xaramillo, y para la Ración a D. Josef Vergára: para igual Dignidad de Tesorero de la Metropolitana de Guatemala á D. Manuel Angel Toledo: para la Penitenciaría de la Catedral de la Puebla</t>
  </si>
  <si>
    <t>Rodríguez, Antonio</t>
  </si>
  <si>
    <t>Antonio Rodríguez</t>
  </si>
  <si>
    <t>ampa de medio pliego que representa la última escena de la comedia el S£ de las Niñas, díbuxada por D. Antonio Rodríguez, y grabada por su hermano al estilo de tinta de china. Véndese á 6 rs. en las librerías de Castillo, frente á las gradas de S. Felipe, y de Barco, carrera de S. Gerónimo. ~ EN LA</t>
  </si>
  <si>
    <t>Rodríguez, Antonio María</t>
  </si>
  <si>
    <t>Antonio María Rodríguez</t>
  </si>
  <si>
    <t>de la Motilla del Palancar, en el Obispado dé Cuenca , vacante por muerte de D. Bartolomé Ramos, á D. Antonio María Rodríguez defS. Juan: para otro igual de la Parroquia de S. Andrés de la ciudad de Murcia , vacante por promoción de D. Josef de Guevara Vasconcelos á Canongía de la Catedral de Zaragoza, á D.</t>
  </si>
  <si>
    <t>Rodríguez, Francisco</t>
  </si>
  <si>
    <t>Francisco Rodríguez</t>
  </si>
  <si>
    <t>sileros D. Pedro de la Torre y D. Vicente Llopiz; á Capitanes Jos Tenientes D. Josef María Ramírez, D. Francisco Rodríguez, D. Josef Guiordanengo, D. Bernardo Zeno y D. Francisco Fernandez; los tres primeros de granaderos ; á Tenientes de granaderos los de fusileros D- Francisco Díaz, D. Miguel August</t>
  </si>
  <si>
    <t>ontra la obra intitulada Diploma de Ramiro i, y puede servir de apéndice *, su autor, el Licenciado D. Francisco Rodríguez, Abogado del Ilustre Colegio de esta Corte, y Diputado general de la provincia de Extremadura. Se vende, con el referido Discurso, en la librería de Sancha, calle del Lobo, y en l</t>
  </si>
  <si>
    <t>Rodríguez, Juan</t>
  </si>
  <si>
    <t>Juan Rodríguez</t>
  </si>
  <si>
    <t>ranaderos al de fusileros D. Luis García de Aguirre ; y á Subtenientes de Compañía á lós de Bandera D. Juan Rodríguez, D. Miguel</t>
  </si>
  <si>
    <t>Rodríguez, Julián</t>
  </si>
  <si>
    <t>Julián Rodríguez</t>
  </si>
  <si>
    <t>barro, que con arreglo á las teorías del Conde de Rumford ha establecido y hecho fabricar en Madrid D. Julián Rodríguez, Arquitecto al servicio de S. M., en las quales resulta un ahorro de carbón de tres quintas partes del que ahora se consume, ofrece el premio de 400 rs. al alfarero, ú otro person</t>
  </si>
  <si>
    <t>Rodríguez, Julián Antonio</t>
  </si>
  <si>
    <t>Julián Antonio Rodríguez</t>
  </si>
  <si>
    <t>ión, de dos cocinas económicas, aplicadas á los usos que hay en España de componer las comidas, por D. Julián Antonio Rodriguez. Es un libro en 4.0, con dos láminas, y se hallará en las. librerías de Gómez Fuentenebro, calle de las Carretas, y de Orea, calle de la Montera , á 17 rs. en rústica y 20 en past</t>
  </si>
  <si>
    <t>y aumentados con notas, que contienen todas las fórmulas del movimiento, fuerzas centrales &amp;c., por Don Julián Antonio Rodríguez. Siendo bien conocido en España el distinguido mérito del autor de esta obra, será excusado todo quinto se pueda decir en elogio de ella: 4 tomos en 4.0 Se hallarán en la librería</t>
  </si>
  <si>
    <t>Rodríguez, Manuel</t>
  </si>
  <si>
    <t>Manuel Rodríguez</t>
  </si>
  <si>
    <t>Barcelona y de Galicia. Se hallarán en las librerías de Escribano y de Esparza, y en casa del autor D. Manuel Rodríguez, calle de la Montera, núm. 28; los que se darán por tomos sueltos y las estampas para mayor comodidad del público. En el almacén de papel y librería de Ortega, calle de las Carret</t>
  </si>
  <si>
    <t>Rodríguez, Miguel</t>
  </si>
  <si>
    <t>Miguel Rodríguez</t>
  </si>
  <si>
    <t>de Sfa. María de Alcázar y S. Andrés de la ciudad de Baeza, Diócesi de Jaén, vacantes per muerte de D. Miguel Rodríguez y D. Antonio Joaquín de los Reyes, á D. Josef Pereyra y á D. Francisco Pefiche: para otra en la misma Colegial, vacante por promoción de D. Ma-* nuel Guarnan y Texera á la Dignidad de</t>
  </si>
  <si>
    <t>Rodríguez, Pedro</t>
  </si>
  <si>
    <t>Pedro Rodríguez</t>
  </si>
  <si>
    <t>habiendo sido siempre muy estimad^,,de nuestros mejores políticos, y singularmente del Ilpigi. Sr. D. Pedro Rodríguez,Campománés: 3.a edición: un tomo en 4.0 Sé hallará en la librería de Castillo, frente á S. Felipe el Real. Notjicia de la educación ilustrada., que cpn precisión de dar instruidos</t>
  </si>
  <si>
    <t>Rodríguez, Pedro Vicente</t>
  </si>
  <si>
    <t>Pedro Vicente Rodríguez</t>
  </si>
  <si>
    <t>ado el mayor esmero, consta dé 157 estampas, grabadas por D. Manuel Albuerne, I&gt;. Antonio Vázquez y D. Pedro Vicente Rodríguez. Se compone de g tomos, los quales en adelante no se darán sino por juegos, por cuya razón se venderán á 180 rs. cada uno; pero si alguno quisiere tomar*en cantidad, se le hará un</t>
  </si>
  <si>
    <t>Rodríguez, Victoriano</t>
  </si>
  <si>
    <t>Victoriano Rodríguez</t>
  </si>
  <si>
    <t>cos aériformes: D. Juan Antonio Pradas,5 de las afinidades: D. Mariano Calvete, de la electricidad: D. Victoriano Rodriguez, del gas hidrógeno: D. Sebastian Puertas, de los seres simples: p. Manuel Gascón, de los metales: D. Juan Josef Atorrasagasti, de la formación y naturaleza de las substancias anim</t>
  </si>
  <si>
    <t>Roig, Manuel</t>
  </si>
  <si>
    <t>Manuel Roig</t>
  </si>
  <si>
    <t>Matías Arrate, Salmista de la Colegial de la Santísima Trinidad del Real Sitio de S. Ildefonso; y á D. Manuel Roig para un Beneficio residencial de la Parroquia de Constanti, Diócesi de Tarragona, vacante por fallecimiento de •D. Antonio Roca, y por no haberlo admitido D. Tomas Capella. En Amé</t>
  </si>
  <si>
    <t>Roldan y Baena, Juan</t>
  </si>
  <si>
    <t>Juan Roldan y Baena</t>
  </si>
  <si>
    <t>illo, Málaga y Orense á los Subtenientes D. Francisco Valdiosa de la Cerda, D. Mariano de Cárdenas, D. Juan Roldan y Baena y D. Manuel de la Sierra. Atendiendo el Rey á los servicios ir méritos del Comisario de Guerra</t>
  </si>
  <si>
    <t>RomántzofF, Conde</t>
  </si>
  <si>
    <t>Conde RomántzofF</t>
  </si>
  <si>
    <t>el Conde Basiliéff; substituto, el Con* sejero privado GoloubzofF. 6.® Un Ministro del Comercio, el Conde RomántzofF. 7.0 Un Ministro de las fuerzas de tierra, el General de infantería Voesmitinoff. 3. ° El Ministro de la Marina no está nombrado todavía; despacha interinamente el ,Vice-Aímirante</t>
  </si>
  <si>
    <t>Romero de Leis, Fernando</t>
  </si>
  <si>
    <t>Fernando Romero de Leis</t>
  </si>
  <si>
    <t>de los bienes y rentas de los Marqueses de Salas, se manda que D. Josef Septien, D. Miguel Llaguno, D. Fernando Romero de Leis, en unión de D. Francisco Sánchez Ruiz, D. Juan Antonio Yudicí, D. Ignacio Barrencchea, D. Francisco Arispfc* y qualquier otro de la villa de Bilbao que tengan créditos contra dic</t>
  </si>
  <si>
    <t>Romero, Alonso</t>
  </si>
  <si>
    <t>Alonso Romero</t>
  </si>
  <si>
    <t>e Chota y Quispicanchi, en el Reyno del Perú, áD. Josef Matías Cabrera, D. Pedro Antonio Echegoyen, D. Alonso Romero y D. Ildefonso Santos; y á igual empleo en el de caballería de disciplinadas de Nasca á D.Tomas de Arias, todos Tenientes Coroneles de los mismos Cuerpos. El dia 16 de Enero próximo p</t>
  </si>
  <si>
    <t>Romero, Domingo</t>
  </si>
  <si>
    <t>Domingo Romero</t>
  </si>
  <si>
    <t>s exámenes públicos de los niños que acuden á la escuela de primeras letras, al cargo de su Maestro D. Domingo Romero, que la sirve de 5 meses á esta parte según el método y ordenanzas de las Reales escuelas de la Corte. Asistiéron á este acto importante el ilustre Ayuntamiento,Clero secular con</t>
  </si>
  <si>
    <t>Romo y Gamboa, Francisco</t>
  </si>
  <si>
    <t>Francisco Romo y Gamboa</t>
  </si>
  <si>
    <t>Tejada, D. Domingo de la Iglesia, D. Juan Oromi,D. Antonio Ibarrola, D. Lorenzo Medrano y Treviño, D. Francisco Romo y Gamboa y D. Andrés Rodríguez. S. M. se ha servido nombrar para el Corregimiento de Letras de la ciudad de Barbastro á D. Andrés Santolaria; y para la Vara de Alcalde mayor de la ciudad de S.</t>
  </si>
  <si>
    <t>Roque Fernández</t>
  </si>
  <si>
    <t>4, 76, 50 y 25; y con ellos han ganado los jugadores 1.034,728 rs, . : Movido el zelo patriótico de D. Roque Fernandez, vecino de la ciudad de Badajoz, y deseoso de contribuir por su parte en las actuales circunstancias al aumento del exército, ha hecho la oferta al Rey nuestro Señor, por medio de</t>
  </si>
  <si>
    <t>Roque Garralon</t>
  </si>
  <si>
    <t>emple; el empleo de Capitán segundo al segundo Ayudante D. Gerónimo Serra; esta vacante al Teniente D. Roque Garralon; la Tenencia que este dexa al Subteniente D. Francisco Montrós, y la Subtenencia de bandera al Cadete D. Francisco Delgado. En el Regimiento de caballería de la Reyna se ha servid</t>
  </si>
  <si>
    <t>Roque Parrada</t>
  </si>
  <si>
    <t>-loSf Antonio Ruano; 1 Supernumerario al Brigadier D. Roque Parrada ; á Brigadier al Subrigadier D. Manuel Mozota; á Siibrigadier al Cadete D. Manuel Coll; á Cadete de número al Supernumerario D. Gaspar Morales; y á Supernumerario al Guardia D. Ju</t>
  </si>
  <si>
    <t>Roquer, Francisco</t>
  </si>
  <si>
    <t>Francisco Roquer</t>
  </si>
  <si>
    <t>art: para un Beneficio de la Parroquia de Cardedeu, Diócesi de Barcelona , vacante por promoción de D. Francisco Roquer al Curato de Valcarcara en aquella Diócesi, á D. Melchor Ferran; y para un Beneficio de la Parroquial de Santiago de la ciudad de Zaragoza á D. Josef Aparicio de Verge. S. M. se h</t>
  </si>
  <si>
    <t>Ros y Bordas, Pablo</t>
  </si>
  <si>
    <t>Pablo Ros y Bordas</t>
  </si>
  <si>
    <t>e la Colegiata de S. Feliu de la ciudad de Gerona, vacante por fallecimiento de D. Juan Cormari': á D. Pablo Ros y Bordas para un Beneficio vacante en la Capilla del vecindario de Estertieh de la villa de Torruella de Montgri, Obispado de Gerona, por muerte de D. Francisco Gller: á D. Carlos Figuewla</t>
  </si>
  <si>
    <t>Ros, Antonio</t>
  </si>
  <si>
    <t>Antonio Ros</t>
  </si>
  <si>
    <t>a para una Canongía de la Colegial de Ager, nullius Diócesis, en Cataluña, vacante por promoción de D. Antonio Ros al Arciprestazgo de la misma Iglesia. En América, En el Batallón de Milicias disciplinadas de Españoles de Lima se ha servido, el Rey promover á Capitán ai Teniente D. Antonio Dal</t>
  </si>
  <si>
    <t>Rosa de Gálvez, María</t>
  </si>
  <si>
    <t>María Rosa de Gálvez</t>
  </si>
  <si>
    <t>n la librería de Alonso, frente á las grqdas.de S. Felipe. Oda en elogio de la Marina Española, por Doña María Rosa de Gálvez. Se hallará á 2 rs. en la librería de Fueniencbro'y coiqpañía, calle de las Carretas, y *n la de Orea, calle de Ja Montera. EN LA IAÍPRENTA REALÍ</t>
  </si>
  <si>
    <t>s Carretas, y en la de Orea, frente á S. Luis, á 24 rs. en pasta y 20 en rústica. Obras poéticas de Doña María Rosa de Gálvez, divididas en 3 tomos en* 8.° íñayor, que contienen varias poesías líricas5 Bion, ópera lírica; el Egoísta, y los Figurones literarios, comedias: originales; Saúl, escena trágica</t>
  </si>
  <si>
    <t>Rosa de Galvez, María</t>
  </si>
  <si>
    <t>María Rosa de Galvez</t>
  </si>
  <si>
    <t>s marinos' Españoles, por D. Manuel Josef Quintana ; de la oda en elogio do la.marina Española, por Dona María Rosa de Galvez; extracto de las comedias intituladas el Sombrero que habla, el Molino de Ktber y aventuras de Tekely, y la muerte de Tipoo-Saib; una óda al combatís naval; noticia déla muerte de</t>
  </si>
  <si>
    <t>Rosa María López</t>
  </si>
  <si>
    <t>del Real Cuerpo de Artillería de Marina, que falleció, en 18 de Julio de 1787, hijo de Domingo y de Doña Rosa María López, natural de esta Corte, para que comparezcan ante dicho Señor y escribanía con justificación bastante que así lo acredíte, para aplicar al legítimo heredero cierto haber que le pe</t>
  </si>
  <si>
    <t>Rosario Petralla</t>
  </si>
  <si>
    <t>roquia de Pilas, Diócesi de Sevilla, vacante por fallecimiento de D. Cándido* María de Trigueros, á D. Rosario Petralla: para la Media-Ración de la Catedral de Sigiienza, vacante por muerte de D. Patricio López Blanco, á D. Antonio García, Cura de Garvajosa y su anexo Aguliar en la misma Diócesi: p</t>
  </si>
  <si>
    <t>Rose</t>
  </si>
  <si>
    <t>ble Lord sea condenado, horas absuelto;,: puede ser el-objeto de un examen despUes de la sentencia. Mr. Rose opinó por ¡el juicio en la barra___ Mr. Whitbread dixo que lo que pedia erada publicidad que conviene se dé á semejantes causas; y quisiera» si posible fuese,que .toda la nación a</t>
  </si>
  <si>
    <t>ntos mas importantes sobre este particular y las cuentas atrasadas debían examinarse en Inglaterra. Mr. Rose dixo que los Ministros no pensaban mas que en aumentar sus clientes, creando empleos sin cargos, y les acusó de inexperiencia y de irresolución. Lord. Holwick se justificó de lo$</t>
  </si>
  <si>
    <t>tó en la Cámara de los Comunes del bilí acerca del comer,ció entre las colonias Inglesas y América. Mr. Rose habló contra el bilí: dixo que el comercio Ingles podía proveer á las necesidades de las colotjnias,, con tal que se convoyasen sus embarcaciones; que desde la conclusión. de la.g</t>
  </si>
  <si>
    <t>Roseliy, Pedro</t>
  </si>
  <si>
    <t>Pedro Roseliy</t>
  </si>
  <si>
    <t>Irlanda, graduado de Coronel, D. Pedro O-Daly: en el de America Ayudantía al Teniente de granaderos D. Pedro Roseliy; y en el de Voluntarios de Estado Subtenencia de bandera ai Sargento primero D. Francisco Val verde. - En América. El Rey se ha servido promover d D. Nicolás Viuda del Pino, Obisp</t>
  </si>
  <si>
    <t>Rosselyh, Lord</t>
  </si>
  <si>
    <t>Lord Rosselyh</t>
  </si>
  <si>
    <t>un partido fnuy considerable. Lord S. Vicente ha vuelto á tomar el mando de la esquadra del Cana}.' Lord Rosselyh, uno de los Comisarios que fuéron con este Almirante •£ Portugal, há vuelto á Inglaterra. Se han recibido noticias de la esquadra que manda Sir.J. Warren, que lia entrado en la ba</t>
  </si>
  <si>
    <t>Roth, Juan Miguel</t>
  </si>
  <si>
    <t>Juan Miguel Roth</t>
  </si>
  <si>
    <t>eb Tenencia de granaderos al de fusileros D. Juan Reuthy: esta resulta al Subteniente de granaderos D. Juan Miguel Roth: Subtenencia de granaderos al de fusileros D. Cristóbal Krucker; y Subtenencia de bandera al Cadete D. Cristóbal Tiill. En el de Traxler, Tenencia al Subteniente de granaderos D.</t>
  </si>
  <si>
    <t>Rouille</t>
  </si>
  <si>
    <t>Cardenal Arzobispo de París, el Corregidor Dupon t, él General Nogues, el Presidente del Tribunado, Mr. Rouille de fEtang, Mr. Arnoud, miembro del Tribunado , Mr. de la Sallette. En junta del día io adoptó el Tribunado la’proposición de Mr. JardPanvillers de salir el Tribunado en cuerpo á reci</t>
  </si>
  <si>
    <t>Roussier</t>
  </si>
  <si>
    <t>scal Soult son nuevos conscriptos, y que mucha parte de ellos no están aún vestidos de soldados.,-*^Mr. Roussier, Teniente. Coronel Francés del Cuerpo de Ingenieros, que: principió hace 10 meses á fortificar suficientemente a Augsburgo para ponerla á cubierto de una sorpresa, permanece en .</t>
  </si>
  <si>
    <t>Roux</t>
  </si>
  <si>
    <t>tirán hasta el tiempo señalado en el asunto primero, y todas se dirigirán francas de porte á León á Mr. Roux, Secretario perpetuo, ó á qualquier otro individuo de la Academia. .</t>
  </si>
  <si>
    <t>Rovira, Luis</t>
  </si>
  <si>
    <t>Luis Rovira</t>
  </si>
  <si>
    <t>ción, que concurriéron con este motivo á cumplimentar á SS. MM. y AA. S. M. se ha servido nombrar á D. Luis Rovira para una Canongía de la Colegiata de S. Feliu de la ciudad de Gerona, vacante por fallecimiento de D. Juan Cormari': á D. Pablo Ros y Bordas para un Beneficio vacante en la Capill</t>
  </si>
  <si>
    <t>Roxo de Flores, Felipe</t>
  </si>
  <si>
    <t>Felipe Roxo de Flores</t>
  </si>
  <si>
    <t>ue precede sobre la grandeza del Imperio Romano, y modelosdignos de imitación que propone su aiitor D. Felipe Roxo de Flores, Auditor"de Guerra'jubilado con sueldo por S. M., Fiscal del Juzgado privativo del Real Cuerpo de Ingenieros en el departamento de Zamora: un tomo en 8.°, dedicado al Sr. Generalí</t>
  </si>
  <si>
    <t>Roxo Redondo, Ángel</t>
  </si>
  <si>
    <t>Ángel Roxo Redondo</t>
  </si>
  <si>
    <t>Iglesia : para la Ración vacante en la Catedral de Palencia, por muerte de D. Feliciano Martínez, á D. Angel Roxo Redondo, Presbítero; y á D. Antonio pereña para otra</t>
  </si>
  <si>
    <t>Roxo, Pedro</t>
  </si>
  <si>
    <t>Pedro Roxo</t>
  </si>
  <si>
    <t>Capellanía Real de la Catedral de Canaria, vacante por fallecimiento de D. Antonio de la Sierra, á D. Pedro Roxo: para una Capellanía de numero de la Catedral de Patencia, vacante por muerte de D. Francisco González, á D. Vicente Hernández Parra: para la Préstamera de la villa de ViÜalba,'va</t>
  </si>
  <si>
    <t>Ruano, Antonio</t>
  </si>
  <si>
    <t>Antonio Ruano</t>
  </si>
  <si>
    <t>y Casa de S. M.; y el Excmo. Sr. Capitán de Guardias de Corps, Conde de Villariezo, llamó al Exento D. Antonio Ruano, que estaba de guardia á S. A., para que acompañase el Real cadáver , que se iba á poner de cuerpo presente, como se verificó por dichas personas desde la Cámara hasta la entrada</t>
  </si>
  <si>
    <t>, Comandante del Esquadron destinado á esta servidumbre, y juntamente el.dicho ¡¡Exento de guardia. D. Antonio Ruano, mandó el ExceJentísiff\0 Señor Duque la remoción del Real cadáver, y los Señores Mayordomos de Semana Marques de Campo de Villar, Marques de Casata*bares, D. Fernando Queypo de L</t>
  </si>
  <si>
    <t>xcelentísimo Sr. Conde de Bornos, y los Sres. Marques de Fontanar y Marques de Sotomayor, el Exento D. Antonio Ruano y el limo. Sr. Notario. Las Excmas. Sras. Camarera mayor y Dama se sentáron in mediatas al lado derecho de la cabecera de la caxa sobre almohadas de terciopelo morado, puestas á la es</t>
  </si>
  <si>
    <t>misma le viéron el Sr. Duque, el Sr. Obispo, la Sra. Camarera, el Sr. Alcalde de Corte, y el Exento D. Antonio Ruano. También le vio el limo. Sr. Notario; y asegurados todos de esta verdad, y hallándose presentes abacto los dichos Padres deputados de la. Comunidad , se dio el P. Prior por entreg</t>
  </si>
  <si>
    <t>Rubiano, Manuel</t>
  </si>
  <si>
    <t>Manuel Rubiano</t>
  </si>
  <si>
    <t>Doña Catalina Germán y Húgalde. En Murcia............ Sres. Moreda y Ladalid. En Oviedo.......... . D. Manuel Rubiano. En Pálénciú.......... Viuda deD. Nicolas Cálonge é hijo twayOr. En Palma..... ........ D. Martiii Mayol. En Pamplona.*..... ;Srés. víudade Batbería^éhijo. En Salamanca..... Sres.</t>
  </si>
  <si>
    <t>ña Catalina Germán y Hugalde. En Murcia............ Sres. Moreda y Ladalid. En Oviedo.............. D. Manuel Rubiano. En Patencia.......... Viuda de D. Nicolás Calonge é hijo mayor. En Palma............. D. Martin Mayol. En Pamplona___ Sres. viuda de Barbería é hijo. En Salamanca...... Sres. Urr</t>
  </si>
  <si>
    <t>Rubicí, Andrés</t>
  </si>
  <si>
    <t>Andrés Rubicí</t>
  </si>
  <si>
    <t>Doña María Angel Pau, vecinos de ella; instituyendo por herederos á sus dos hermanos D. Nicolás. y D. Andrés Rubicí; y hallándose depositado en caxa el líquido de 361 ó pesos fuertes , correspondientes á la expresada testamentaría, se hace notorio-, á fin de que llegando á noticia de los expres</t>
  </si>
  <si>
    <t>Rubio, Diego</t>
  </si>
  <si>
    <t>Diego Rubio</t>
  </si>
  <si>
    <t>tangos y Santiago á los Subtenientes D. Aparicio Corbalan, D. Diego Rubio y D. Andrés de Castro, y al Teniente D. Pedro Verea Aguiar y Mosquera; de Subteniente de granaderos en el de Ciudad-Rodrigo al de fusileros D. Fermín Ramírez Pizarro; y de Subteniente</t>
  </si>
  <si>
    <t>Rucbel, General</t>
  </si>
  <si>
    <t>General Rucbel</t>
  </si>
  <si>
    <t>oge. : r^ : *-,:: ' 'Hann&amp;úer 21 de Setiembre. Sé ha transferido á Mulhaüsén el quartel general del General Rucbel. Ya no pasará por aquí el cuerpo de exército del General Kalkreuth; ha. •recibido orden de ir á otro destino. Lá fortaleza de Hatóeln está bien provista para 3 meses. \ ; • : .AUS</t>
  </si>
  <si>
    <t>Ruchel, General</t>
  </si>
  <si>
    <t>General Ruchel</t>
  </si>
  <si>
    <t>gan sus fuerzas, para dar algunos pasos de paz sin comprometer el honor de su Corona, ha enviado al General Ruchel con pliegos para S. M. el Rey de Suecia. Esta noticia, que es muy verosímil atendido el carácter personal del Rey de Prusia, puede hacernos esperar que S. M. Sueca llegará al cabo</t>
  </si>
  <si>
    <t>72 años de edad, ha terminado su gloriosa carrera con las armas en la mano. También quedó muerto el General Ruchel. El Príncipe Henrique de Prusia, hermano del Rey, está herido de peligro. La Reyna se refugió primero á Weymar, de donde salió á pocos instantes, huyendo con precipitación por un</t>
  </si>
  <si>
    <t>as de 2©$ muertos ó heridos. El FeldMariscal Moellendortif salió herido; el Duque de Brunswick y el General Ruchel fueron muertos, y el Príncipe Henrique de Prusia gravemente herido. Según dicen los prisioneros, los desertores y los parlamentarios, el desorden y la consternación son muy grande</t>
  </si>
  <si>
    <t>usia. El estado del exército Prusiano al principio de la campaña era el siguiente : la división del General Ruchel, llamada de Westfalia, constaba de 33 batallones de infantería, 4 compañías de cazadores, 45 esquadrones de caballería, un batallón de artillería, 8 baterías Prusianas y 8 Saxonas</t>
  </si>
  <si>
    <t>Rudhél, Teniente General</t>
  </si>
  <si>
    <t>Teniente General Rudhél</t>
  </si>
  <si>
    <t>ia, de Austria y de Galiitzia &amp;c.” ALEMANIA. Hannóver 2 de Setiembre. Antes de ayer regresó aquí el Teniente General Rudhél de vuelta de Brunswick. Diariamente pasan tropas y artillería por esta ciudad con dilección á los alrededores de Gottínga. Sabemos que los dragones ligeros Suecos que. entráron la se</t>
  </si>
  <si>
    <t>Ruffín</t>
  </si>
  <si>
    <t>os. Escriben de Constantinopla que el Reis-Effendi ha convidado al Encargado de Negocios de Francia Mr. Ruffín á una conferencia, en la que debe concluirse el reglamento de Aduanas para las mercancías de su nación. Los dos negociadores se han convenido provisionalmente en que ei derecho de</t>
  </si>
  <si>
    <t>Ruffin</t>
  </si>
  <si>
    <t>Constantinopia jo de Febrero de i8o&lt;T. En una audiencia que tuvo del Reis-Eífendi el 24 del pasado Mr. Ruffin, Encargado de Negocios de S. M. el Emperador Napoleón, presentó la copia del tratado de Presburgo, y adjuntas iban algunas notas relativas á</t>
  </si>
  <si>
    <t>Reyde Persia,. No se tenían noticias uqTáóoliaDia^ dé su paradero, y ya se le creía muerto, quando Mr. Ruffin, ‘ Encangado dé Negocios de Francia, ha recibido uná carta suya^en. la qq|l í¿ refiéri? las vexaci.ones y trabajos que * ha sufrido durante su enpierro de 8 meses siii ver la luz</t>
  </si>
  <si>
    <t>bían ya regresado parte de las tropas de Corfú al mar Negro y á la Crimea. Ha llegado aquí de Paris Mr. Ruffin, Canciller del Consulado de Fran—</t>
  </si>
  <si>
    <t>si alguno de ellos contraviniere será tratado como sonsacador y sobornador.. Francfort jo de Julio. Mr. Ruffin, correo de Gabinete Francés, pasó dos dias hace por aquí con dirección á Petersburgo. Dicen que pasado mañana vendrá el Mariscal Augereau á notificar á nuestro Senado el documento</t>
  </si>
  <si>
    <t>aciones cuyos negociadores ignoran si tienen poderes suficientes con la cláusula de sub spe rati, ,,Mr. Ruffin,^Canciller del Consulado de Francia en Rusia, llegó el 3 de Petersbüí go, trayendo la noticia de que por efecto de una mudanza de Ministerio, y de resultas de los nuevos principio</t>
  </si>
  <si>
    <t>Ruffo, Cardenal</t>
  </si>
  <si>
    <t>Cardenal Ruffo</t>
  </si>
  <si>
    <t>de Enero dirigiéndose por Álbano, Tíyoli y Veletri. ITALIA* Roma 21 de Enero. $. $. ha recibido al Cardenal Ruffo como miembro del Sacro Colegio# y ha rehusado reconocer en su'persona el carácter de Enviado de la Corte de Nápoles. El Mariscal Massena llegó á Spoleto el 17 del corriente, y al</t>
  </si>
  <si>
    <t>stán, cruzando eu las inmediaciones deaquel puerto. Escriben también que había llegado á Trieste el Cardenal Ruffo con una comitiva numerosa ; venia; de Layba.chy estaba en ánimo de embarcarse para la Sicilia. Nuestro Ministerio ha dirigido una Nota á Mr. de Rasoumowsky solicitando la evacuaci</t>
  </si>
  <si>
    <t>Ruflin</t>
  </si>
  <si>
    <t>me Puerta vecina del Emperador de los Franceses, Rey de Italia___Después de esta audiencia comunicó Mr. Ruflin dicho tratado á todos los Ministros extrangeros residentes en esta capital. El Gran Señor ha conferido el mando en gefe del exército destinado á sojuzgar los Servios á Jussuf-Baxá</t>
  </si>
  <si>
    <t>Rufo, Cardenal</t>
  </si>
  <si>
    <t>Cardenal Rufo</t>
  </si>
  <si>
    <t>to á la Potencia que es naturalmente la protectora y la garante de su reposo y de su felicidad.” El Cardenal Rufo se halla de unos dias á esta parte en Ginebra. Se dice que está encargado de una comisión cerca del Emperador Napoleón, y que debe esperar en aquella dudad las órdenes de S. M. I.</t>
  </si>
  <si>
    <t>RuíFo, Cardenal</t>
  </si>
  <si>
    <t>Cardenal RuíFo</t>
  </si>
  <si>
    <t>s de manufactura Inglesa. Según las cartas particulares de Lucerna se esperaba en aquella ciudad al Cardenal RuíFo; se varía mucho sobre los motivos de su venida. FRANCIA. París 21 de Febrero. Los individuos de la Secretaría de las Longitudes tuviéron el honor de tresentar á S. M. el Emperador</t>
  </si>
  <si>
    <t>Ruífo, Cardenal</t>
  </si>
  <si>
    <t>Cardenal Ruífo</t>
  </si>
  <si>
    <t>ocuparse única y exclusivamente en los negocios del Gobierno.---- Esperamos de un día para otro al Cardenal Ruífo.___Ya han llegado aquí todos los Agentes diplomáticos Austríacos, y entre ellos los Condes Federico de Stadion y de Metternich. Desde i.° de este mes se halla aquí el Barón de Húg</t>
  </si>
  <si>
    <t>Ruiz de Llarena, Juan</t>
  </si>
  <si>
    <t>Juan Ruiz de Llarena</t>
  </si>
  <si>
    <t>a del Castillo de la villa de Alburquerque en la Diócesi de* Badajoz , vacante por fallecimiento de D. Juan Ruiz de Llarena, y para el Beneficio simple de Autilla del Pino en la de Patencia, vacante por muerte de D. Feliciano Martínez, á D. Froylan Mendez de Vigor para una Canongía de la Catedral de Vi</t>
  </si>
  <si>
    <t>Ruiz de Mendoza, Juan Antonio</t>
  </si>
  <si>
    <t>Juan Antonio Ruiz de Mendoza</t>
  </si>
  <si>
    <t>e la Colegial de Baza, en la Diócesi de Guadix, vacante por fallecimiento de D. Esteban SerraboBa,á D. Juan Antonio Ruiz de Mendoza: para la Prestamera menor de la Parroquia de Sta. María de la villa de Moya, en la Diócesi de Cuenca, vacante por muerte de D. Martin López Huerta, á Don Froylan Mendez deVigo,con</t>
  </si>
  <si>
    <t>Ruiz González, Gabriel</t>
  </si>
  <si>
    <t>Gabriel Ruiz González</t>
  </si>
  <si>
    <t>igualmente servidero, vacante por muerte de D. Blas GarcíaGarei-Sanchez , á D'. Gabriel Ruiz González, Presbítero; y para el Beneficio simple de Ontoria de Valdearados, en la Diócesi de Osma, Prestamera de Ribatejada en la de Cuenca, y Préstamo de S. Martin dé Villaximeno, en el Arzobispado d</t>
  </si>
  <si>
    <t>Ruiz Jurado, Miguel</t>
  </si>
  <si>
    <t>Miguel Ruiz Jurado</t>
  </si>
  <si>
    <t>ileros D. Josef María de Homar *. Tenencia de fusileros en el de Ecija al Subteniente de granaderos D. Miguel Ruiz Jurado : Subtenencias de granaderos en los de Soria y Córdoba á los de fusileros D. Miguel Velazquez y D. Josef Padilla; y Subtenencias de bandera en los de León y Badajoz á D. Tomas Rey</t>
  </si>
  <si>
    <t>Ruiz Mateos, Lorenzo</t>
  </si>
  <si>
    <t>Lorenzo Ruiz Mateos</t>
  </si>
  <si>
    <t>-» dallas fuéroñ p. Fulgéncio Bobílá, D. Francisco Irigóyen, D. Luis Potestá ,, D. Nicasio* Zamora, D. Lorenzo Ruiz Mateos, D. Santiago Mordelía, D. Jfosef-Cálvi, D. Ántoniq "EHzaldé, D. Benigno Risueño, D. Baltasar B,alagqervljL josef FernandezsRanes, D, Diego Mosquera, D. Ezequiel £ai?e&gt;y;¿p.Antótuo</t>
  </si>
  <si>
    <t>Ruiz Ximenez, Manuel</t>
  </si>
  <si>
    <t>Manuel Ruiz Ximenez</t>
  </si>
  <si>
    <t>quisieren*nacer pretensión podrán dirigir sus memoriales á p,. Joaquiq. Francisco Ruiz de Bucesta y D. Manuel Ruiz Ximenez, vecinos de dicfi^ villa, y~cómisibftad&amp;^p8r lá^iirisma/para su reéibp. y '!l *"1' . —:!n y F : s*iníA -O * i.-}¡ • i*--li A \ ..r;; * ■ 1 u.. :.2 *u :.h -»-* oh. jí íi ~ Institíf</t>
  </si>
  <si>
    <t>Ruiz, Antonio</t>
  </si>
  <si>
    <t>Antonio Ruiz</t>
  </si>
  <si>
    <t>tán D, Josef Ruiz de Líory , Teniente del del Príncipe ; Tenencias á los Subtenientes de granaderos D, Antonio Ruiz, graduado de Teniente , y D. Pablo Andeyr©; y Subtenencias de bandera á ios Cadetes D. Josef Madera y D. Juan Muñoz, este del de Saboya, También ha conferido S, M, el empleo de Ca</t>
  </si>
  <si>
    <t>Ruiz, Domingo</t>
  </si>
  <si>
    <t>Domingo Ruiz</t>
  </si>
  <si>
    <t>enientes de fusileros á los Subtenientes D. Laureano Oyarzun, D. Mateo Ruiz, D. Virginio Hernández, D. Domingo Ruiz y D. Justo de Cárdenas : en el Fsquadron de caballería de disciplinadas también de Castro en el mismo Reyno á Comandante al Capitán D. Narciso García, á Teniente al Subteniente D. San</t>
  </si>
  <si>
    <t>Ruiz, Francisco</t>
  </si>
  <si>
    <t>Francisco Ruiz</t>
  </si>
  <si>
    <t>ido el Rey promover á Comandante de esquadron al Capitán D. Sebastian Ribero; á Capitán al Teniente D. Francisco Ruiz; á Teniente al Alférez D. Pedro Bausá^á Alférez al Portaestandarte D. Estanislao Rodríguez, y á Portaestandarte al Cadete D. Adrián Medina. Observación del eclipse de Sol el dia 1</t>
  </si>
  <si>
    <t>Ruiz, Lorenzo</t>
  </si>
  <si>
    <t>Lorenzo Ruiz</t>
  </si>
  <si>
    <t>on, Diócesi de Zaragoza, á D. Ramón García: para otro Beneficio Diaeoniide la Catedral de Tortosa á D. Lorenzo Ruiz; y para el Ofició regular de Limosnero cfel Real Monasterio de S. Pedro de Galiigans á D. Fr. Salvador de Ciurana y Ros. En América. En el Batallón de Milicias disciplinadas de Ca</t>
  </si>
  <si>
    <t>Ruiz, Manuel</t>
  </si>
  <si>
    <t>Manuel Ruiz</t>
  </si>
  <si>
    <t>ido conferir en el Regimiento de infantería de la Revisa Compañía al Ayudante, graduado de Capitán, D. Manuel Ruiz; y "en el de Africa Subtenencia de bandera al Cadete D. Diego Metía y Aramia. En el Real Cuerpo de Artillería se ha servido S. M. promover á Teniente al Subteniente D. Ignacio de</t>
  </si>
  <si>
    <t>Ruiz, Mateo</t>
  </si>
  <si>
    <t>Mateo Ruiz</t>
  </si>
  <si>
    <t>usileros D. Francisco Velazquez, y á Tenientes de fusileros á los Subtenientes D. Laureano Oyarzun, D. Mateo Ruiz, D. Virginio Hernández, D. Domingo Ruiz y D. Justo de Cárdenas : en el Fsquadron de caballería de disciplinadas también de Castro en el mismo Reyno á Comandante al Capitán D. Narc</t>
  </si>
  <si>
    <t>Ruiz, Nicolás</t>
  </si>
  <si>
    <t>Nicolás Ruiz</t>
  </si>
  <si>
    <t>nta María de la villa de Aranda de Duero, Diócesi de Osma, vacante por muerte de Don Bernabé Cid, á D. Nicolás Ruiz, Presbítero, Capellán de la.misma villa* El Rey se ha servido conferir la Comandancia del tercer batallón del Regimiento de infantería dé Hibernia al Sargento mayor del mismo cuer</t>
  </si>
  <si>
    <t>Ruiz, Simón</t>
  </si>
  <si>
    <t>Simón Ruiz</t>
  </si>
  <si>
    <t>, mánz. 27, en 152,343. Quien quisiere hacer postura á qualquiera de ellas acuda á la escribanía de D. Simón Ruiz en el término de 30 dias. A voluntad de su dueño se vende una casa sita en esta Corte en la calle de Juan García Pastor , que hace esquina á la de la Arganzuela, núm. 5, manz. 96. P</t>
  </si>
  <si>
    <t>Rumano, Manuel</t>
  </si>
  <si>
    <t>Manuel Rumano</t>
  </si>
  <si>
    <t>Doña Catalina Germán y. Hugalde. En Murcia........... Sres. Moreda y Ladalid. En Oviedo............ D. Manuel Rumano. En Palenda......... Viuda de D. Nicolás Calonge é hijo mayor. En Palma............ D. Martin Mayol. En Pamplona....... Sres. viuda de Barbería é hijo. En Salamanca..... Sres. Urr</t>
  </si>
  <si>
    <t>Rupel, Almirante</t>
  </si>
  <si>
    <t>Almirante Rupel</t>
  </si>
  <si>
    <t>del Estado mayor, y según dicen un Almirante y varios Generales, y un nuevo Gobernador general. El Almirante Rupel ha salido el juéves con la esquadra á sus órdenes para cruzar en la costa de Holanda. La esquadra Holandesa que está en el Texel no hace al parecer ninguna disposición para hacers</t>
  </si>
  <si>
    <t>Rusiñol, Juan</t>
  </si>
  <si>
    <t>Juan Rusiñol</t>
  </si>
  <si>
    <t>a Real Armada; y para otra dé la Colegiata de Tarrasa, Diócesis de Barcelona, vacante por muerte de Don Juan Rusiñol, á D. Pedro Parés Miro y Grael. El Rey se ha dignado conceder á D. Fernando de Solis Quintano, Regidor de la ciudad de Xerez de los Caballeros, en consideración á sus méritos, ren</t>
  </si>
  <si>
    <t>Ruso Benigsen, General</t>
  </si>
  <si>
    <t>General Ruso Benigsen</t>
  </si>
  <si>
    <t>te de sü caballería de reserva, y las divisiones de los Mariscales Davoüsr, JLarines y Augereau. Ei General Ruso Benigsen guarneció la plaza; pero viendo que los Franceses se dirigían á ella con ánimo de pelear, la evacuó inmediatamente. El Príncipe Gerónimo se halla en Kalitsch con las tropas Bávara</t>
  </si>
  <si>
    <t>Ruso Buxhoefden, General</t>
  </si>
  <si>
    <t>General Ruso Buxhoefden</t>
  </si>
  <si>
    <t>ue el Archiduque, acompañado del General Conde de Grunn, comió con el Emperador en Stammersdorf. El General Ruso Buxhoefden , que se dixó haber muerto en la batalla de Austerlitz, se halla en Lemberg, donde permanecerá algunos meses. Se refieren dos anécdotas auténticas de la última campaña de los Ruso</t>
  </si>
  <si>
    <t>Ruso Conde de Tolstoy, General</t>
  </si>
  <si>
    <t>General Ruso Conde de Tolstoy</t>
  </si>
  <si>
    <t>Nienburgo, 2 batallones de tropas Rusas, y en la víspera había llegado un Regimiento de Cosacos. El General Ruso Conde de Tolstoy ha recibido el dia 11 un correo de su Soberano, y lo ha despachado al dia siguiente. El General Barbou, Comandante de Hameln, ha mandado apresar en el Weser un barco Ruso cargado</t>
  </si>
  <si>
    <t>Ruso de Tolstoy, General</t>
  </si>
  <si>
    <t>General Ruso de Tolstoy</t>
  </si>
  <si>
    <t>tud dé órdenfes recibidas de; Berlín , cuyo Gabinete las dará también para dirección del cuerpo del General Ruso de Tolstoy. Se confirma la voz de que el General Príncipe de Schwarzenberg irá.de Embaxador Austríaco á París, y el Conde de Cobentzel á Berlia en lugar</t>
  </si>
  <si>
    <t>Ruso Dolgorouky, Príncipe</t>
  </si>
  <si>
    <t>Príncipe Ruso Dolgorouky</t>
  </si>
  <si>
    <t>del corriente se anuncia que ia salida deí Rey para el exército es ahora mas incierta que nunca. El Príncipe Ruso Dolgorouky ha llegado á Berlín, sin que sepamos el motivo de su viage. También se espera en aquella Corte al Príncipe Constantino, hermano del Emperador de Rusia, y ya se ha puesto en camino</t>
  </si>
  <si>
    <t>Ruso Krusenstern, Capitán</t>
  </si>
  <si>
    <t>Capitán Ruso Krusenstern</t>
  </si>
  <si>
    <t>e enlace miéntras que no se muden sus relaciones con cierta Potencia. Escriben de Copenhague que el Capitán Ruso Krusenstern ha llegado al Sundi el 23 del corriente á bordo del navio Nadesha* t B A VIERA. Augsburgo jo de Julia. Dícese que una ciudad Imperial de la Franconia se incorpora á nuestro Reyno.</t>
  </si>
  <si>
    <t>Ruso Mr, General</t>
  </si>
  <si>
    <t>General Ruso Mr</t>
  </si>
  <si>
    <t>des remesas. Mr. Krusemark, Sargento mayor al servicio de Prusía, ha llegado aí quartel general del General Ruso Mr. de Tolstoy, para hacerle saber qué los Rusos , que actualmente hay en Hannóver estarán de aquí en adelante baxo la dirección Prusiana. En sü cons^rí^úcia cesarán J|as hostilidade</t>
  </si>
  <si>
    <t>Ruso Principa Dolgorouki, General</t>
  </si>
  <si>
    <t>General Ruso Principa Dolgorouki</t>
  </si>
  <si>
    <t>463 La desavenencia del General Ruso Principa Dolgorouki y el General Austríaco Conde de Nostiz se ha compuesto amigablemente por mediación del Conde de Rasumowski, Embaxadór de Rusia cerca de S. M. I. y R. ALEMANIA. Aliona 1 de Mayo. ’ La</t>
  </si>
  <si>
    <t>Ruso Sicanoff, General</t>
  </si>
  <si>
    <t>General Ruso Sicanoff</t>
  </si>
  <si>
    <t>antinopia 8 de Abril. Si creemos lo que se cuenta en las cartas recibidas últimamente de Persia, el General Ruso Sicanoff ha sido víctima de la mas horrible trayeion. Quando la ciudad de Bacou estaba á punto de ser tomada por asalto, propusieron sus habitantes una capitulación; concedióseles, y el Ge</t>
  </si>
  <si>
    <t>Ruso Síniavin, General</t>
  </si>
  <si>
    <t>General Ruso Síniavin</t>
  </si>
  <si>
    <t>aten-Munster, cuyas rentas líquidas ascienden á 126,800 florines. ITALIA. f JRagusa jj de Abril. El General Ruso Síniavin splicitó, durante su mansión en Cáttaro,que los habitantes certificasen por escrito que ellos habían llamado á los Rusos. Los Griegos, como se podía esperar, firmaron; pero los Ca</t>
  </si>
  <si>
    <t>Ruso, Almirante</t>
  </si>
  <si>
    <t>Almirante Ruso</t>
  </si>
  <si>
    <t>espués de haber llegado Mr. d’Oubri-1. Se embarcó inmediatamente para buscar en el mar Adriático al Almirante Ruso, para quien lleva pliegos de importancia. Milán 11 de Setiembre. Por decreto de S. M. de 28 de Julio se ha mandado hacer la liquidación y reembolso de las deudas de la antigua Rep</t>
  </si>
  <si>
    <t>Ruso, General</t>
  </si>
  <si>
    <t>General Ruso</t>
  </si>
  <si>
    <t>RUSIA. Berlin i§ de Febrero. Ha llegado á esta capital el Ministro de Estado Mr. de Hardemberg y el General Ruso &gt;Benningsen._El Conde de Bernstorflf saldrá muy en breve para restituirse ájKiel. Se ha esparcido la voz de que este Ministro emprénderá íun viage mas largo á Londres y á París, &lt;</t>
  </si>
  <si>
    <t>ándole á singular batalla al Edecán dei Emperador de Rusia , que ha; de ser una pelea de muerte. El General Ruso ha aceptado el desafio; pero no sabemos las resultas ulteriores. Es falso todo quanto. se ha dicho en la* Gazetas Alemanas relativo á tes sentencias del Consejo de Guerra, encarga</t>
  </si>
  <si>
    <t>or quedó en nuestro poder ? Los militares harán un argumento mas fuerte que todos estos, y dirán al General Ruso: si habéis efectuado la retirada, ¿cómo es que no la habéis hecho por Wischau y Olmutz, en vez de efectuarla por Goding, ladeando por una marcha.paralela los costados del exército</t>
  </si>
  <si>
    <t>á punto de ser tomada por asalto, propusieron sus habitantes una capitulación; concedióseles, y el General Ruso se adelantó con algunos de los suyos, que le servían de escolta , hasta un corto trecho de la ciudad, á fin de negociar con los Diputados; pero al entrar en la tienda que le habia</t>
  </si>
  <si>
    <t>ivisión está ya muy cerca' de la plaza. Dícese también que el 2 5 del pasado llegó á Weiskirchen un General Ruso con su Edecán, y que á la mañana siguiente se éñcámrnó'porUlpalánka á Semendria, en donde se esperaba un Comisario Turco. Parece que entrambos están encargados de negociar relativ</t>
  </si>
  <si>
    <t>Russel, Almirante</t>
  </si>
  <si>
    <t>Almirante Russel</t>
  </si>
  <si>
    <t>enen haber perdido nuestro comercio 2 5 velas en la costa de Africa apresadas por los Franceses. El Almirante Russel ha anclado ayer en Yarmouth con toda su esquadra compuesta de 6 navios de línea y una fragata. Se ha presentado á la Cámara de los Comunes un estado de los gastos extraordinarios</t>
  </si>
  <si>
    <t>o miembro del Parlamento por la ciudad de Westminster. Hallábase el 5 del corriente la esquadra del Almirante Russel en el puerto de Yarmouth, al tiempo que una fragata que estaba en crucero se presentó en la rada, haciendo señal de divisar esquadra enemiga. El Almirante dió al punto orden de pone</t>
  </si>
  <si>
    <t>Russel, Lord</t>
  </si>
  <si>
    <t>Lord Russel</t>
  </si>
  <si>
    <t>compone de Mr. Grey, primer Lord; del Almirante Marckham, de Sir Carlos Pode, Sir P. Stephens, y de Lord Russel. '• Se anuncia que Lord San Vicente tendrá un mando muy considerable, que comprehenderá todos los mares de Europa. Acaba de hacerse una. grande promoción en la marina. Setenta Ten</t>
  </si>
  <si>
    <t>Rutusow, General</t>
  </si>
  <si>
    <t>General Rutusow</t>
  </si>
  <si>
    <t>El General Rutusow ha enviado al Coronel Danskoi al; quartel general Francés para el cange de los prisioneros. El dia 12 de Enero hubo en Moscow un incendio horroroso :íhan quedado hechas ceniza muc</t>
  </si>
  <si>
    <t>Ryan</t>
  </si>
  <si>
    <t>á otro se aguardan las demas tropas que aun no han vuelto del Continente. Ditblin 10 de Febrero. r Mr. Ryan, en cuya casa se juntan los Católicos Romanos, ha escrito á Mr. Fox felicitándole sobre su nueva promoción, recordándole el afecto de los Católicos Irlandeses hacia su persona, y</t>
  </si>
  <si>
    <t>Saavedra, Juan</t>
  </si>
  <si>
    <t>Juan Saavedra</t>
  </si>
  <si>
    <t>oquial de S. Pedro de ía ciudad de Cuenca, vacante por fallecimiento de D. Manuel Duque Xinienez, á D. Juan Saavedra, Cura de la 'yilla de Priego, en aquella Diócesi; y para el Préstamo de la Parroquial de Santiago de la villa de Medeilin, en el Obispado de Badajoz, vacante por dexacion de Don E</t>
  </si>
  <si>
    <t>Sáenz de Tejada, Juan</t>
  </si>
  <si>
    <t>Juan Sáenz de Tejada</t>
  </si>
  <si>
    <t>ha nombrado para esta resulta á D. Diego Rico, Sargento del expresado Real Cuerpo de Carabineros. A D. Juan Saenz de Tejada, Director honorario y Contador de los Reales almacenes de cristales de Madrid, se ha servido S. M. conceder honores de Comisario Ordenador de sus Exércitos. S. M. se ha servido co</t>
  </si>
  <si>
    <t>Sáenz y Angulo, Antonio</t>
  </si>
  <si>
    <t>Antonio Sáenz y Angulo</t>
  </si>
  <si>
    <t>nciales ha promovido S. M* á Tenientes de granaderos dé los de Logroño y Alcázar á los de fusileros Don Antonio Saenz y Angulo y D. Diego Magnes: á Teniente de fusileros del de Laredo al Subteniente de granaderos D. Josef de Falla y la Fuente; y á Subteniente de bandera del de Sevilla á D. Cayetano de la Esca</t>
  </si>
  <si>
    <t>Safvary, General</t>
  </si>
  <si>
    <t>General Safvary</t>
  </si>
  <si>
    <t>n á los Generales, y los soldados é los Oficiales. Apénas estaba firmada la capitulación, quando el General Safvary recibe una carta del General von Schoeler, diciéndole que ios Oficiales y Soldados se habían amotinado, y que le suplicaba añadiese á los artículos estipulados: i.° que los soldad</t>
  </si>
  <si>
    <t>Sage</t>
  </si>
  <si>
    <t>uro que por el método de la separación ó apartado, con las láminas correspondientes, por el célebre Mr. Sage, profesor db MineralodOCiíTsaot ica en la casa de la Moneda de París, traducido de órden superior, y añadido con algunas notas por el Dr. D. Casimiro Gómez Ortega, individuo corre</t>
  </si>
  <si>
    <t>Sagrista y Soler, Pablo</t>
  </si>
  <si>
    <t>Pablo Sagrista y Soler</t>
  </si>
  <si>
    <t>Juan VeriMt’f, á quien corresponded. Quien supiere de su paradero se servirá avisar eü éstá Corte 4 D. Pablo Sagrista y Soler, en Cádiz á D. Juan Bautista Bourt* e« Alicante i D. Roberto Montgomery y compañía, en Valencia á O. Vicente Calía e hijo*y eA Barcelona a D* Joaquín de Roca y Batí le. Por provid</t>
  </si>
  <si>
    <t>Saint-Cyr, General</t>
  </si>
  <si>
    <t>General Saint-Cyr</t>
  </si>
  <si>
    <t>4* El General Saint-Cyr va á marchas forzadas sobre Nápoles. Mr.de Talleyrand está en Presburgo, donde se continúan las negociaciones. Los Plenipotenciarios del Emperador de Austria son el Príncipe Juan</t>
  </si>
  <si>
    <t>Saint-Hilaire, General</t>
  </si>
  <si>
    <t>General Saint-Hilaire</t>
  </si>
  <si>
    <t>sin dilación-....”, ^ Orden del dia 2j. „ Antes de ayer pasó revista el Emperador á la división del General Saint-Hilaire. S. M. ha visto con gusto los valientes Regimientos que la componen, y que tanto han contribuido á ganar la batalla de AusteríÍtz,,con un orden, un pie y un concierto tan admirabl</t>
  </si>
  <si>
    <t>Sainz de Baranda, Simón</t>
  </si>
  <si>
    <t>Simón Sainz de Baranda</t>
  </si>
  <si>
    <t>e que le corresponde. Dios guarde &amp;c. Con fecha de 6 de Marzo próxi mo pasado dirigió por el correo D. Simón Sainz de Baranda, del comercio de esta Corte, á D. Francisco García de Malabear, de Santander, quatro vales Reales de 300 pesos, creación de Setiembre, núms. 19413, 27624, 31025 y 54988; v habiénd</t>
  </si>
  <si>
    <t>Sainz de Trápaga, Francisco</t>
  </si>
  <si>
    <t>Francisco Sainz de Trápaga</t>
  </si>
  <si>
    <t>de un chico de once á doce años de edad, natural del valle de Soba, montañas de Santander, hijo de D. Francisco Sainz de Trápaga, y de Dona Antonia García de la Hoz, que hallándose en esta Corte se ha desaparecido el día 4 de Julio , avisará en esta Corte en casa de D. Marcelo de San Reman, del comercio de</t>
  </si>
  <si>
    <t>SainzdeBaranda, Simón</t>
  </si>
  <si>
    <t>Simón SainzdeBaranda</t>
  </si>
  <si>
    <t>, en la fonda de-la Aduana , calle de Alcalá. . A i/ Con fécba de zgdelMayo próximo ¡pasado dirigió D. Simón SainzdeBaranda, del comercio de esta Corte, á D. Josef Ruiz de da Peña; de Santander, ün vajc Real de 1,59¡pesqs cx-pacion de Enero,, núm. 333774; y habiéndose extraviado, quien sepa de su parad</t>
  </si>
  <si>
    <t>Saiz de Villegas, Benito</t>
  </si>
  <si>
    <t>Benito Saiz de Villegas</t>
  </si>
  <si>
    <t>: para esta resulta, á D. Josef Arjona; y para el Corregimiento de Letras de la ciudad de Carmona á D. Benito Saiz de Villegas. Por el Ministerio de la Guerra se ha expedido la Circular siguiente: En papel de 13 del corriente me dice el Señor Generalísimo Príncipe de la Paz lo siguiente: ,,Habrá reconocid</t>
  </si>
  <si>
    <t>Salazar, Juan Bautista</t>
  </si>
  <si>
    <t>Juan Bautista Salazar</t>
  </si>
  <si>
    <t>Capellán de Honor de S. M. en la Real Capilla de esta capital, el Marques del Cerro de la Cabeza y D. Juan Bautista Salazar exercitáron en varios ramos de las Matemáticas á los discípulos, que desempeñáron con energía y precisión quantas preguntas se les hiciéron, demostrando cada uno en su clase todo lo</t>
  </si>
  <si>
    <t>Salazar, Manuel</t>
  </si>
  <si>
    <t>Manuel Salazar</t>
  </si>
  <si>
    <t>o, Maestro de Ceremonias de la Real Capilla, de los Gentileshombres de Boca y Casa D. Vicente Lanz, D. Manuel Salazar, D. Manuel Pascual y Oto, D. Benito de Prado Ulloa, D. Tomas de Arsú, D. Pedro Ladrón de Guevara, D. Juan de Xaramillo, D. Carlos Brasé, D. Josef García Aleson, Don Pedro Josef de</t>
  </si>
  <si>
    <t>Salcedo, Francisco Xavier</t>
  </si>
  <si>
    <t>Francisco Xavier Salcedo</t>
  </si>
  <si>
    <t>e Toledo por fallecimiento del limo. Sr. Arzobispo de Selimbria D. Fray Manuel Abad de la Sierra, á D. Francisco Xavier Salcedo, Cura Beneficiado de la villa de Pcrtugaletc, en el Obispado de Santander: para otra que resultará vacante en la Catedral de Calahorra por promoción de D. Juan Antonio Llórente á</t>
  </si>
  <si>
    <t>SalJori, Cayetano</t>
  </si>
  <si>
    <t>Cayetano SalJori</t>
  </si>
  <si>
    <t>reynó en Liorna desde mediados de Agosto de 1804 hasta mediados de Diciembre del mismo aro, por el Dr. Cayetano SalJori, Profesor honorario de la Universidad de Sisa, y Médico comisionado por la Real Diputación de Sanidad de dicha ciudad, traducida del italiano por el Dr. D. Rafael Steva y Ccbriá,</t>
  </si>
  <si>
    <t>Salmón, Antonio</t>
  </si>
  <si>
    <t>Antonio Salmón</t>
  </si>
  <si>
    <t>igencia entre nuestro Emperador y el de Marruecos, y queriendo S. M. dar una señal de su gratitud á D. Antonio Salmón, Cónsul del Rey de España en Marruecos, le ha regalado una caxa de oro con la cifra de S. M. el Emperador, guarnecida de brillantes, del valor de 4® florines. Igualmente hi hecho</t>
  </si>
  <si>
    <t>Salt</t>
  </si>
  <si>
    <t>bido del Rey de Abisinia el permiso de enviar una embaxada á Gondar. El Lord Valentía ha nombrado á Mr. Salt, quien residirá 4 meses en dicha capital. ¡Esperamos con fundamento la confirmación ó la refutación de todo quanto ha escrito Bruce en orden á la Abisinia; por lo pronto ya se dic</t>
  </si>
  <si>
    <t>a-Mahomet, de quien Mr. Bruce habla muchas veces en su viage, y dice era su atnigo. Este Príncipe y Mr. Salt han acompañado siempre á Lord Valence* y llegado juntos: han atravesado el istmo de Suez, y de Alexandríá han pasado á Malta, donde se embarcaron á bordo del navio Neptuno. El Alm</t>
  </si>
  <si>
    <t>Sálvani, Francisco</t>
  </si>
  <si>
    <t>Francisco Sálvani</t>
  </si>
  <si>
    <t>ayra se dividió en dos ramos , navegando el uno para la América Meridional al cargo dél Subdirector D. Francisco Sálvani; y dirigiéndose el otro con el Director Balmis á la Havana:, y de allí á Yucatán. En ésta provincia se subdividió, saliendo el profesor D. Francisco Pastor del puerto de Sisal par</t>
  </si>
  <si>
    <t>Samaníego, Félix María</t>
  </si>
  <si>
    <t>Félix María Samaníego</t>
  </si>
  <si>
    <t>ca, y se venderán despúes á 24 rs. en fústibá y 48 en pasta. ■ Quadérno séptiriio de las fábulas de D. Félix María Samaníego de la edición en 8.° marquilla, que cómprehende el libro séptimo de dicha obra, adornada cada fábula con una estampa, que representa el principal asunto del apólogo. Los subscriptores á e</t>
  </si>
  <si>
    <t>Samaniego, Félix María</t>
  </si>
  <si>
    <t>Félix María Samaniego</t>
  </si>
  <si>
    <t>e hallarán en la librería de la viuda de Barco, calle de la Cruz. Quaderno octavo de las fábulas de D. Félix María Samaniego, de la edición en 8.° nvarquilla adornada de estampas, que comprehende el libro octavo de dicha obra. Los subscriptores podrán ir á recogerle, y pagar el noveno y último, con que</t>
  </si>
  <si>
    <t>e las Carretas; : Quaderno 9.0 y último, en que se completa el tomo 3.0 y la obra de las Fábulas de D. Félix María Samaniego, de la edición en 8.° marquilla, adornada cada fábula con una estampa. Los. subscriptores y demas personas que hayan tomado los quaderhos anteriores podrán ir á recogerle á las li</t>
  </si>
  <si>
    <t>Sammet</t>
  </si>
  <si>
    <t>Wiebekind, Director de pu entes y caminos y construcciones hidráulicas, y para la plaza de Director Mr. Sammet, sugeto activo, y muy inteligente en la materia; Mr. de Flatt, persona muy conocida por su pericia en levantar planos, es el inspector dei establecimiento. Ya se han depositado va</t>
  </si>
  <si>
    <t>Samuel</t>
  </si>
  <si>
    <t>que la expedición qiie- saldrá de allí esta pronta á hacerse, á Ja vela,: Ha llégado á aquel puerto Sir Samuel .Auchmusty para tomar. el'mando deja expedición;.con el Coronel Bradfort su Ayudante ,de Campo,. y otros Oficiales dé su Estado mayor.. El: Duque de Yorek: revistará las tropas an</t>
  </si>
  <si>
    <t>Samuel Hood</t>
  </si>
  <si>
    <t>evaban muchas tropas abordo. Hemos tenido 9 muertos y 32 heridos. Añado, con mucho sentimiento, que Sir Samuel Hood ha perdido el brazo derecho. Igualmente se han recibido noticias de haber Sir Temas Louis apresado la fragata Francesa, nombrada Presidente , del porte de 44 cañones. Quedo &amp;c. =</t>
  </si>
  <si>
    <t>desembarco, y ha entrado en Falmouth, tiene orden de aguardar en este puerto nuevas instrucciones. Sir Samuel Hood, que ha perdido últimamente el brazo derecho en una batalla con 4 fragatas Francesas que ha apresado, ha desembarcado en la isla de Whight. La comisión de Lord Lauderdale está ya</t>
  </si>
  <si>
    <t>tomar refrescos y reparar las averías. En Portsmouth se prepara otra expedición, que dicen mandará Sir Samuel Hood. ; . EL General Stuart, que vuelve á Inglaterra, está destinado á tomar el mando de Madras y de Bengala, de modo que se detendrá muy poco en este Rey no. Dicen, pero no sabemos co</t>
  </si>
  <si>
    <t>1048 ventaja á Mr. Sheridan. Mr. Paull tenia anoche 792 votos: Sir Samuel Hood 5 53 , y Mr. Sheridan 394. Se han recibido noticias de todos los navios que componen la esquadra de Sir R. Strachan;, excepto de la fragata Dé-cada. El navio Hibernia, de no cañon</t>
  </si>
  <si>
    <t>San Vicente, Lord</t>
  </si>
  <si>
    <t>Lord San Vicente</t>
  </si>
  <si>
    <t>d; del Almirante Marckham, de Sir Carlos Pode, Sir P. Stephens, y de Lord Russel. '• Se anuncia que Lord San Vicente tendrá un mando muy considerable, que comprehenderá todos los mares de Europa. Acaba de hacerse una. grande promoción en la marina. Setenta Tenientes han ascendido á Capitanes. Lo</t>
  </si>
  <si>
    <t>la orden del Consejo para desembargar los buques Pappenburgueses detenidos ántes del 14 de Mayo. : Lord San Vicente ha llegado á Portsmbúth en él navio Hibernia de 110 cañones. Sir Gárlos Cotton manda la esquadra del Canal durante su ausencia. También ha llegado á Plymouth el Contra-Almirante T</t>
  </si>
  <si>
    <t>á uno cada 15 dias para el desembocadero del Elba. ~ El navio Hibernia, de 100 cañones, montado por Lord San Vicente, ha entrado en Plymouth: créese que este Almirante no vuelva á mandar la esquadra del Canal. El Coronel Crawfurd ha salido para tomar el mando de la expedición que se dispone en F</t>
  </si>
  <si>
    <t>Sanche, Juan</t>
  </si>
  <si>
    <t>Juan Sanche</t>
  </si>
  <si>
    <t>contiene se ha tasado en 83,6^0 rs. Quien quisiere hacer postura acuda por la escribanía que excrce D. Juan Sanche? Molerd; en la inteligencia de que el dia 15.de! presente se ha de celebrar el remate. A voluntad de su dueño se vende en la villa de Leganes, dos leguas de esta Corte,, una casa</t>
  </si>
  <si>
    <t>Sánchez</t>
  </si>
  <si>
    <t>ión de libros para la de lá Coruña; y en«fin concluye manifestando el.agradecimiento que se debe al Dr. Sánchez por un acto tan distinguido de generosidad, zelo y patriotismo. Véndese en la librería de Esparza, ¡puerta del Sol. :: v Eó la librería de’Burgafllosy frente ?abcementerio.dé S. ^</t>
  </si>
  <si>
    <t>Sánchez Baamonde, Pedro Antonio</t>
  </si>
  <si>
    <t>Pedro Antonio Sánchez Baamonde</t>
  </si>
  <si>
    <t>e ha servido nombrar para la Canongía de la Metropolitana de Santiago, vacante por fallecimiento de D. Pedro Antonio Sánchez Baamonde, á D. Josef Manuel de Losada: para una Ración de la Catedral de Barbastro, por muerte de D. Antonio Franco, á D. Isidro Gastan. A LOS AMANTES DB LAS NOBLES ARTES. La Real Calcogra</t>
  </si>
  <si>
    <t>Sánchez Bailares y Llafro, Antonio</t>
  </si>
  <si>
    <t>Antonio Sánchez Bailares y Llafro</t>
  </si>
  <si>
    <t>hicieron los concurrentes^ Adjudicados los premios ar los mas‘beneméritos, pronunció-el Secretario D. Antonio Sánchez Bailares y Llafro una-bella exhortación a los padres de familia encargándoles mucho el cuidado de las buenas costumbres de sus b‘jos; dándose fin con un golpe de música executado por la capilla de</t>
  </si>
  <si>
    <t>Sánchez de Tejada, Dionisio</t>
  </si>
  <si>
    <t>Dionisio Sánchez de Tejada</t>
  </si>
  <si>
    <t>Teniente dé granaderos D..Miguel de Cé pides; -esta resulta al de fusileros, graduado' de Capitán , D. Dionisio Sánchez de Tejada ; segunda Tenencia al Subteniente de granaderos D. Andrés Lastra; Subtenencia de granaderos al "de'fusileros D. Bernardo Pardo; y su resulta al agregado D. ManuelRuiz ~.j .D .O ..</t>
  </si>
  <si>
    <t>Sánchez Escribano, Fernando</t>
  </si>
  <si>
    <t>Fernando Sánchez Escribano</t>
  </si>
  <si>
    <t>eneficio simple servidero de la villa de Arroyo del Puerco ^Diócesi de Coria, vacante por muerte de D. Fernando Sánchez Escribano, á D/Fernando Josef Rubio Jurado: para el Beneficio simple de Sta. Columba de Riánjo en el Arzobispado de Santiago? vacante por promoción de D. Pedro Mendez Acuña á una Canongía d</t>
  </si>
  <si>
    <t>Sánchez Gadeo, Francisco</t>
  </si>
  <si>
    <t>Francisco Sánchez Gadeo</t>
  </si>
  <si>
    <t>2.a Al Sr. D. Francisco de Paula García de Quesáda, Veinteiquatro de la ciudad de Jaén. 3.a Al Sr. D. Francisco Sánchez Gadeo, Veinteiquatro de la ciudad de Granada. 4.a A la ciudad de Plasencia, en ia provincia de Extremadura, que entró en blanco en dicho sorteo por no haber remitido testimonio del Caba</t>
  </si>
  <si>
    <t>Sánchez Pavón, Pedro</t>
  </si>
  <si>
    <t>Pedro Sánchez Pavón</t>
  </si>
  <si>
    <t>ez, D. Manuel Cámara y D. Manuel Abbad: y los Seminaristas D. Ceferino Carrillo, D. Toribio Olalde, Don Pedro Sánchez Pavón, D. Juan Ortiz de Zárate, D. Antonio Albuerne, D. Pablo Unda, D. Josef Silvan, D. Pablo Ferrando, D.AIexandro Lagoa, D. Eugenio de Zuloaga, D. Josef Bassóco, D. Vicente Bas$óco,D.</t>
  </si>
  <si>
    <t>Sánchez Regadera, Juan</t>
  </si>
  <si>
    <t>Juan Sánchez Regadera</t>
  </si>
  <si>
    <t>videro de la Parroquia dé S. Pedro de Fbrcadela, en la Diócesi de Tuy, vacante por fallecimiento dé D, Juan Sánchez Regadera , á D. Juan Francisco Áreal, Presbítero: para una Capellanía del número de la Catedral de Guadix, ya- , cante por muerte de D. Toirquato Segura, á D. Juan Lanchas, Capellán reform</t>
  </si>
  <si>
    <t>Sánchez Ruiz, Francisco</t>
  </si>
  <si>
    <t>Francisco Sánchez Ruiz</t>
  </si>
  <si>
    <t>de Salas, se manda que D. Josef Septien, D. Miguel Llaguno, D. Fernando Romero de Leis, en unión de D. Francisco Sánchez Ruiz, D. Juan Antonio Yudicí, D. Ignacio Barrencchea, D. Francisco Arispfc* y qualquier otro de la villa de Bilbao que tengan créditos contra dichos Señores, los presenten, en el térmi</t>
  </si>
  <si>
    <t>Sánchez Satostegui, Juan</t>
  </si>
  <si>
    <t>Juan Sánchez Satostegui</t>
  </si>
  <si>
    <t>. Sebastian Morera y D. Juan de Acosta presentaron los jóvenes mas adelantados de ellas, que fuéron D. Juan Sánchez Satostegui, D. Miguel González Cárdenas, D. Juan Ignacio Arespacochaga, D. Manuel Rodríguez Sotelo, D. Josef Gutiérrez, D. Juan María Maestre y Maestre, y el Dr. D. Manuel Céspedes. Los tres</t>
  </si>
  <si>
    <t>Sánchez Soriano, Juan</t>
  </si>
  <si>
    <t>Juan Sánchez Soriano</t>
  </si>
  <si>
    <t>uz de la propia ciudad D. Manuel Antonio del Castillo: para Ración de la misma Catedral de Puebla á D. Juan Sánchez Soriano; y para la Media que obtiene este á Don Joaquín Alexo de Meave, Cura en aquella Diócesi: para otra Ración de la de Santiago de Chile al Cura del Sagrario de ella D. Josef Antonio</t>
  </si>
  <si>
    <t>Sánchez, Felipe</t>
  </si>
  <si>
    <t>Felipe Sánchez</t>
  </si>
  <si>
    <t>l 1 2 de JViarzo. Por el tribunal del Corregidor de la ciudad de Toledo, y escribanía del número de D. Felipe Sánchez, se ha mandado sacar á pública subasta, por término de 30 dias, que se contarán desde el 27 de Marzo, una dehesa nombrada Bujazadan, situada en término del lugar de Camarenilia, e</t>
  </si>
  <si>
    <t>Ramón Fernandez. Por el Tribunal del Corregidor de la ciudad de Toledo, y escribanía del número de D. Felipe Sánchez ,se está subastando una dehesa para pasto y labor, intitulada Inesa, propia del hospital de la Misericordia de ella, situada en término del lugar de Nambroca, de caber 1419 fanega</t>
  </si>
  <si>
    <t>mrs. Quien quisiere hacer postura acuda ante el citado Juez Comisionado Real, por la escribanía de D. Felipe Sánchez , dentro del término de 20 d'as contados desde 27 de Setiembre próximo pasado.—.Por providencia del Comisionado Real se ha mandado sacar nuevamente á pública subasta la dehesa int</t>
  </si>
  <si>
    <t>n pozo para su riego, tasado en 150,514 rs. Quien quisiere hacer postura acuda por la escribanía de D. Felipe Sánchez, dentro del término de 30 dias contados desde el 23 del corriente. A voluntad de su dueño se vende una escribanía de número de esta villa. Quien quisiere enterarse de las circunst</t>
  </si>
  <si>
    <t>Sánchez, Francisco</t>
  </si>
  <si>
    <t>Francisco Sánchez</t>
  </si>
  <si>
    <t>idioma en dichas pren* vincias. Composiciones poéticas sobré el combate naval de 21 da Octubre, por Don Francisco Sánchez. Se hallarán en la librería de Cerro, calle de Alcalá, á 4 rs. Epigramas y otras poesías, con el juicio imparcial del carácter de los naturales de los Rey-nos y Provincias de Espa</t>
  </si>
  <si>
    <t>plaza de -Teniente Gobernador, y Asesor .del Real Sitio de, Aranjuez, vapapfe ^porvfailecímieptp de D. Francisco Sánchez. .de Santiago, á I},- Gil María.del Réjil Sitio de S. Lorenzo, y para esta resulta £ J&gt;. jjranciscp; Ti^gn, Alcalde, , nmy qr de* la;villa de Daymiel. /f ; r En América. S. M. se</t>
  </si>
  <si>
    <t>tación al juicio formado por los editore' de las composiciones poéticas sobre el combate naval, por D. Francisco Sánchez; composición poética al combate naval del 21 de Octubre, por un profesor de Juiisprudencia en la Universidad de Alcalá de Henárés, extracto; romance por A. M.; y descubrimientos.</t>
  </si>
  <si>
    <t>rretas. Oda en elogio del Excmo. Sr. D. Federico Gravina, Capitán General dé Marina &amp;c., dedicada á D. Francisco Sánchez, entre los Arcades Floralbo Corintio, por D. M. B. G. S. Acompaña á esta oda el retrato, y una viñeta que representa el combate sobre el Cabo Trafalgar, dibuxado y grabado por Xim</t>
  </si>
  <si>
    <t>Sánchez, Juan</t>
  </si>
  <si>
    <t>Juan Sánchez</t>
  </si>
  <si>
    <t>te, graduado de Capitán, D. Luis de Alfaraz: en el de .Asturias .Subtenencia de .bandera .al Cadete D. Juan Sánchez. El Rey ha nombrado Coronel del Regimiento provincial de Toro al Capitán de infantería D. Miguel María Jalón y Pañuelos; y ha promovido en los de Igual clase á Tenientes de granad</t>
  </si>
  <si>
    <t>Sánchez, Manuel</t>
  </si>
  <si>
    <t>Manuel Sánchez</t>
  </si>
  <si>
    <t>Cspeílanías menores del Real y primer Monasterio de la Visitación de &gt; 9ue ha vacado por muerte de D. Manuel Sánchez, á D. Josef AnAlcalá, Capellán mas antiguo de las fundadas en el mismo Real Monasterio por el Sr. D. Carlos 111; y para la que este dexa á D. Baltasar García, Presbítero, Sacristá</t>
  </si>
  <si>
    <t>Ceoollino y D. Vicente Magrat; y Subtenencia de bandera en el de Voluntarios ;de¡CastiIla al Cadete D. Manuel Sánchez : en elfixo de Ceuta Subtenencia de bandera al Cadete D. Tohias Alvárez dé AcostáY én el Suizo de Reding ruin; 3.0 Cpñipanía'de: granaderos ai Oapitan ~seéundo;D.' Jórge Góeble ;</t>
  </si>
  <si>
    <t>Sánchez, Pedro Antonio</t>
  </si>
  <si>
    <t>Pedro Antonio Sánchez</t>
  </si>
  <si>
    <t>e las Carretas; y en Barcelona en la de Sierra y Martí. Carta crítica al Dr. D. Pedro Antonio Sánchez, Canónigo de Santiago, en la que se descubren y patentizan los falsos supuestos y asertos en que funda principalmente su respuesta á la nueva demostración de la falsedad del privilegio del</t>
  </si>
  <si>
    <t>Sancho de Llamas</t>
  </si>
  <si>
    <t>día 18 del presente mes, que á Ia:; doce de su mañana se señala para su remate en la posada del Sr. D. Sancho de Llamas., del Supremo Consejo de Hacienda, y Juez 'Suddelegado de la citada Renta. A voluntad de su dueño se vende una botica corriente en la villa del Romeral, lina legua de Tembleque, 7</t>
  </si>
  <si>
    <t>del corriente, que á las doce de sü&gt;mañana *e vuelve á&gt; señalar para su remate en la posada del-Sr. D. Sancho de Llamas*, del 'Supremo.Cense jo.de Hacienda, y Juez Subdelegado de dicha Renta. A voluntad de su dueño se-vende, una hacienda en la villa de Almonacid de Zurita; Diócesi de Toledo, compue</t>
  </si>
  <si>
    <t>Sandi</t>
  </si>
  <si>
    <t>úm. 21, manzana 310, está impuesto un censo perpetuo de un ducado y una gallina al año en favor del Doctor Sandi; y sobre otra en la de S. Marcos, núm. 24, de la misma manzana, otros de dos ducados y dos gallinas á favor del propio Sandi; é ignorándose en el dia el representante de este, se</t>
  </si>
  <si>
    <t>Sandoval, Francisco</t>
  </si>
  <si>
    <t>Francisco Sandoval</t>
  </si>
  <si>
    <t>cesi; y para el Arciprestazgo de Alcaraz, en el Arzobispado de Toledo, vacante por fallecimiento de D. Francisco Sandoval, á D. Josef Gil de Sagredo y Moreno, Racionero de la Catedral de Almería, con dimisión de la Ración que obtiene. En América. El Rey se ha dignado conceder Subtenencias de bandera</t>
  </si>
  <si>
    <t>Sandoval, Miguel</t>
  </si>
  <si>
    <t>Miguel Sandoval</t>
  </si>
  <si>
    <t>Pinto ; esta resulta al Subteniente D; Santiago Valle; y Subtenencia de bandera al Sargento segundo D. Miguel Sandoval. El Virey del Perú en oficio de 8 de Noviembre deL año pasado ha dirigido á la Superioridad el parte siguiente :■ „ La; fragata-Joaquina,. de este comercio de Lima, aí mando de D.</t>
  </si>
  <si>
    <t>Sangenis, Francisco</t>
  </si>
  <si>
    <t>Francisco Sangenis</t>
  </si>
  <si>
    <t>ervido nombrar para una Comensalía ó Ración de Ja Metropolitana de Tarragona, vacante por muerte de D. Francisco Sangenis, á D. Mel chor Junca: para un Beneficio de la Parroquia de la Selva, Diócesis de Tarragona, vacante por fallecí niento de D. Francisco Guillemó, á D. Lorenzo Guinovar; y para otro</t>
  </si>
  <si>
    <t>Sangran, Tomás</t>
  </si>
  <si>
    <t>Tomás Sangran</t>
  </si>
  <si>
    <t>ncisco Perez; á Teniente de granaderos al de fusileros D. Manuel Bonilla; á Teniente al Subteniente D. Tomas Sangran , y á Subtenientes de bandera á los Cadetes Don Leandro Camuñez y D. Mariano Zepero: en el batallón de infantería de Veracruz Tenencia á D. Antonio Pinzano y Nogués, Subteniente d</t>
  </si>
  <si>
    <t>Sanjurjo y Montenegro, Juan</t>
  </si>
  <si>
    <t>Juan Sanjurjo y Montenegro</t>
  </si>
  <si>
    <t>uien ha nombrado por Director general supernumerario de Correos. Igualmente se ha dignado nombrar á D. Juan Sanjurjo y Montenegro para el Corregimiento de Letras de la ciudad de Huete. Por providencia del Sr. D. Torquato Antonio Collado, Teniente Corregidor de esta villa, y escribanía de D. Joaquín González</t>
  </si>
  <si>
    <t>Sanówiz, Matías</t>
  </si>
  <si>
    <t>Matías Sanówiz</t>
  </si>
  <si>
    <t>dstéin, Comisario de S. A. Erna., el último instrumento de entrega, y pronto saldrá de esta ciudad. Mr. Matías Sanówiz, profesor del gimnasio de Epéries , ha obtenido permiso del Emperador de Austria para hacer un viagé a Suiza, con el objeto de aprender y saber á; fondo el método de instrüfccion</t>
  </si>
  <si>
    <t>Santa María, Antonio</t>
  </si>
  <si>
    <t>Antonio Santa María</t>
  </si>
  <si>
    <t>anía residencial de la Parroquia de Santa María del Mar de Barcelona * vacante por fallecimiento de D. Antonio Santa María; y á D. Ramón CasadevaU para un Beneficio residencial de la Parroquia de S. Cucufate de Barcelona, vacante por muerte de D. Josef Antich, S. M. se ha servido nombrar para la Canon</t>
  </si>
  <si>
    <t>Santolaria, Andrés</t>
  </si>
  <si>
    <t>Andrés Santolaria</t>
  </si>
  <si>
    <t>Rodríguez. S. M. se ha servido nombrar para el Corregimiento de Letras de la ciudad de Barbastro á D. Andrés Santolaria; y para la Vara de Alcalde mayor de la ciudad de S. Felipe á D. Josef Meliton de Navas. En América. En el Regimiento de Milicias urbanas de caballería de Huanuco,en elReyno del Pe</t>
  </si>
  <si>
    <t>Santos de Roxas, María</t>
  </si>
  <si>
    <t>María Santos de Roxas</t>
  </si>
  <si>
    <t>Ha fallec fdo sin testamento en su patria, la villa de Briviesca, provincia y Arzobispado de Burgos,Doña María Santos de Roxas, hija de D. Juan Iñigo, quien ademas dé la difunta dexó otro hijo llamado también D. Juan Iñigo , que vivía en México por los años de 1787, con 4 hijos llamados D; Josef Pedro, Do</t>
  </si>
  <si>
    <t>Santos del Pino, Luis</t>
  </si>
  <si>
    <t>Luis Santos del Pino</t>
  </si>
  <si>
    <t>Tucuman, vacante por ascenso de D. Francisco de Mendizabal á la Dignidad de Chantre de la misma, á D. Luis Santos del Pino, Cura Rector de aquella ciudad: para otra Canongía de la Iglesia de Santiago de Chile, que vacó por fallecimiento de D. Andrés del Campo y Galicia, á D. Juan Pablo Fretes; y para</t>
  </si>
  <si>
    <t>Santos, Francisco Antonio</t>
  </si>
  <si>
    <t>Francisco Antonio Santos</t>
  </si>
  <si>
    <t>a Corte á dicho D. Manuel Gil Santibañes, ó en Vigo á D. Diego Nuñez dp Mlircia» Por providencia de D. Francisco Antonio Santos, Comisionado Regio para la enajenación de bienes secularizados en la Diócesi deB.arbastro, se han mandado sacar á pública subasta ,como propias de la Real Caxa de Consolidación, l</t>
  </si>
  <si>
    <t>Santos, María</t>
  </si>
  <si>
    <t>María Santos</t>
  </si>
  <si>
    <t>Doña- Josefa Nolasca , cuya existencia se ignora; y siendo únicos interesados en la herencia de la Doña María Santos,, hermana y tía. respectivamente , se Ies da este aviso- para que puedan concurrir ante la Justicia de dicha villa con legítimos documentos á percibir los» bienes que les correspo</t>
  </si>
  <si>
    <t>Santoyo, Gabriel</t>
  </si>
  <si>
    <t>Gabriel Santoyo</t>
  </si>
  <si>
    <t>esalta al Sargento segundo D. Antonio Arocha: Tenencia en el de dragones de Matanzas al Subteniente D. Gabriel Santoyo: Subtenencia de Compañía al de bandera D. Francisco Alfonso; y esta resulta al Cadete D. Vicente del Junco. También se ha servido el Rey conceder la Tenencia de la Compañía Urbana</t>
  </si>
  <si>
    <t>Sanz, Claudio</t>
  </si>
  <si>
    <t>Claudio Sanz</t>
  </si>
  <si>
    <t>D. Manuel Vicente de Torres, Teniente Corregidor de esta villa y por ante el Escribano de su número D. Claudio Sanz. ^ : El Sr. D. Toírquato Antonio Collado, Tenieríte Corregidor de esta villa, ha señalado el dia 24 del corriente, dé docé á una de su mañana, ante el Escribano del numero D. Juli</t>
  </si>
  <si>
    <t>Sanz, Sebastián Martín</t>
  </si>
  <si>
    <t>Sebastián Martín Sanz</t>
  </si>
  <si>
    <t>s Carretas en dicho Real Sitio. Quien quisiere tratar de ajuste pasará en esta Corre a la tienda de D. Sebastian Martin Sanz, calle Mayor, portales de San Isidro, núm. 15. La Dirección de Abastos, con la idea áe fomentar la libertad, arrendará tablas, y facilitará quanto necesiten los tratante» que quie</t>
  </si>
  <si>
    <t>Sarabia, Francisco</t>
  </si>
  <si>
    <t>Francisco Sarabia</t>
  </si>
  <si>
    <t>er á D; Ignacio GarciMartin ,. D. Fausto Esquerra-, IX Tomas. Ruiz Dávila, D. Luis-Bartolomé Calvo, D. Francisco Sarabia, D. Rafael Figueroa, D; Joaquín Martínez y D. Julián Guarisii, últimos tenedores respective que: fueron de 9 vales. Reales, de 150 pesos, creación de r 0 de Setiembre de 1804, núm</t>
  </si>
  <si>
    <t>Sardina, Manuel</t>
  </si>
  <si>
    <t>Manuel Sardina</t>
  </si>
  <si>
    <t>equadros &amp;c. Los dos tomos se darán enquadernados á la inglesa en un volumen por 250 rs. en casa de D. Manuel Sardina, Profesor de la Real Capilla y de la nueva escuela de Música, plazuela de Santo Domingo, níím. 3,.frente á la guardia» La historia del elefante, con nuevas noticias de hechos admi</t>
  </si>
  <si>
    <t>Sarroca, Joaquín</t>
  </si>
  <si>
    <t>Joaquín Sarroca</t>
  </si>
  <si>
    <t>a una Ración de la Parroquial de la villa de Benavarre, Diócesi de Lérida, vacante por promoción de D. Joaquin Sarroca al Gurato del lugar de Zaydin de la misma Diócesi; y á D. Medardo Vergara para otra de la misma Iglesia, vacante ■por fallecimiento de D. Francisco Faro. En los Regimientos de inf</t>
  </si>
  <si>
    <t>Saturnino de Sta</t>
  </si>
  <si>
    <t>a del Rio Pisuerga, en el Obispado de Palencia, vacante por fallecimiento de D. Manuel Fernandez, á D. Saturnino de Sta. María, Oficial tercero retirado del Ministerio de Mjarina: para el Préstamo Beneficio simple de la Parroquia de Villarejo e*.</t>
  </si>
  <si>
    <t>Saturnino Rodríguez</t>
  </si>
  <si>
    <t>a Parroquial de Villasandino, Diócesi de Burgos, vacante por fallecimiento de D. Francisco Gómez, á D. Saturnino Rodríguez: para el Beneficio sérvidero de la Parroquia de Santiago de la ciudad de Villena, en la Diócesi de Cartagena, vaií cante por muerte de D. Juan-Antonio Arnau, á D. Vito Lucas Escan</t>
  </si>
  <si>
    <t>Savary, General</t>
  </si>
  <si>
    <t>General Savary</t>
  </si>
  <si>
    <t>laincourt, CaballerizoMayor : el General Klarke, Secretario dé Gabinete y Consejero de Estado.^y el General Savary, Comandante de la Gendarmería de la Guardia Imperial. . El dia 5 se hallaba aun el Emperador en Wurtzburgo.</t>
  </si>
  <si>
    <t>apoleón, sino entregarse enteramente á la Rusia. Estos documentos deben mirarse «orno Mstoricos. El General Savary, que sigue el alcance del enemigo con un destacamento de caballería, escribe que el Príncipe de Hohenlp.hé, precisado á salir de Mágdeburgo, se hallaba el 25 entre Rathenau y Rupp</t>
  </si>
  <si>
    <t>el proyecto de retirarse hácía Rostock para embarcarse----- El 31,6 horas después de su partida, el General Savary, con una coiuna de 600 caballos, llegó á Strelitz, donde hizo prisionero al hermano de la Reyna de Prusia, que es General al servicio de aquel Rey. _ . El i.° de Noviembre.se hall</t>
  </si>
  <si>
    <t>l Vístula. Mr. de Schullembourg se presento en Strelitz á pedir un pasaporte para Berlín, y dixo al General Savary que hacia 8 horas que habia visto pasar los restos de la Monarquía Prusiana, y que los tendría en su poder eí General Francés aquel mismo dia ó al siguiente. Es cierto que desde q</t>
  </si>
  <si>
    <t>bre en Demmin-, y el 2 en Tete» row , apoyando la derecha de su cuerpo de exército en Rostock.___E1 General Savary se hallaba el día 1.® en Kratzeburgo, y el 2 á la madrugada ea “Wharén y Jabel. El Príncipe de Ponte*-Corv© acometió la retaguardia del enemigo en Jabel :: el combate fué muy reñi</t>
  </si>
  <si>
    <t>o Inspector, la artillería para el servicio dd exércitu grande. . &gt; •! . . ! ’ '■ *: y \ * . . , El,General Savary, con ?oo caballos del i.° de húsares del 7.° de. car «adores, cercó, inmediato.á VVismar sobre el Báltico.., át General Prusiano Husdunne, y le hizo prisionero con dos brigadas da</t>
  </si>
  <si>
    <t>— Cayó también en poder del Príncipe de Ponte-Corvo un convoy de 300 carros, éñ cuyó alcance iba el General Savary desde Wismar. Entre tanto el enemigo se fortificaba en Lubeck. El Mariscal Soult no habia perdido tiempo en su marcha de Ratzeburgo; de suerte que llegó á la -puerta de Mullen quando</t>
  </si>
  <si>
    <t>nseqüencias. ORDENES DEL DIA. Berlin 8 de Noviembre. El Emperador ha manifestado su satisfacción al General Savary, al primer Regimiento de húsares, y al j.° de cazadores, que tenia á sus ósdenes, por la toma de Wismar, y por haber hecho prisioneros al General Husdunne, con dos Regimientos de</t>
  </si>
  <si>
    <t>r ayer á su guardia de infantería y de caballería en una llanura cerca de las puertas de Berlín. El General Savary con su coluna volante marchó á Rostock; tomó 40 ó 50 buques Suecos en lastre, y los mandó vender inmediatamente. Carta de Mr. de Duben al Rey de Suecia, fecha en Viena a 1 $ de Oc</t>
  </si>
  <si>
    <t>Mariscal. Morticr ha llegado con la octava» división á Hamburgo para cerrar el Elba y el Wesser. El General Savary está encargado del bloqueo dé Hamelen, con la división. Holandesa__ - Lk di visión del Mariscal Laónes se halla: en, Torn._l_La del! Mariscal. Augereáu, está: enBromberg, y á lá; vi</t>
  </si>
  <si>
    <t>hayan cangeado las ratificaciones, siguen las hostilidades, pues no deben cesar hasta entonces. £1 General Savary, á quién el Emperador había dado el mando del sitio de Hameln, llegó el 19 á Eber.sdorff, en las cercanías de aquella plaza; alrdia siguiente- tuvo una conferencia con. el General</t>
  </si>
  <si>
    <t>hijo segundo del Rey. •' ' -Z íi;-‘:'r La fortaleza de Niemburgó capituló el 25 de Noviembre con el General Savary, Comandante de las tropas Francesas y Holandesas que la bloqueaban. El 26 salió la guarnición Prusiana con los honores militares, y en el camino de Minden rindió las armas y bande</t>
  </si>
  <si>
    <t>.° que se asegurase á los Oficiales su paga en las provincias ocupadas por las tropas Francesas. El General Savary respondió „ que no estaba acostumbrado á ceder á ios gritos de la sedición: que la capitulación se executaria sin variación alguna: que los Oficiales Prusianos señan responsables</t>
  </si>
  <si>
    <t>Saviñon, Manuel</t>
  </si>
  <si>
    <t>Manuel Saviñon</t>
  </si>
  <si>
    <t>tes á los Capitanes segundos D. Luis de Lará y Don uan Dávila; á Capitanes segundos á los Tenientes D. Manuel Saviñon, Í &gt;. Josef Fernandez de la Reguera y D. Pedro Bofarull, los dos últimos de granaderos; á Tenientes de granaderos á los de fusileros D. Gabriel Tinajero y D. Domingo Aragón; á Ten</t>
  </si>
  <si>
    <t>Schaal, General</t>
  </si>
  <si>
    <t>General Schaal</t>
  </si>
  <si>
    <t>s están ya nombrados, y Jas compañías de granaderos y cazadores se hallan en estado 4e servicio. El General Schaal, gefe de la legión de:l Rhin, pasó, ayer revista á 8 de-estas Compañías, en presencia del Corregidor, de los gefes d§ las.cohortes y, del cuerpo de Oficiales. Esperan de un instan</t>
  </si>
  <si>
    <t>Schellenberg</t>
  </si>
  <si>
    <t>os de Holanda ha participado á nuestro Senado Ja exaltación al trono de S. M. el Rey Luis Napoleón. Mr. Schellenberg, vecino de Ringenberg cerca de Wesel, ha publicado en un periódico el proyecto de abrir nuevas comunicaciones en todas las partes del globo. Para conseguir este grande objeto prop</t>
  </si>
  <si>
    <t>Schimmelpenninck</t>
  </si>
  <si>
    <t>pasado. HOLANDA. Haya 10 de Junio. El 8 por la mañana pasó una Diputación de SS. A A. PP. á casa de Mr. Schimmelpenninck, para hacerle una despedida solemne, en virtud déla dimisión que hizo de la dignidad de Pensionario el dia 5. De unos dias á esta parte llegan sucesivamente á esta residencia much</t>
  </si>
  <si>
    <t>Schimmelpennink</t>
  </si>
  <si>
    <t>oo libras. HOLANDA. "Haya $ de Junio. Ayer se juntaron extraordinariamente SS. AA. PP. por orden de Mr. Schimmelpennink, para hacer dimisión de su plaza de Gran Pensionario. S. E. en virtud de la facultad que le concede el artículo 41 de la constitución, puso en manos de la Legislatura la renuncia</t>
  </si>
  <si>
    <t>Schmettau</t>
  </si>
  <si>
    <t>nerales, en los que se halla Mr. Schmettau. El número de muertos es inmenso en el exército Prusiano, pues se cuenta que ha habido mas de 2©$ muertos ó heridos. El FeldMariscal Moellendortif salió herido; el Duque de Brunsw</t>
  </si>
  <si>
    <t>Schmettau, General</t>
  </si>
  <si>
    <t>General Schmettau</t>
  </si>
  <si>
    <t>han recogido las particularidades siguientes acercade los motivos de una guerra tan extraña..__ El General Schmettau (muerto prisionero en Weymar) compuso un escrito bastante fuerte, sentando que ei exército Prusiano se debia mirar como deshonrado,; que se hallaba en estado de vencer á los Franc</t>
  </si>
  <si>
    <t>\ loór, mandada por el General Schmettau, constaba de io batallones y- if esquadrones. El cuerpo de reserva de este exército, que mandaba el General Kalkreuth, se componía de 2 q;visiones , qada una de 10 batallones de l</t>
  </si>
  <si>
    <t>Schoeller la de Hamela, General</t>
  </si>
  <si>
    <t>General Schoeller la de Hamela</t>
  </si>
  <si>
    <t>rededor de las fortificaciones de Nietnburgo. Manda esta plaza el Mayor-General de Strachwitz, y el General Schoeller la de Hamela. GRAN BRETAÑA. Londres 21 de Octubre. El exércíto Prusiano consta de 250GI hombres, impacientes todos de pelear. El pueblo Prusiano está animado del mismo espíritu que el exércíto</t>
  </si>
  <si>
    <t>Schulenburgp-Keíinert, Conde</t>
  </si>
  <si>
    <t>Conde Schulenburgp-Keíinert</t>
  </si>
  <si>
    <t>en su lugar una Regencia para el despacho de los negocios baxo la dirección del Ministro de Estado Conde Schulenburgp-Keíinert. Este Ministro salid de aquí el 10 para Nieuburgo; visitará sucesivamente las ciudades principales del Electorado, y á su regreso íixará Su residencia en el palacio Electoral. Se</t>
  </si>
  <si>
    <t>Schwanden, Remigio</t>
  </si>
  <si>
    <t>Remigio Schwanden</t>
  </si>
  <si>
    <t>7°o segundos D. Remigio Schwanden y D. Josef Zelger; á Teniente al Subteniente D. Remigio Traxler; á Subteniente de granaderos al de fusileros D. Ulrico Mayerffisch, y áTeniente supernumerario á D. Xavier Traxler; y e</t>
  </si>
  <si>
    <t>Scio, Felipe</t>
  </si>
  <si>
    <t>Felipe Scio</t>
  </si>
  <si>
    <t>licación para los' que tengan el mismo plano ¿ qiW áe dió con’lá Bibitk traducida por el Ilinó. Sr. Don Felipe Scio; á 10 rs. en pasta.• Selhállárá enlaiibrcríade Burguillos , frente' ábcer menterio dé S. Sebastian, v ■ b oqñdO tínrosS só c.y'.-í! .*£2 -or/x.i n í'j frn TT EN LA IMPRENTÉ ¿gAL.</t>
  </si>
  <si>
    <t>Scott</t>
  </si>
  <si>
    <t>amigo,-y ei compañero de mis viages, ha muerto de disenteria el 28 de Octubre, y dos meses después Mr. Scott, de resultas de una fuerte calentura. Quedo &amp;c. Mango-Parke” , Nota, El portador de esta carta dice haber visto á Mungo-Parke al Este de Sansanding después de habérsela entregado.</t>
  </si>
  <si>
    <t>mente al servicio de Jeswnnt-RaoHoíkar. Aprueba el Coronel Wallace la prudencia y actividad con que Mr. Scott ha dirigido esta operación, y la perseverancia y valor de los Oficiales y soldados, y en especial del Capitán Simpson y del segundo Regimiento de caballería, que han tenido la may</t>
  </si>
  <si>
    <t>Scott, Capitán</t>
  </si>
  <si>
    <t>Capitán Scott</t>
  </si>
  <si>
    <t>de Diciembre de i8o$----- El Coronel Wallace publica el extracto que sigue de la carta que el Capitán Scott escribe al Capitán Agnew enviado como Edecán; contiene la relación de un ataque hecho con felicidad el 22 del mismo mes por el destacamento que manda, contra 3$ bandoleros acaudilla</t>
  </si>
  <si>
    <t>Scult, Mariscal</t>
  </si>
  <si>
    <t>Mariscal Scult</t>
  </si>
  <si>
    <t>íncipe de Ponte Corvo cayó del caballo al embestir coa la caballeríapero no se hizo ningún daño. El Mariscal Scult llegó el 2 á Plauer. De esta forma se cortó el paso para el Oder al enemigo,, quien intentó retirarse á la Pomerania Sueca;: pero viendo que aquel camino estaba también intercepta</t>
  </si>
  <si>
    <t>Se, General</t>
  </si>
  <si>
    <t>General Se</t>
  </si>
  <si>
    <t>eído de víveres para 8 dias. La ciudad está llena de tropas Francesas y Austríacas. La división del General Se-» ras se baila de vuelta. Los Franceses han evacuado la Carniola. El General Austríaco Cavasini, que habia venido á verse con el General Marmont, ha marchado á la Carinthia con las</t>
  </si>
  <si>
    <t>Sebástiani, General</t>
  </si>
  <si>
    <t>General Sebástiani</t>
  </si>
  <si>
    <t>el tratado. \ TURQUIA. ., e®°s rccihido la noticia de que S. M. el Emperador' Napóíéoti nombrado al General Sebástiani para su Embaxádor d&amp;bd d¿ la ‘Sublime puerta Otomana; este ^militar es bastante cónocido5 por' los víages que Ha^ ProJmti*s de Túíqóía después de háber •Servidtr¿n éf xercuo Franc</t>
  </si>
  <si>
    <t>ríncipe de Benevento, dirigida al Gran Visir, en la quai le comunica de. oficio el nombramiento del General Sebástiani á la Embaxada del Emperador de los Franceses cerca de lá Sublime Puerra. Mr. de Italinsky sigue apoyando constantemente la solicitud del Encarado de Negocios Prusiano, en orden á</t>
  </si>
  <si>
    <t>Sebastiani, General</t>
  </si>
  <si>
    <t>General Sebastiani</t>
  </si>
  <si>
    <t>Entre las piedras que caydron había algunas del tamaño de huevos de gallina. Ha pasado por aquí el General Sebastiani, Embaxador de Francia cerca de la Sublime Puerta. Nuestro benigno Hospodar lo ha recibido y festejado, como es justo, con diferentes funciones muy brillantes, y le ha hecho varios</t>
  </si>
  <si>
    <t>m. 8&lt;. GAZETA DE MADRID DEL VIERNES 17 DE OCTUBRE DE 1806. TURQUIA. Constantinopla 2$ de Agosto. El General Sebastiani llegó el 10 del corriente á esta residencia. En el camino se le han hecho todos los honores debidos á su rango, y ademas se le ha obsequiado con la mayor distinción. Llegado aquí</t>
  </si>
  <si>
    <t>Secretario del Príncipe de Benevento</t>
  </si>
  <si>
    <t>vo Embaxador, el General Andreossi, ha presentado sus credenciales. Mr. Durand, Secretario del Príncipe de Benevento, Ministro de Negocios extrangeros de Francia, que ha venido á esta Corte con una comisión, se mantiene todavía aquí. El exército Ruso, que se contiene en sus fronteras, se refuerza cada dia</t>
  </si>
  <si>
    <t>Segovia, Juan Antonio</t>
  </si>
  <si>
    <t>Juan Antonio Segovia</t>
  </si>
  <si>
    <t>a tenido, y autores que mas han sobresalido en la propiedad y pureza del lenguage: en el 2.0 empezó D. Juan Antonio Segovia con un discurso latino,' cuyo tema era: De hodierno Jatinae linguaé usu negligentiori, y se termino con un diálogo acerca de la Mitnlógia é Historia Romana, cerrando el' acta D. P</t>
  </si>
  <si>
    <t>Segre</t>
  </si>
  <si>
    <t>nos: uno en Francés por Mr. Audlad; otro en Alemán por Mr. Zinsheimer; y el tercero en Italiano por Mr. Segre-.íEsté último acaba de-darse á luz, con la traducción Francesa, por la Señorá,Julia Teodora Cerf-Berr, hija de uno de los Diputados. Este, discurso’és muy .notable , por no respira</t>
  </si>
  <si>
    <t>Selma, Fernando</t>
  </si>
  <si>
    <t>Fernando Selma</t>
  </si>
  <si>
    <t>de las manos de este gran Pintor. Ya se está grabando la lámina por el Grabador de Cámara de S. M. D. Fernando Selma, cuyo acreditado nombre basta para manifestar al público el esmero y la atención que se ponen en el desempeño de esta empresa. Para ella ha franqueado también su rica y exquisita</t>
  </si>
  <si>
    <t>Sempere y Guarinos, Juan</t>
  </si>
  <si>
    <t>Juan Sempere y Guarinos</t>
  </si>
  <si>
    <t>ivares, y en Pamplona en la de Longás. : Historia del luxo y de las leyes suntuarias de España, por D. Juan Sempere y Guarinos: 2 tomos en 8.° marquilla. Se hallará en la librería de Munita, calle de las Carretas. Estampa del Beato Francisco de Gerónimo, Sacerdote profeso de la Compañía de Jesús, que muri</t>
  </si>
  <si>
    <t>Sempere, Juan</t>
  </si>
  <si>
    <t>Juan Sempere</t>
  </si>
  <si>
    <t>es á 24 rs. por trimestre, 45 por 6 meses,y 85 por año. Historia de los vínculos y mayorazgos, por D. Juan Sempere, Fiscal de la Chancillería de Granada. Trata del origen y varios estados de la propiedad rural en España; de la introducción de los feudos, y época de su perpetuidad ; de las nove</t>
  </si>
  <si>
    <t>franco, pues de otro modo no se sacarán de la estafeta. Historia de los vínculos y mayorazgos, por D. Juan Sempere, Fiscal de la Chancillería de Granada. Trata del origen y varios estados de la propiedad rural en España; de la introducción de los feudos y época de su perpetuidad; de las noveda</t>
  </si>
  <si>
    <t>Seoane, Bartolomé</t>
  </si>
  <si>
    <t>Bartolomé Seoane</t>
  </si>
  <si>
    <t>de Vigor para una Canongía de la Catedral de Vique, vacante por fallecimiento de D. Benito Boada, á Don Bartolomé Seoane, Gapellan provisional de la Real Arraadaj y para el Beneficio residencial dé la ParroquiadeS. Justo y Pastor de la ciudad de Barcelona, vacante por muerte dé D. Baudilio Valls, á</t>
  </si>
  <si>
    <t>Seoane, Mateo</t>
  </si>
  <si>
    <t>Mateo Seoane</t>
  </si>
  <si>
    <t>Antonio de la Peña,r$e concedió primer premio al mismo D. Mariano Santander y Alvarez; él segundo á D. Mateo Seoane, y el tercero á D. Miguel Antonio de Parra, habiéndose adjudicado el accésit á D. Manuel Blanco y Cieza; consistiendo todos estos premios en libros escogidos pertenecientes á la i</t>
  </si>
  <si>
    <t>Sequera y Carrafa, Antonio</t>
  </si>
  <si>
    <t>Antonio Sequera y Carrafa</t>
  </si>
  <si>
    <t>miar su aplicación promoviendo á Subtenientes del mismo Real Cuerpo á D. Joaquín Villaba y Heredia, D. Antonio Sequera y Carrafa, D. Josef Rodríguez Zambrano y Portocarrero, D. Pedro de la Llave y Coca, D. Josef Mariano del Pulgar y Varo, D. Francisco del BarcoGordon, D. Mariano Narvaez y Narvaez, D. Geróni</t>
  </si>
  <si>
    <t>Serafín Francisco Palomino</t>
  </si>
  <si>
    <t>, vacante en 1¿ Parroquial de la villa de Benafarces, en la Diócesi de Zamora, por fallecimiento de D. Serafín Francisco Palomino, á D. Manuel de Asas Venero. La ciudad de Mérida ha ofrecido al Rey nuestro Señor en las circunstancias del dia, por medio del Excmo. Sr.Generalísimo Príncipe de la Paz, el arbola</t>
  </si>
  <si>
    <t>Seraíin Josef Ortega</t>
  </si>
  <si>
    <t>El tomo 6.° está concluyéndose. Véndese , con los anteriores, en el despacho de la Imprenta Real. A D. Seraíin Josef Ortega, vecino de la villa de Sta. María del Campo, provincia de la Mancharse le ha extraviado un vale Real de 150 pesos, núm. 284539, creación de Enero, endosado en 17 del presente á fa</t>
  </si>
  <si>
    <t>Serapio Sinués</t>
  </si>
  <si>
    <t>erida cátedra en la sala de Juntas generales de la Sociedad, baxo la dirección de su Catedrático el Dr. Don Serapio Sinués, Socio de mérito literario : disertaron los discípulos sobre los asuntos que se sortearon, á saber: el Socio Dr. D. Luis María de Cistué, Caballero de la Real Orden de Carlos m, y</t>
  </si>
  <si>
    <t>Serra, Gerónimo</t>
  </si>
  <si>
    <t>Gerónimo Serra</t>
  </si>
  <si>
    <t>esta resulta al Capitán segundo D. Mariano Temple; el empleo de Capitán segundo al segundo Ayudante D. Gerónimo Serra; esta vacante al Teniente D. Roque Garralon; la Tenencia que este dexa al Subteniente D. Francisco Montrós, y la Subtenencia de bandera al Cadete D. Francisco Delgado. En el Regim</t>
  </si>
  <si>
    <t>SerraboBa, Esteban</t>
  </si>
  <si>
    <t>Esteban SerraboBa</t>
  </si>
  <si>
    <t>oba; para la Canongía de la Colegial de Baza, en la Diócesi de Guadix, vacante por fallecimiento de D. Esteban SerraboBa,á D. Juan Antonio Ruiz de Mendoza: para la Prestamera menor de la Parroquia de Sta. María de la villa de Moya, en la Diócesi de Cuenca, vacante por muerte de D. Martin López Huert</t>
  </si>
  <si>
    <t>Serrano Manzano, Joaquín</t>
  </si>
  <si>
    <t>Joaquín Serrano Manzano</t>
  </si>
  <si>
    <t>de la peste de Atenas por Tucídides, trasladado todo al español ipor el Dr. D. Joaquín Serrano Manzano, Médico, Secretario perpetuo del Real Colegio de Medicina de Madrid, y del Reai Estudio de Medicina práctica. EL conjunto de esta obra se puede mirar con justa razón como el dechado mas n</t>
  </si>
  <si>
    <t>Serrano, Francisco</t>
  </si>
  <si>
    <t>Francisco Serrano</t>
  </si>
  <si>
    <t>adete de Reales Guardias Españolas; y en el de Calatrava Ayudantía al Teniente, graduadode Capitán, D. Francisco Serrano. También se ha servido S. M. promover á Sargento mayor del Regimiento de Dragones de la Reyna al Teniente Coronel D. Josef Velarde, Capí</t>
  </si>
  <si>
    <t>Serrano, Juan</t>
  </si>
  <si>
    <t>Juan Serrano</t>
  </si>
  <si>
    <t>En América. En el Regimiento de infantería de la Havana se ha dignado S. M. promover á Capitanes á D. Juan Serrano y D. Juan Montes, Teniente y Ayudante del mismo cuerpo; á Ayudante al Teniente D. Juan Chenard; á Tenientes á los Subtenientes D. Vicente Martínez, D. Lorenzo Díaz, D. Manuel Chenard</t>
  </si>
  <si>
    <t>Serranó, Miguel</t>
  </si>
  <si>
    <t>Miguel Serranó</t>
  </si>
  <si>
    <t>nte, ;í D. Antonio Viescas: para la Raciotí vacante en la Catedral de Almería, por fallecimiento de D. Miguel Serranó, á D. Manuel Gómez Moya: para otra Ración en la Catedral de Canarias, vacante por promoción de D. Vicente Ramírez á Canongía de la misma, á D. Josef Romero Franchis, Capellán Real</t>
  </si>
  <si>
    <t>Serrant, Capitán</t>
  </si>
  <si>
    <t>Capitán Serrant</t>
  </si>
  <si>
    <t>énegrinos, capitaneados por su Obispo, marchaban á apoderarse de la antigua Ragusa. Hizo marchar al Capitán Serrant, del Regimiento núm. 5.0 de linea, con 2 compañías y 4 cañones para ocupar aquel puesto. En efecto, Serrant entró en la antigua Ragusa el diá 29 por la tarde. Enqontró los habitan</t>
  </si>
  <si>
    <t>Serristori</t>
  </si>
  <si>
    <t>Negra. Luego que S.M. la Reyna Regente tuvo noticia de su arribo, hizo cumplimentar á S. A. I. por Mr. Serristori, que fue recibido por el Príncipe con las demostraciones mas benéficas. S. A. manifestó al mismo tiempo que sentía mucho no poder pasar en persona á visitar á S. M. por la corta m</t>
  </si>
  <si>
    <t>Severo Aguirre</t>
  </si>
  <si>
    <t>tinuación y suplemento del Prontuario alfabético y cronológico, que por órden de materias dió á luz D. Severo Aguirre, de las pragmáticas y demas Reales resoluciones no recopiladas, comprehensivas al año pasado de 1805, y algunas otras délos anteriores, dispuesto según el plan del autor por D. Jo</t>
  </si>
  <si>
    <t>Severo de la Fuente</t>
  </si>
  <si>
    <t>deLoígroño, vacante por promoción de D; Perm5a^SrJ&lt;¿aá á-:Gmón^ojde.;;lg £ktedrál ide Galahorra, á D. Severo de la Fuente^Sastamante, Canónigo de la misma ; y para esta Canongía á D. Josef TibUrcio!de la Calleja, Cura Rector de la propia Colegial: para la Sacristía; Beneficio «simple de la villa de l</t>
  </si>
  <si>
    <t>Sevillano, Juan Martín</t>
  </si>
  <si>
    <t>Juan Martín Sevillano</t>
  </si>
  <si>
    <t>do testimonio del Caballero que por ella había de entrar en éí, se halla posesionado de ella el Sr. D. Juan Martin Sevillano, Regidor perpetuo de aquella ciudad, sin perjuicio de lo que resuelva el Consejo en el litigio que está pendiente-----Idem de la Corona de Aragón. La de Aragón y Valencia al Sr. D</t>
  </si>
  <si>
    <t>Sexo y Terna, María</t>
  </si>
  <si>
    <t>María Sexo y Terna</t>
  </si>
  <si>
    <t>y guarnición ae oro; y las dos cadenas del propio metal y esmaltes para reloxes; y cupo la suerte á Doña María Sexo y Terna, de esta vecindad, en la calle del Baño , núm. 17 , quarto principal, lo que se avisa al publico para su inteligencia ; previniéndose al mismo tiempo que en la propia forma se ver</t>
  </si>
  <si>
    <t>Sexti, Carlos</t>
  </si>
  <si>
    <t>Carlos Sexti</t>
  </si>
  <si>
    <t>s de Corps ha promovido S. M. á Brigadier ai Subrigadier D. Josef Quiñones; á Subrigadier al Cadete D. Carlos Sexti; á Cadete de número al supernumerario D. Juan Gómez, y á supernumerario al Guardia D. Manuel Navas. En la Brigada de Carabineros Reales ha promovido el Rey á Alférez de los esquad</t>
  </si>
  <si>
    <t>Sharpe</t>
  </si>
  <si>
    <t>, presidida por el Lord Corregidor, una discusión bastante viva con motivo de la propuesta que hizo Mr. Sharpe, „de suspender toda disposición relativa á erigir el monumento que anteriormente se habia decretado en memoria de Mr. Pitt.” Desechóse la propuesta por 94 votos contra 58.___Mayor</t>
  </si>
  <si>
    <t>Shee</t>
  </si>
  <si>
    <t>r se habia ya juntado, y solo la carta que ya citada le condenaba. Capitulación del Batallón Saxon. Mr. Shee, Capitán Edecán del General de división Clarke, y el Barón de Hund, Comandante del segundo Batallón dé granaderos Saxones, han Convenido «n los artículos siguientes: i.° El Batall</t>
  </si>
  <si>
    <t>Sheri</t>
  </si>
  <si>
    <t>poder anunciar los nombramientos siguientes : El Duque de Yorck, Comandante en gefe con un Consejo: Mr. Sheri» dan , Tesorero de la Marina : el Duque de Bedford, Vi rey de Irlanda: Mr. Grattan, Canciller del Echiquier en Irlanda &amp;c. §cc. &amp;c. Hoy habrá Consejo privado en que jurarán los nu</t>
  </si>
  <si>
    <t>Sheridan</t>
  </si>
  <si>
    <t>ido introducido en la Cámara de los Pares por los Lores Moyra y Holland. • Se asegura que queriendo Mr. Sheridan ocuparse exclusivamente en los negocios públicos, ha cedido la propiedad y dirección del teatro Real de Drury-Lane á su hijo Mr. Tomas Sheridan". Mr. Fox ha sido reelegido unánime</t>
  </si>
  <si>
    <t>se en utilidad del Tesorero y de su pagador, sin que por esto pudiesen ser molestados. Esperaba que Mr. Sheridan propusiese en la próxima sesión un nuevo bilí, en que esten mejor arregladas las funciones del empleo de Tesorero que ahora exerce. A lo que Mr. Leiscester expuso de que los Juece</t>
  </si>
  <si>
    <t>y mucha parte de los miembros del Consejo, como son Mr. Erskine, los Lores Petty, Howich y Moira, y Mr. Sheridan tienen las mismas disposiciones. Las negociaciones principiadas desde el mes de Marzo habían ya llegado á su madurez: la paz misma, como se decía en el público, ha estado á punto</t>
  </si>
  <si>
    <t>hacer la paz, con Francia; y por lo ménos es cierto que él entabló las negocia-» dones. . .i . . r Mr. Sheridan, en uno de sus discursos al Parlamento, ha dicho que era menester grande inteligencia para coraprehender solo la extensión del talento que tan eminentemente distinguía á Mr, Fox:</t>
  </si>
  <si>
    <t>do ^ aunque: los contrarios del Ministerio de Mr. Pitt quieren, según parece , oponerse,y votar por Mr. Sheridan.__ En la Junta de los miembros de Westminster, que hubo el 18 en la taberna de la Corona y del Ancora, Mr. Sheridan hizo un eioqiiente discurso abandonando .sus pretensiones, como</t>
  </si>
  <si>
    <t>pomposo del Ministro, cuya pérdida lamentable daba motivo á nueva elección ; y después de decir que Mr. Sheridan, Sir Francis Burdett, y Mr. Currau habían rehusado presentarse como candidatos, propuso á Lord Percy , como sugeto que reunía en sí las qualidades propias para determinar la elecc</t>
  </si>
  <si>
    <t>se han presenta Jo candidatos a los Electores de los Cb^dados y Ciudades que envían representantes. Mr. Sheridan, que había rehusado Concurrir con Lord Percy* pon motivo del reemplazo de Mr. Fox, acaba de proponerse á los mismos Electores de Westminster. No se duda que sea sostenido por un p</t>
  </si>
  <si>
    <t>de los mas ricamente cargados. Ya han empezado las elecciones de Vocales para el nuevo Parlamento. Mr. Sheridan, ei\ calidad de candidato por Westminster, halla un competidor muy fuerte en Mr. Paull, que tiene el aura popular. También se ha presentado como candidato el Almirante Hood, que a</t>
  </si>
  <si>
    <t>1048 ventaja á Mr. Sheridan. Mr. Paull tenia anoche 792 votos: Sir Samuel Hood 5 53 , y Mr. Sheridan 394. Se han recibido noticias de todos los navios que componen la esquadra de Sir R. Strachan;, excepto de</t>
  </si>
  <si>
    <t>Sheridan, Tomás</t>
  </si>
  <si>
    <t>Tomás Sheridan</t>
  </si>
  <si>
    <t>n los negocios públicos, ha cedido la propiedad y dirección del teatro Real de Drury-Lane á su hijo Mr. Tomas Sheridan". Mr. Fox ha sido reelegido unánimemente miembro del Parlamento por Westminster. En la junta que ha habido con este motivo hizo un discurso, en que examinó el espíritu y el objeto</t>
  </si>
  <si>
    <t>Sibas, Juan</t>
  </si>
  <si>
    <t>Juan Sibas</t>
  </si>
  <si>
    <t>menca del Real Cuerpo de Guardias de Corps ha promovido el Rey á Cadete de número aL Supernumerario D. Juan Sibas; y á Supernumerario al Guardia D. Faustino Guillen. S. M. se ha servido conceder en el Regimiento de infantería de la Princesa Tenencia al Subteniente D. Baltasar Araujo; y en el</t>
  </si>
  <si>
    <t>Sidmodth, Lord</t>
  </si>
  <si>
    <t>Lord Sidmodth</t>
  </si>
  <si>
    <t>azgo *. el Conde de Moira, Gefe de la Artillería : el Conde de Fitz-WiHiam, Presidente del Consejo: Lord Sidmodth, Guardasellos privado: Lord Ellenborough, voto sin ocupación. Aun no se han determinado definitivamente los sugetos que ocuparán las demas plazas; sin embargo creemos poder anunci</t>
  </si>
  <si>
    <t>Sidmouth, Lord</t>
  </si>
  <si>
    <t>Lord Sidmouth</t>
  </si>
  <si>
    <t>vo es natural que se extiendan varias voces sobre el nuevo gobierno que debe sucederle. Se habla de Lord Sidmouth ( Addington }, de Lord Welies2íey, de Mr. Fox, de Lord Grenville y de Lord Spencer; y aun no falta' quien hable de los Lores Gastlereagh y Hawkesbury. La voz solo de que ®e nombra</t>
  </si>
  <si>
    <t>asado le fuéroií presentados por Lord Grenvilíe , y qhe aprobó. Los nombramientos hechos son estos. Lord Sidmouth, Presidente del Consejo, én lugar de LordFitzWilliam, que hace dimisión de la Presidencia, y conserva la plaza de individuo del Consejo. Lord^olland, Lord del sello privado, en lu</t>
  </si>
  <si>
    <t>ho dimisión en manos del Rey de su empleo de Presidente del Consejo, y en su lugar ha sido nombrado Lord Sidmouth, Lord Spencer ha comunicado á los Comandantes de la marina Real, á los Tribunales del Almirantazgo &amp;c. una orden del Rey, fecha á 24 de Setiembre, en que se manda que todas las na</t>
  </si>
  <si>
    <t>Sidney Smith</t>
  </si>
  <si>
    <t>r 18 de SS. MM. y de las Princesas; con motivo de su viage al Continente. Lleva consigo 6 Edecanes. Sir Sidney Smith va á embarcarse á bordo del navio Pompeyo,.con des-; tino primeramente á Gibraltar. Se presume que luego se reunirá al Almi^¡ rante Collingwood, baxo cuyas órdenes se le dará un m</t>
  </si>
  <si>
    <t>l Almirante Conde de S. Vicente ha padecido un ataque muy violento de gota; pero está muy mejorado. Sir Sidney Smith ha salido el 6 de Gibraltar para Malta á bordo del Pómpeyo con dos transportes.</t>
  </si>
  <si>
    <t>Sievers, General</t>
  </si>
  <si>
    <t>General Sievers</t>
  </si>
  <si>
    <t>dados por'el General Príncipe de Wolkonskoy. El de Kobryn se compone de 2© hombres, mandados por el General Sievers. El deWilna tendrá unos 10© hombres. Los Prusianos han puesto aceleradamente varios almacenes en Varsovia, y es regular que se trasladen á Silesia. Nuestra Corte y la de Hesse-Cas</t>
  </si>
  <si>
    <t>Siles, Antonio</t>
  </si>
  <si>
    <t>Antonio Siles</t>
  </si>
  <si>
    <t>res clases de agricultura, industria y artes desde la junta pública anterior,que leyó su Secretario D. Antonio Siles; y la Señora Doña María del Rosario Cepeda de Gorostiza leyd asimismo el de las actas de la junta de. Señoras de nonor y mérito, de que es Secretaria. Enseguida se procedió á la d</t>
  </si>
  <si>
    <t>Silvela, Manuel</t>
  </si>
  <si>
    <t>Manuel Silvela</t>
  </si>
  <si>
    <t>elogio del Soberano el primer Censor D. Josef Vítor de Oñate, leyendo después el segundo Secretario D. Manuel Silvela el extracto de. las actas desde el año anterior. De seguida el expresado Sr. Director dio los premios á los individuos que después de los exámenes públicos, y privados resultaron ma</t>
  </si>
  <si>
    <t>Silvestre Ramírez</t>
  </si>
  <si>
    <t>e fusileros D. Salvador Valdejuli; á Subtenientes de fusileros á los de bandera D. Felipe Carvajal, D. Silvestre Ramírez y D. Josef López; y ¿ Subtenientes de bandera al Sargento primero de granaderos D. Miguel García, y á los Cadetes D. Juan Nuñez, D. Carlos Nuñez y D. Francisco Josef Miura : á Tenient</t>
  </si>
  <si>
    <t>Simcoe, General</t>
  </si>
  <si>
    <t>General Simcoe</t>
  </si>
  <si>
    <t>neral de las tropas de la India al General Lake, quien vuelve á Inglaterra con grandes caudales._El General Simcoe mandará en el Cabo de Suena-Esperanza. FRANCIA. Strasburgo jo de Marzo. Algunos Regimientos de caballería que estaban en marcha para la orilla izquierda del Rhin, y ya muy cercano</t>
  </si>
  <si>
    <t>cortar los cables quandó el enemigo se hallaba á 5 leguas de ía islaa, Escriben de P ymouth que el General Simcoe se ha embarcado á bor1 do de la fragata Sta. Margarita, y se ha hecho inmediatamente á la vela: 2ñaden que en Lisboa se juntarán fuerzas navales muy poderosas. Ademas del cavío Hi</t>
  </si>
  <si>
    <t>Símoain</t>
  </si>
  <si>
    <t>de caracol; las pechinas, las escaleras de ojo, y toda especie de.arcos &amp;c., escrito en francés por Mr. Símoain, Profesor de Matemáticas: dado á luz por Mr. Delagardette, Arquitecto pensionado de S. M. Cristianísima, y traducido.slrespañol por D. Fausto Martínez de la Torre y D. Joscf Asens</t>
  </si>
  <si>
    <t>SimonRuiz</t>
  </si>
  <si>
    <t>de Casa García, del Consejo de S. M., en el Supremo de Castilla, por la escribanía de provincia de D. SimonRuiz, cuyas posturas, con arreglo á lo acordado en junta general de .21 de Diciembre último , solo se admitirán en vales Reales por el todo de la tasa, y en metálico cubriendo las dos</t>
  </si>
  <si>
    <t>Simpson, Capitán</t>
  </si>
  <si>
    <t>Capitán Simpson</t>
  </si>
  <si>
    <t>dirigido esta operación, y la perseverancia y valor de los Oficiales y soldados, y en especial del Capitán Simpson y del segundo Regimiento de caballería, que han tenido la mayor parte en esta ocasión. Extracto de la carta. =: Peepry, d 4 millas al Norte del rio Poorinak, d 22 de Diciembre de 180$._</t>
  </si>
  <si>
    <t>Sincoe, General</t>
  </si>
  <si>
    <t>General Sincoe</t>
  </si>
  <si>
    <t>puerto ha salido un parlamentario con 70 prisioneros Franceses para Morlaix, donde se canjearán. El General Sincoe, nombrado Comandante en gefe para la India, ha fallecido el domingo en Topsham: algunos dias ántes habia estado en Torbay á disponer lo necesario para su partida: dexa á su muger</t>
  </si>
  <si>
    <t>Sinewief, Almirante</t>
  </si>
  <si>
    <t>Almirante Sinewief</t>
  </si>
  <si>
    <t>considerable de artillería/* GRAN BRETAÑA. Londres $ dé Diciembre. La esquádra Rusa mandada por el Almirante Sinewief, que acaba de hacerse á la vela de Spithead para el Mediterráneo, arribará primeramente á Corfú. . Se ha dado orden á los buques Suecos que se hallan én los puertos dé Inglaterra</t>
  </si>
  <si>
    <t>Siniavin, Almirante</t>
  </si>
  <si>
    <t>Almirante Siniavin</t>
  </si>
  <si>
    <t>ado á las islas del mar Jónico, en donde también está cruzando la esquadra Rusa mandada por el Vice-Almirante Siniavin. Diariamente se aumentan el desorden y la anarquía en Egipto. Los Beyes permanecen en los patages altos del pais, y desde allí menudean sus farales correrías en el Delta. Es cosa</t>
  </si>
  <si>
    <t>Sir Borlasse Warren, Almirante</t>
  </si>
  <si>
    <t>Almirante Sir Borlasse Warren</t>
  </si>
  <si>
    <t>eridos en la batalla naval de Trafalgar, ascienden á 104® libras esterlinas. El 12 por la mañana el Almirante Sir Borlasse Warren se ha hecho á la vela de Portsmouth con una esquadra de 7 navios de línea, 3 fragatas y una balandra. Lord Hawkesbury ha dirigido á los Magistrados de los Condados una, circular q</t>
  </si>
  <si>
    <t>Sir David Baird, Coronel</t>
  </si>
  <si>
    <t>Coronel Sir David Baird</t>
  </si>
  <si>
    <t>ara la bahía de Chesapeak. Continúan marchando tropas hácia las costas. El Regimiento 54, de que es Coronel Sir David Baird', va á embarcarse en Portsmouth. Otros varios cuerpos de infantería y de artillería han llegado ya al parage donde se han de embarcar, 6 en que tienen orden de estar prontos para e</t>
  </si>
  <si>
    <t>Sir John Warren, Almirante</t>
  </si>
  <si>
    <t>Almirante Sir John Warren</t>
  </si>
  <si>
    <t>sus tropas. El 23 empezará la causa del Almirante Calder, á bordo del Gladiador, en Portsmouth. El Almirante Sir John Warren ha izado su pabellón á bordo del Foudroyant en Portsmouth. Este Oficial tendrá un mando separado , y se pondrán muy pronto algunos navios á sus órdenes. La segunda división de los</t>
  </si>
  <si>
    <t>Sir Roberto Calder, Almirante</t>
  </si>
  <si>
    <t>Almirante Sir Roberto Calder</t>
  </si>
  <si>
    <t>GRAN BRETAÑA. Londres 31 de Diciembre. La sentencia dada por un Consejo de Guerra en el asunto del Almirante Sir Roberto Calder es como sigue: ,, En vista de la carta escrita por el Almirante Sir Roberto Calder á los Lores del Almirantazgo , en que pide se examine la conducta que tuvo en los dias 23 y 24 de</t>
  </si>
  <si>
    <t>Sirera y Sánchez, Francisco</t>
  </si>
  <si>
    <t>Francisco Sirera y Sánchez</t>
  </si>
  <si>
    <t>n Moro de Flores y Mendez, D. Josef Villavicencio y Rodríguez de Arias, D. Fulgencio Anrich y Gómez,D. Francisco Sirera y Sánchez, D. Josef Ranero y Santelices, D. Lorenzo Villegas y Coronel, D. Juan del Rio y Noguerido, D. Josef Carreño y Ramírez, D. Juan VanHalen y Sarti, D. Josef González de Argandoña, D.</t>
  </si>
  <si>
    <t>Siso, Antonio</t>
  </si>
  <si>
    <t>Antonio Siso</t>
  </si>
  <si>
    <t>adron de caballería de Milicias disciplinadas de la ciudad de Caracas al Teniente del propio Cuerpo D. Antonio Siso; esta Tenencia al Alférez D. Narciso Blanco; su resulta al Portaestandarte D. Francisco Pelaez, y este empleo ál Cadete D. Manuel Escalona. En el de Milicias disciplinadas de caba</t>
  </si>
  <si>
    <t>Sixto Carrera</t>
  </si>
  <si>
    <t>an Manuel Gallardo, D. Antonio Josef Laso de la Vega , D. Vicente Perez Idiaquez, D. Mateo de Soto, D. Sixto Carrera, D. Remigio.Diaz y D. Mauricio Zelaya; y de bandera á D. Pedro Luque y D. Juan Miguel Morazan, todos vecinos de la jurisdicción del mismo cuerpo. El Rey se ha dignado conceder la</t>
  </si>
  <si>
    <t>Slingsby Simpson, Capitán</t>
  </si>
  <si>
    <t>Capitán Slingsby Simpson</t>
  </si>
  <si>
    <t>bién por la de otros dos buques armados nombrados z\-Cambri*n% su Capitán Juan Nairne, y el Driver, Capitán Slingsby Simpson, todos 3 de la misma nación, que se ayudaban mutuamente para exercer sus continuas rexáciones. ,,En conseqiiencia de dichas acusaciones, y atendiendo á que el mencionado Henrique</t>
  </si>
  <si>
    <t>Smith, Adam</t>
  </si>
  <si>
    <t>Adam Smith</t>
  </si>
  <si>
    <t>es. Investigación de la naturaleza y causas de la riqueza de las naciones, escrita en ingles por el Dr. Adam Smith, y traducida al castellano por el Lie. D. Josef Alonso Ortiz, con varias notas é ilustraciones relativas á España; segunda edición, muy corregida y mejorada. Esta obra, que hará i</t>
  </si>
  <si>
    <t>Smitln Esta, General</t>
  </si>
  <si>
    <t>General Smitln Esta</t>
  </si>
  <si>
    <t>ríiino comespa•da en mano por fencima de los ¡cadáveres; del enemigo, quien perdió 4® hom;bres y al General Smitln Esta jornada decidió la qiiestion entre, la infantería Francesa y la Rusa; durante 7 horas se vio que la artillería abría las colimas y filas enteras, que caían baxo la bayoneta de los</t>
  </si>
  <si>
    <t>Soberano de Wurtzburgo, Príncipe</t>
  </si>
  <si>
    <t>Príncipe Soberano de Wurtzburgo</t>
  </si>
  <si>
    <t>o, se habia hecho á la vela de aquel puerto el dia anterior'con otros muchos buques de guerra. — Eb Príncipe Soberano de Wurtzburgo, hermano del Emperador de Austria, ha’accedido á la&lt;nueva Confederación formada por los Príncipes del mediodia^de-Alemania. Así se debe considerar el Estado de Wurtzburgo como par</t>
  </si>
  <si>
    <t>Soellmg, Capitán</t>
  </si>
  <si>
    <t>Capitán Soellmg</t>
  </si>
  <si>
    <t>í( ' En la semana pasada zarpo de este puerto una de las lanchas insumergibles y inventadas por el Capitán Soellmg, que se envía de regaló á S. M. el Emperador de Rusia; va mandando esta embarcación el Teniente Moeller., , En una Gazeta literaria de Leipsick se han publicado tres hechos , ios,</t>
  </si>
  <si>
    <t>Sofía de Glocester, Princesa</t>
  </si>
  <si>
    <t>Princesa Sofía de Glocester</t>
  </si>
  <si>
    <t>de la Princesa Carlota de Gales desde 6 hasta 7®: las de las Princesas desde 5 hasta 6® : las de la Princesa Sofía de Glocester desde 4 hasta 5® anuales; y las del Duque de Glocester de 8 hasta 14®. A la Duquesa viuda de Glocester se le señala una renta anual de 4® libras esterlinas. Estas rentas se asegurará</t>
  </si>
  <si>
    <t>Soillt, Mariscal</t>
  </si>
  <si>
    <t>Mariscal Soillt</t>
  </si>
  <si>
    <t>á te do el día 25' en Potsdám---- :EI cuerpo del Mariscal Ney bloquea á Mágdeburgo.__ El cuerpo del Mariscal Soillt ha pasado el Eiha,á una jornada de Mágdeburgo, y persigue al enemigo, que se retira sobre Stettin.__ El tiempo se mantiene bueno, y e$ este seguramente el otoño más he raiceo que</t>
  </si>
  <si>
    <t>SojSeñá, Pedro</t>
  </si>
  <si>
    <t>Pedro SojSeñá</t>
  </si>
  <si>
    <t>ma, campiña de Alcalá, y ií 6 leguas de dístábdia de la dorte, acuda en ella á tratar dé-ajúste con D. Pedro SojSeñá, que1 viveven&lt; la plazuela de laCebada, casa contigua á la Iglesia de nuestra Señora de Gracia. - ' : " Se vende una' casa sita en la calle Mayor, núm.i 5, manz.t 93, tasada en 72</t>
  </si>
  <si>
    <t>Solas, Pedro</t>
  </si>
  <si>
    <t>Pedro Solas</t>
  </si>
  <si>
    <t>en el Regimiento de infantería de Ultonia Compañía al Teniente de granaderos, graduado de Capitán, D. Pedro Solas; y en los de Navarra y Ñapóles á los Subtenientes D. Ramón Diaz y D. Josef Escandon. S. M. se ha servido conceder en el Regimiento Suizo de Preux empleos de Capitanes segundos al</t>
  </si>
  <si>
    <t>Soldán, Pedro</t>
  </si>
  <si>
    <t>Pedro Soldán</t>
  </si>
  <si>
    <t>ante servicio que hizo el 24 de Diciembre último el Alférez de Fragata y primer Piloto de la Armada D. Pedro Soldán con la lancha cañonera de su mando, la qual perseguida de dos fragatas de guerra Inglesas, se refugió á la costa firme de Caracas; y tomando en ella pugna posición, sostuvo reñido</t>
  </si>
  <si>
    <t>Soler y Planas, Antonio</t>
  </si>
  <si>
    <t>Antonio Soler y Planas</t>
  </si>
  <si>
    <t>les, Racionero de la propia Iglesia : para la Ración que este dexa^a D. Ignacio María del Mármol: á D. Antonio Soler y Planas para un Beneficio de la Colegial de S. Juan de las Abadesas, Diócesi de Vique, baxo la invocación de Sta. Catalina: á D. Jayme Oliva para otro de la Parroquial de Sta. María de la</t>
  </si>
  <si>
    <t>Soler, Miguel Cayetano</t>
  </si>
  <si>
    <t>Miguel Cayetano Soler</t>
  </si>
  <si>
    <t>original aprobado por S.M. en S. Lorenzo d 24 de Diciembre de 180$ y y comunicada por el Excmo. Sr. D. Miguel Cayetano Soler, de que certifico y firmo: Kamon Prieto y Ortega 3 Secretario del cuerpo de Comercio de Madrid. Para la execucion de este plan el Comercio ha formado una Junta de Gobierno, compue</t>
  </si>
  <si>
    <t>órps del Príncipe ; los Excmos. Sres. B.Pedró Getfallos, primer Secretarla fdél Despacho de Estado; D. Miguel Cayetano Soler, del de Háciéndk; el Baylío D. Francisco Gil, del de Marina; el Sr. D. Bernardo Riega, del Consejo Reai y iSupremo; y Asesor dedá Real Casa; y el Bséribáab déf la misma D^Juan fVí</t>
  </si>
  <si>
    <t>Solo de Zaldivar, Juan</t>
  </si>
  <si>
    <t>Juan Solo de Zaldivar</t>
  </si>
  <si>
    <t>, Teniente Coronel del de Voluntarios de Castilla; Subtenencia de bandera en dicho Cuerpo ai Cadete D. Juan Solo de Zaldivar, y en el de Mallorca y España a los Cadetes de los mismos D. Temas de Mendoza y Sande y D. Francisco Sánchez Muñe z. • m ■■ ; S. M. ha conferido Tenencia en él •Regimiento de drag</t>
  </si>
  <si>
    <t>Soltikow, Conde</t>
  </si>
  <si>
    <t>Conde Soltikow</t>
  </si>
  <si>
    <t>los guardias que habian quedado en los hospitales; y esperamos que llegue muy pronto el cuerpo del Conde Soltikow. DINAMARCA. Copenhague i.° de Jidio. S. A. el Príncipe Real ha pasado revista el 11 del pasado á su Regimiento cerca de Kiel, y en los dias siguientes á los Regimientos de Schlesw</t>
  </si>
  <si>
    <t>Somal, Joaquín</t>
  </si>
  <si>
    <t>Joaquín Somal</t>
  </si>
  <si>
    <t>ñola Je Reales Guardias de Corps se ha servido el Rey promover á Cadete áe número al supernumerario D. Joaquín Somal o, y á supernumerario al Guardia D. Gaspar Morales. El Rey se ha servido .conferir el empleo de Coronel del Regimiento de infantería de Aragpn al Coronel D. Esteban Porlier, Tenie</t>
  </si>
  <si>
    <t>Songis, General</t>
  </si>
  <si>
    <t>General Songis</t>
  </si>
  <si>
    <t>l de artillería sumo-descontento por no haber visto completa la artillería de la división Gazan. El General Songis. dará inmediatamente las ordenes competentes para completarla sin dilación-....”, ^ Orden del dia 2j. „ Antes de ayer pasó revista el Emperador á la división del General Saint-Hil</t>
  </si>
  <si>
    <t>e esta clase Casals, y los darruages con los pontones el Coronel Boucher. El Emperador manifestó al General Songis lo satisfecho que estaba de su actividad en tener pronta , como Inspector, la artillería para el servicio dd exércitu grande. . &gt; •! . . ! ’ '■ *: y \ * . . , El,General Savary, c</t>
  </si>
  <si>
    <t>Sorbier, Coronel</t>
  </si>
  <si>
    <t>Coronel Sorbier</t>
  </si>
  <si>
    <t>a sido nombrado Gefe del Estado mayor; el General Buchet, Comandante en gefe de la Artillería; y el Coronel Sorbier, Comandante en gefe de Ingenieros.”=: Firmado, El Príncipe Eugenio. Ayer el Gobierno provisional publico una proclama á los habitantes de Padua en estos términos: » La llegada á e</t>
  </si>
  <si>
    <t>Sorokin, Almirante</t>
  </si>
  <si>
    <t>Almirante Sorokin</t>
  </si>
  <si>
    <t>arcaciones que cruzaban baxo sus órdenes. A los cinco dias llegué á las bocas, en donde encontré al Almirante Sorokin con los navios la Elena y la Paraskemija; el navio Urjil estaba apostado de orden suya en Ragusa la vieja, y allí me encaminé yo al dia siguiente á bordo del SelafaiL\EX Arzobispo</t>
  </si>
  <si>
    <t>Sotelo, Joaquín María</t>
  </si>
  <si>
    <t>Joaquín María Sotelo</t>
  </si>
  <si>
    <t>Sr. Alcalde D. Alfonso Duran, por la escribanía de D. Juan Garrido. En virtud de providencia delSr.D. Joaquín María Sotelo, del Consejo de S. M., su Oidor en la Real Audiencia de Sevilla, Juez de lo Civil en la plaza de Cádiz, y Auditor interino de Guerra del Exércítoy Provincia de Andalucía, se cita,</t>
  </si>
  <si>
    <t>Soto, Antonio</t>
  </si>
  <si>
    <t>Antonio Soto</t>
  </si>
  <si>
    <t>tería de Voluntarios de Castilla se ha servido S. M. conceder Tenencia al Subteniente de granaderos D. Antonio Soto. El REY.se ha servido conceder én el Regimiento de infantería de Sevilla Subtenencia de bandera ai Cadete D. Rafael JunguitoFn el' Regimiento de caballería de Algarbe sé ha servid</t>
  </si>
  <si>
    <t>Soto, Francisco</t>
  </si>
  <si>
    <t>Francisco Soto</t>
  </si>
  <si>
    <t>taría del Consejo y Cámara de Indias, departamento del Reyno de Nueva-España, vacante por muerte de D. Francisco Soto, á D. Josef de la Torre, Oficial segundo; declarando al mismo tiempo los ascensos á los demas, y confiriendo la última de número á D. Baltasar Santos Maldonado. D. Ramón Antonio M</t>
  </si>
  <si>
    <t>Soto, Segundo</t>
  </si>
  <si>
    <t>Segundo Soto</t>
  </si>
  <si>
    <t>el Perú, se ha servido el Rey promover á Capitanes á los Tenientes D. Diego Baez, D. Alberto Vidal, D. Segundo Soto y D. Alberto de Cárdenas; á Teniente de granaderos al de fusileros D. Francisco Velazquez, y á Tenientes de fusileros á los Subtenientes D. Laureano Oyarzun, D. Mateo Ruiz, D. Virgini</t>
  </si>
  <si>
    <t>Sotonpyor Teniente, Luis</t>
  </si>
  <si>
    <t>Luis Sotonpyor Teniente</t>
  </si>
  <si>
    <t>ha dignado conferir el empleó de Ayudante mayor del 4.0 Regimiento del Real Cuerpo de Artillería á D. Luis Sotonpyor Teniente , de Artilleros á caballo del propio Regimiento; y ha nombrado por Tenjente del expresado Real Cuerpo al Subteniente D. Juan Bravo. ? : En America. S. M. se ha servido nombrar par</t>
  </si>
  <si>
    <t>Soubiran y Mantelan, Carlos</t>
  </si>
  <si>
    <t>Carlos Soubiran y Mantelan</t>
  </si>
  <si>
    <t>o Godoy y Castro, D. Pedro López de Carrizosa , D. Antonio Ribera y Vázquez , D. Josef Paez y Mesa, D. Carlos Soubiran y Mantelan, D. Miguel Quesada y Tarriba, D. Toribio Pasalagua y Martinez, D. Vicente Fernandez de Mesa, D. Francisco de Nava y Rodríguez, D. Antonio Diaz de Herrera, D. Francisco Rodríguez L</t>
  </si>
  <si>
    <t>Souh, Mariscal</t>
  </si>
  <si>
    <t>Mariscal Souh</t>
  </si>
  <si>
    <t>a;: pero viendo que aquel camino estaba también interceptado, trató de volver al Elba;, mas como el Mariscal Souh se había adelantado para cortarle, parece que -ce ha dirigido á uno de los puntos mas inmediatos á las costas, adonde debe hallarse el 4 ó de Noviembre sin recursos. Sin embargo,</t>
  </si>
  <si>
    <t>Soult y del Príncipe de Ponte-Corvo, Mariscal</t>
  </si>
  <si>
    <t>Mariscal Soult y del Príncipe de Ponte-Corvo</t>
  </si>
  <si>
    <t>Franceses podían haber de xa do libres; pero con las marchas combinadas del Gran Duque de Berg, del Mariscal Soult y del Príncipe de Ponte-Corvo, se hallaban con todos los pasos tomados. El enemigo procuró desde luego ir á Anklan, y desde allí á Rostock; mas como viese la imposibilidad de executar su proyectó, determinó vo</t>
  </si>
  <si>
    <t>Soult, Mariscal</t>
  </si>
  <si>
    <t>Mariscal Soult</t>
  </si>
  <si>
    <t>: el Mariscal Morder la , Moravia: el Mariscal Davoust ocupa á Presburgo, capital de la Hungría: el Mariscal Soult ocupa á.Viena: el Mariscal Ney ocupa la Carintia: el General Marmont la Styria; el Mariscal Massena la Carniola: el Mariscal Augereau queda en reserva en la Suabia. El Mariscal Ma</t>
  </si>
  <si>
    <t>talla de Austerlitz. „ S. M. pgsó ayer revista á la división Vandamme. El Emperador ha encargado al Mariscal Soult que haga saber á esta división como ha quedado contento de su bizarría, y que asimismo ha vuelto á ver con satisfacción, después de la batalla de Austerlftz, completos y en tan bu</t>
  </si>
  <si>
    <t>del General Viakmnes, que consta de un Regimiento de húsares y de 3 de cazadores. 3.0 El cuerpo del Mariscal Soult, acantonado en la Baviera inferior sobre ías dos márgenes del Danubio, se compone de la división del Gene</t>
  </si>
  <si>
    <t>por el puente de Kell. Si debemos no obstante creer las noticias del exército r solo el cuerpo del Mariscal Soult pasará por Keli, el del Mariscal N-ey por el Nuevo-Brisac,. el del Mariscal Dávoust por Manheim , y los de los Mariscales Bernadotte y Mortierpor Maguncia. £n quanto á lo demas se</t>
  </si>
  <si>
    <t>o de los Mariscales Mortier y Bernadotte pasarán por Manhein á su vuelta á Francia, y el cuerpo del Mariscal Soult entrará por Strasburgo, por donde entrarán también los de los Mariscales Davoust y Ney. Por Maguncia entrarán los que mandan Augereau y Lefevure. Se ha publicado en Berlín una obra,</t>
  </si>
  <si>
    <t>os Mariscales Mortier, Bernadotte y Augereau pasarán el mismo rio por el puente de Maguncia. El del Mariscal Soult y las diferentes reservas de caballería lo pasarán por el puente de Strasburgo. El del Mariscal Davoust lo pasará por el puente de Spira. „La$ especulaciones del agiotage han hecho baxa</t>
  </si>
  <si>
    <t>todos los Franceses que pasan por la Suabia y la Baviéra para incorporarse al trozo de exército del Mariscal Soult son nuevos conscriptos, y que mucha parte de ellos no están aún vestidos de soldados.,-*^Mr. Roussier, Teniente. Coronel Francés del Cuerpo de Ingenieros, que: principió hace 10 m</t>
  </si>
  <si>
    <t>ariscal Ney ha pasado ya el Danubio, dirigiéndose también á la Franconia. El cuerpo de exército del Mariscal Soult marcha en diferentes divisiones hacia Nuremberga y á las fronteras del Principado de Bareuth. La ciudad de Passau será ocupada únicamente por tropas Bavaras. Los dos Regimientos q</t>
  </si>
  <si>
    <t>_ El quartel general se hallaba en Gera___ El Emperador estaba en marcha para Jena; y el cuerpo del Mariscal Soult caminaba desde Gera á apostarse mas cerca de la reunión de los caminos de Naumburgo y de Jena. La posición del enemigo era la siguiente.__ Deseando el Rey de Prusia principiarlas</t>
  </si>
  <si>
    <t>raba del centró, que ocupaba el cuerpo del Mariscal Lannes. La derecha se formaba por el cuerpo del Mariscal Soult; el Mariscal Ney solo tenia el corto número de 3© hombres. "f El exército enemigo era numeroso, y se veía una excelente caballería. Sus maniobras las executaba con orden y rapidez</t>
  </si>
  <si>
    <t>oderan de almacenes y municiones de toda especie. El Mariscal Davoust acabá de tomar 30 cañones: el Mariscal Soult 3© toneles de harina; y el Mariscal Bernadotte 1500 prisioneros: el exército enemigo está de tal modo disperso y mezclado con nuestras tropas, que uno de sus batallones virio á co</t>
  </si>
  <si>
    <t>stros Generales, á quienes han encontrado, han hecho creer que estaba concluido este armisticio. El Mariscal Soult llegó el 16 a Greusen, persiguiendo lá coluna en que iba el Rey, que se cree se componía de ro ó 12® hombres. El General Kalkreuth, que la mandaba, envió á decir al Mariscal Soult</t>
  </si>
  <si>
    <t>chos en Weiosenfels. En una aldea se ha encontrado herido mortalmente al General en gef$ Ruchel: el Mariscal Soult le ha enviado su Cirujano. Parece que es un de-' creto de la Providencia que todos los que han.promovido esta guerra hayan perecido ios primeros. DIARIO UNDECIMO DEL EXERCITO GRAN</t>
  </si>
  <si>
    <t>as colunas sean cortadas antes que lleguen á aquella plaza. Hace dias que no se tienen noticias del Mariscal Soult, que ha sido destacado con 40© hombres para seguir ei alcance del exército enemigo. ‘El Emperador ha atravesado ei campo de batqlla de Rosbach, y ha mandado que se lleve á París l</t>
  </si>
  <si>
    <t>rdhausen almacenes muy provistos, y una caxa del Rey de Prusia llena de plata. En los 5 dias que el Mariscal Soult ha estado persiguiendo al enemigo ha hecho 1200 prisioneros, cogido 30 cañones y 200 ó 300 caxones de municiones. Se ha logrado el primer fin á. que se dirigía la campaña; pues la</t>
  </si>
  <si>
    <t>prisioneros de lá guardia del Rey , y tomó todos los equipages de aquel cuerpo. Dos horas antes él‘ Mariscal Soult habia hecho prisioneras dos compañías de lá guardia Real de infantería. El Teniente General Conde de Schmettau, que había quedado prisionero, ha muerto en Weymar. Así pues, de est</t>
  </si>
  <si>
    <t>o: al toíiiáf !á vuelta de ésta ciudad hizo el General de división Legrand algunos prisioneros : el Mariscal Soult está apostado al rededor'fde? la ciudad , adonde ha enviado el Gran Duque de Berg al Gefe de sú Estado mayor Belliard. Este General ha tenido una con-: ferencia con el Príncipe de H</t>
  </si>
  <si>
    <t>Sóult, Mariscal</t>
  </si>
  <si>
    <t>Mariscal Sóult</t>
  </si>
  <si>
    <t>s muy provistos de efectos de campaña y de vestuario, y 'se están haciendo los inventarios. •/ &gt; Ei Mariscal Sóult sigue ebalcance :á una coluna mandada -por eLDuqtie de Weymar, que se presentó el 23 en las cercanías de Mágdeburgo, donde nuestras tropas estaban ya desde el 20. Es regular que e</t>
  </si>
  <si>
    <t>sirve ai mismo tiempo de comunicación entre éí Gran Duque de Béfg l eF Príncipe dé Ponte-Corvo y el Mariscal Soult. ( .. liemos .tomadp posesión de los Estados y desarmado todas las tropas del Duque de "Brunswick., á quien se cree refugiado en Inglaterra. Si el pueblo Francés mira justamente c</t>
  </si>
  <si>
    <t>aprisionado antes que llegue al Oder. — En igual situación se halla el Duque de Weymar respecto del Mariscal Soult. Había ei Duque mostrado intención de pasar el Elba en Tanger-Munde para llegar al Oder; pero el Mariscal Soult se: le anticipó eL 25. Si se le alcanza, no se escapará ni un hombr</t>
  </si>
  <si>
    <t>" .ib ' ' M'í 'r •. • El Duque de Weymar ha logrado pasar el Elba en Haverlberg. El día 29 llegó el Mariscal Soult á Rathnau, y el 30 á Wertenhánsen: la coluna del Duque de Weymar estaba el 29 en Rhinsberg, y el Príncipe de Ponte-Corvo en Furstemberg; por consiguiente se puede dar por cierto q</t>
  </si>
  <si>
    <t>estaba cortado el camino de Stettin , tomaron hacia la izquierda como dirigiéndose al Elba; pero el Mariscal Soult habia previsto este movimiento, con lo que ya casi se pueden mirar como nuestras las dos colunas. El mismo Mariscal ha juntado su división en Stettin, en donde cada dia se descubr</t>
  </si>
  <si>
    <t>una pertenece al cuerpo cuyo alcance siguen el Gran Duque de Berg, el Príncipe dé Ponter Corvo y el Mariscal Soult, y que estando cortado por el lado1 del &lt;Qder. y de la Pomerania, parece haberse retirado hacia Lubeck. El Coronel Excelmans, Comandante del primer Regimiento, de cazador res del</t>
  </si>
  <si>
    <t>or el lado derecho, llegó con su caballería sobre el enemigo, incierto todavía en sus proyectos. El Mariscal Soult marchó por Ratzeburgo, y el Príncipe de Ponte-Corvo por Rhena. Hizo noche del 5 al 6 en Schoenberg, de dónde partió á las 2 de la misma noche: habiendo llegado á Schluluip del rio</t>
  </si>
  <si>
    <t>. El Emperador ha manifestado su satisfacción al Gran Duque de Berg, al Príncipe de Ponte-Corvo, al Mariscal Soult, y á los cuerpos de tropas de infantería, caballería, artillería é ingenieros, que estaban á sus órdenes, &gt;or el modo sobresaliente con que se han portado en Lubeck, y por la ceÍe</t>
  </si>
  <si>
    <t>cales y Generales; matando al Mariscal Massena en Ñapóles, y en Alemania al Gran Duque de Berg y ai Mariscal Soult, mientras todos ellos gozan de la mas perfecta salud. Capitulación de la ciudad y fortaleza de Magdeburgo, firmada entre el General de brigada DutailiisComendador de la Legión de</t>
  </si>
  <si>
    <t>. . . - w El Sargento mayor Amiel, al frente de un esquadron del 16 de cazadores, destacado por el Mariscal Soult á orillas del Elba, para recoger los fugitivos de la división del General Blucher, ha hecho unos 1® prisioneros, de los quales 500 húsares, y ha cogido muchos bagages. . ( La posi</t>
  </si>
  <si>
    <t>T®79 Streliíz* y llegué á Dambeck, donde supe por la primera reas que la división del Mariscal Soult venia del Elba en mi seguimiento. Antes que se me juntase mi retaguardia, ya el enemigo la habia acometido. ,,E1 31 envié dos Oficiales á las riberas del Elba para que juntasen la</t>
  </si>
  <si>
    <t>riores. El Gran Duque de Berg estaba á mi flanco izquierdo, el Mariscal .Bernadotte al frente, y el Mariscal Soult á mi derecha. En situación tan -crítica resolví marchar á Lubeck,,y cubrir mi frente con el Trave. Si mi tropa hubiese estado algo reparada con algún alimento, hubiera podido dar</t>
  </si>
  <si>
    <t>do todo él día en pasar revista á la infantería de la quarta división del exército , mandada por el Mariscal Soult, há hecho ▼arias promociones, y distribuido recompensas en cada cüerpo. Capitulación de la plaza x fortalezas y guarnición de Hamelnx entre el General .de divisiqu Durtiojtpceau x</t>
  </si>
  <si>
    <t>Spaan</t>
  </si>
  <si>
    <t>lia llegado aquí Mr. de Larroohefoucauldt, Embajador de Francia cerca de nuestra Corte. Esperamos á Mr. Spaan* van-Vorstand, Ministro de la República Bátava: también llegarán muy en breve los Embaxa. dores de SS. MM. los Reyes de Bavjera y de Wurtemberg: el Barón de -Gemmingen,.Ministro d</t>
  </si>
  <si>
    <t>Spaan Van Voorstonde</t>
  </si>
  <si>
    <t>a que vuelvan ¿ admitirlos en sus cuerpos, y cumplan el tiempo de sus empeños. Harlem 1.° de Julio. Mr. Spaan Van Voorstonde, Ministro de Holanda en Viena, presento sus credenciales al Emperador de Austria el 14 de Junio. Escriben de Kóeñigsberg que el 27 de Junio se presentó un buque delante de Pilau c</t>
  </si>
  <si>
    <t>Spencer Comisarios, Lord</t>
  </si>
  <si>
    <t>Lord Spencer Comisarios</t>
  </si>
  <si>
    <t>y tenia viento muy favorable. El Rey ha nombrado al Arzobispo de Cantorbery-f al Lord Canciller y á Lord Spencer Comisarios para prorogar el Parlamento á 9 de Octubre próximo; á cuyo efecto pasáron estos Señores á la Cámara de los Pares, y comunicáion ,esta resolución de S. M. Solo 6 velas del convoy d</t>
  </si>
  <si>
    <t>Spencer, Lord</t>
  </si>
  <si>
    <t>Lord Spencer</t>
  </si>
  <si>
    <t>manos del Rey de su empleo de Presidente del Consejo, y en su lugar ha sido nombrado Lord Sidmouth, Lord Spencer ha comunicado á los Comandantes de la marina Real, á los Tribunales del Almirantazgo &amp;c. una orden del Rey, fecha á 24 de Setiembre, en que se manda que todas las naves Piusunas y</t>
  </si>
  <si>
    <t>SpltickojL, Conde</t>
  </si>
  <si>
    <t>Conde SpltickojL</t>
  </si>
  <si>
    <t>e: r i.° Un Ministro de. Negocios eKtrangeros, Mr. el Barón de Budberg; Ministro substituto, Mr.,el Conde SpltickojL 2,° Un Ministro de la Justicia, el Fríñcipe Lapoukhinn. 3.0 Un Ministró dé lo Interior, el Conde Kotchoubey; substituto, el Conde StroganoíF, actual Embaxador en Londres. 4.0 Un M</t>
  </si>
  <si>
    <t>Sprackmans, Pedro</t>
  </si>
  <si>
    <t>Pedro Sprackmans</t>
  </si>
  <si>
    <t>ubteniente D. Ramón Aymerick: en los de Ultonia, América y Extremadura Tenencias á los Subtenientes D. Pedro Sprackmans, Don Fausto de Chozas y D. Pedro Bernaldes: en el de la Princesa Subtenencia de bandera al Cadete D. Juan Nion y Caamaño: Tenencia en el Regimiento de infantería de Jaén al Subten</t>
  </si>
  <si>
    <t>Sr-encer, General</t>
  </si>
  <si>
    <t>General Sr-encer</t>
  </si>
  <si>
    <t>de las tropas acantonadas en Sussex espera de un momento á otro la orden de marchar. La brigada del General Sr-encer, que se portó con mucho valor en Egipto, espera también marchar con el; se compone de los Regimientos 40, 87 y 88 y del segundo batallón del &lt;^.—,-El Regimiento 91, que se compone</t>
  </si>
  <si>
    <t>St, General</t>
  </si>
  <si>
    <t>General St</t>
  </si>
  <si>
    <t>aban allí de guarnición han salido para Braunau, adonde van á relevar las tropas de la división del General St. Hilaire. El Rey de Prusia ha llegado con su quartel general á Gotha , en donde le esperaban el Conde de Haugwitz y el Duque de Bruñswick. S. M. ha tenido un gran Consejo de Guerr</t>
  </si>
  <si>
    <t>St-Cyr, General</t>
  </si>
  <si>
    <t>General St-Cyr</t>
  </si>
  <si>
    <t>és. 5S. MM. se hallaban aun en Casería. Las cartas de Roma de 12 de Enero dicen que el exéreito del General St-Cyr, que consta de 40® hombres, lia hecho alto en la frontera del Reyno de Nápoies , y que espera ai General Masena, que va á tomar el mando, y á reunir 12© hombres. El lunes último l</t>
  </si>
  <si>
    <t>Stadion, Conde</t>
  </si>
  <si>
    <t>Conde Stadion</t>
  </si>
  <si>
    <t>campaña dentro de 4 meses , contados desde la firma del mencionado artículo. ^ ; 1 Declaración del Conde Stadion d Lord Gower, fecha en S. Petersburgód S&gt; de Agosto de 180$. ’ - - v En esta declaración el Emperador de Alemania pedia 3 millones de liaras esterlinas de subsidios para el año de</t>
  </si>
  <si>
    <t>Stalimini</t>
  </si>
  <si>
    <t>eta, un xabeque y otro baxel menor, todos bien armados.__ A las 10 de la mañana principió el ataque Mr. Stalimini; el enemigo pareció no hacer caso de fuerzas tan inferiores; pero luego que estuvieron á tiro de cañón se comenzó el fuego por una y otra parte. El combate duró dos horas , y se c</t>
  </si>
  <si>
    <t>Stanhope, Lord</t>
  </si>
  <si>
    <t>Lord Stanhope</t>
  </si>
  <si>
    <t>r los navios que últimamente se ha ensayado en presencia de Mr. Pitt es exactamente el mismo de que Lord Stanhope habló 2 años hace en, la Cámara de los Pares; y, según dixo, había sido inventado por un Americano que se llamaba Mr.Fielton. Esta invención dia</t>
  </si>
  <si>
    <t>ía suceder que la Gran Bretaña se hallase en el mayor apuro.__ Lord Moira desaprobó la propuesta de Lord Stanhope, por quanto era muy propia para dar inquietud y hacer temer una carestía , que hasta ahora no habia ninguna razón de rezelar. Lord Hawlani aseguró á la Cámara que, ademas de poder</t>
  </si>
  <si>
    <t>Staunton, Jorge</t>
  </si>
  <si>
    <t>Jorge Staunton</t>
  </si>
  <si>
    <t>8Í4B .. . Sir Jorge Staunton, hijo del escritor de este nombre, ha establecido sú residencia alternativamente en Cantón y Macao, y ha traducido al idioma chino una obra sobre la vacunación, cuyo uso se ha hec</t>
  </si>
  <si>
    <t>Staunton, Jorge (sir)</t>
  </si>
  <si>
    <t>Sir Jorge Staunton</t>
  </si>
  <si>
    <t>8Í4B .. . Sir Jorge Staunton, hijo del escritor de este nombre, ha establecido sú residencia alternativamente en Cantón y Macao, y ha traducido al idioma chino una obra sobre la vacunación, cuyo uso se ha hecho gen</t>
  </si>
  <si>
    <t>Steger, Alexandro</t>
  </si>
  <si>
    <t>Alexandro Steger</t>
  </si>
  <si>
    <t>ronel D. Nazario Reding, Teniente Coronel dei mismo s y á Subteniente de granaderos al de fusileros D. Alexandro Steger: en el de Reding, número 2.0, á Sargento mayor al Capitán de granaderos D. Beda Víctor, Conde de Thurn: en el de Traxler á Teniente at Subteniente de granaderos D. Carlos Mullen e</t>
  </si>
  <si>
    <t>Steube</t>
  </si>
  <si>
    <t>burgo él Duque de Brunswick, acompañado del Teniente General Krnsemark..— Ha llegado á ésta capital Mr. Steube, Ministro del Rey de^Wurtembérg cerca de la Corte de Rusia.” El Ministro Condé de Hardehberg ha hecho saber por medio de una circular dirigida á los comerciantes Prusianos, que ya</t>
  </si>
  <si>
    <t>Steva y Ccbriá, Rafael</t>
  </si>
  <si>
    <t>Rafael Steva y Ccbriá</t>
  </si>
  <si>
    <t>eal Diputación de Sanidad de dicha ciudad, traducida del italiano por el Dr. D. Rafael Steva y Ccbriá, Médico honorario de la Re«] familia, por el que se han añadido algunas notas, deducidas de lo que se observó en la caltntura que se descubrió en el puerto de Barcelona en el otoño de 180</t>
  </si>
  <si>
    <t>Stirling, Almirante</t>
  </si>
  <si>
    <t>Almirante Stirling</t>
  </si>
  <si>
    <t>ha vuelto á unirse á la esquadra de la Mancha después de haber buscado inútilmente al enemigo.^_El Almirante Stirling ha salido también en busca del enemigo con una esquadra de dos navios de 98, tres de 74, una fragata y un bergantín, destacada de la esquadra del Canal. Escriben de la esquadra de</t>
  </si>
  <si>
    <t>guarnición de Colchester están destinados á este campamento. ......... Escriben de Plymouth que el Almirante Stirling ha vuelto con los 6 navios de línea con qué habia salido en busca de la ésquadra Francesa mandada por el Almirante Willaumez, por haber sabido que dichas fuerzas estaban dé vuelta</t>
  </si>
  <si>
    <t>expedición á Plyiriouth, de donde la escoltará una esquadra numerosa, mandada probablemente por el Almirante Stirling. La enfermedad de Mr. Fox no es de tanto cuidado como han dicho algunos papeles, y ciertos sugetos que esperan lograr los empleos que vaquen por su fallecimiento. Podemos asegurar</t>
  </si>
  <si>
    <t>os que el Contra-Almirante Viliaumez se hallaba el*' io-de-'Julio á vista de Charlestown. El Contra-Almirante Stirling ha salido el sábado de Plymouth para el Cabo de Buena Esperanza, con el convoy que va escoltando: desde el 20 del mes pasado estaba detenido por los vientos contrarios. Mr. Mollie</t>
  </si>
  <si>
    <t>Stopford, Capitán</t>
  </si>
  <si>
    <t>Capitán Stopford</t>
  </si>
  <si>
    <t>n los de $. M. entre muertos y heridos asciende ¿338 hombres:no ha muerto ningún Oficial Ingles. El Capitán Stopford está herido levemente : el Teniente Seymour lo ha estado gravemente; pero se ha restablecido, y ha llegado en el Kingsfisher. El Vice-Almirante Duckworth se ha hecho á la vela para</t>
  </si>
  <si>
    <t>Strachan, Almirante</t>
  </si>
  <si>
    <t>Almirante Strachan</t>
  </si>
  <si>
    <t>as esterlinas á favor de Lady Neison : otra igual á favor del Lord CojUngwood; y otra de 1© para ei Almirante Strachan. Extracto de una carta de la Martinica de 12 de Diciembre% El navio de S. M. el Nembrod ha llegado aquí el 10 destacado por el Almirante Cockrane á las diferentes islas, con orden</t>
  </si>
  <si>
    <t>a, ascienden las fuerzas de línea Europeas á 2600 hombres. El 6 por la noche entró en Portsmouth el Almirante Strachan con su esquadra compuesta de un navio de 98, otro de 84 , y quatro de 74 cañones, de vuelta de un crucero de quatro meses, y á unas 100 leguas de distancia. Ha entrado también el</t>
  </si>
  <si>
    <t>ncia de nuestra Marina.” El 10 á las 7 de la tarde llegó al Almirantazgo un Oficial con pliegos del Almirante Strachan, que ha estado en crucero desde las Islas Canarias hasta el Continente occidental, siguiendo la misma latitud. Luego que Lord Howick recibió los pliegos volvió á Londres , y Mr. W</t>
  </si>
  <si>
    <t>Estados-Unidos. Se ha sabido por un buque procedente de la isla de S. Vicente, que la esquadra del Almirante Strachan ha arribado á la Barbada en 8 de Agosto. Por una orden del Consejo se permite el comercio de los neutrales con las colonias occidentales. Podrán conducir maderas de construcción y</t>
  </si>
  <si>
    <t>Strachey</t>
  </si>
  <si>
    <t>testigos: unos hablaron favorablemente del acusado, otros’ presentaron docunientos muy contrarios. Mr. Strachey , que ha sido Juez en la India , expuso algunos hechos graves, y se pusieron sobre la tabla___ ,En la misma Junta Lord Henry Petty presentó el plan para la verificación de las cue</t>
  </si>
  <si>
    <t>StroganoíF, Conde</t>
  </si>
  <si>
    <t>Conde StroganoíF</t>
  </si>
  <si>
    <t>sticia, el Fríñcipe Lapoukhinn. 3.0 Un Ministró dé lo Interior, el Conde Kotchoubey; substituto, el Conde StroganoíF, actual Embaxador en Londres. 4.0 Un Ministro de la Instrucción pública, el Conde Zavadofsky; substituto, el Consejero privado Mouravietf. 5.0 Un Ministro de Hacienda, el Conde Ba</t>
  </si>
  <si>
    <t>Stuaft, General</t>
  </si>
  <si>
    <t>General Stuaft</t>
  </si>
  <si>
    <t>del mismo rhés el General Fo*, qne rbémplaza-al General Stuaft en reí mando rfe las tropas Inglesas en Sicilia, había llegado á la isla: salió de Gibral* tar el jo. Todavía no se ha publicado en la Gazeta de la Corte del sábado la disolución de</t>
  </si>
  <si>
    <t>Stuart, General</t>
  </si>
  <si>
    <t>General Stuart</t>
  </si>
  <si>
    <t>ar las averías. En Portsmouth se prepara otra expedición, que dicen mandará Sir Samuel Hood. ; . EL General Stuart, que vuelve á Inglaterra, está destinado á tomar el mando de Madras y de Bengala, de modo que se detendrá muy poco en este Rey no. Dicen, pero no sabemos con qué fundamentos, que</t>
  </si>
  <si>
    <t>os Oficiales de tierra se indignan de ver el nombre Ingles asociado ai de ios rebeldes. El valeroso General Stuart se ha quejado públicamente de sus atrocidades, que deshonran el noble exercicio de la guerra con sus asesinatos y latrocinios. Se ve también por las cartas de Petersburgo, y aun p</t>
  </si>
  <si>
    <t>Stultz, Antonio</t>
  </si>
  <si>
    <t>Antonio Stultz</t>
  </si>
  <si>
    <t>iente de granaderos D. Francisco Gugger : en el de Traxler á Capitanes primeros á los de granaderos D. Antonio Stultz y D. Antonio Christen; á Capitanes de granaderos á lo*</t>
  </si>
  <si>
    <t>Suárez Álvarez de Quiñones, Fernando</t>
  </si>
  <si>
    <t>Fernando Suárez Álvarez de Quiñones</t>
  </si>
  <si>
    <t>do nombrar para la Dignidad de Arcediano titular de la Catedral de Plasencia, vacaute por muerte de D. Fernando Suarez Alvarez de Quiñones, á D. Vicente Martínez de Terroba; para la Canongía de la Colegial de Baza, en la Diócesi de Guadix, vacante por fallecimiento de D. Esteban SerraboBa,á D. Juan Antonio Ruiz de Me</t>
  </si>
  <si>
    <t>Suárez de la Vega, Cayetano</t>
  </si>
  <si>
    <t>Cayetano Suárez de la Vega</t>
  </si>
  <si>
    <t>ien reales á D. Santiago Mendez de Vigo: á D. Manuel Berruezo,idem: i I&gt;. Ignacio Collas, ídem; y á D. Cayetano Suarez de la Vega, idem. Escuelas gratuitas d expensas de la Real SociedadEscuela primera ae ninas. A María Arguelles, Josefa Alvarez, Josefa González y María Peñerua, saya, almilla, camisa, mantil</t>
  </si>
  <si>
    <t>Suárez, Fernando</t>
  </si>
  <si>
    <t>Fernando Suárez</t>
  </si>
  <si>
    <t>l Cadete D. Francisco de Paula Orcasitas; y ea el ae la Reyna erhpléo de Alférez al Portaestandarte D. Fernando Suarez* También se ha servido el Rey -conceder empleos de Portaguión en los Regimientos de, dragones de Ja Reyna y Pavía al Sargento primero D. JBlas Ré.séPj.y al Cadete-D. ;Jpse,f Maria</t>
  </si>
  <si>
    <t>Subirá, Antonio</t>
  </si>
  <si>
    <t>Antonio Subirá</t>
  </si>
  <si>
    <t>de Barcelona , baxo la invocación de nuestra Señora de- la Esperanza , vacante por fallecimiento de D. Antonio Subirá, á D. Josef Postius. S. M. se na servido conceder Tenencia en el Regimiento de infantería de Málaga al Subteniente D. Manuel García; y Subtenencias de bandera en los de Zamora y V</t>
  </si>
  <si>
    <t>Subtenencia, Princesa</t>
  </si>
  <si>
    <t>Princesa Subtenencia</t>
  </si>
  <si>
    <t>cias á los Subtenientes D. Pedro Sprackmans, Don Fausto de Chozas y D. Pedro Bernaldes: en el de la Princesa Subtenencia de bandera al Cadete D. Juan Nion y Caamaño: Tenencia en el Regimiento de infantería de Jaén al Subteniente de granaderos D. Francisco Rodrigo Vallabriga : Subtenencia de bandera en</t>
  </si>
  <si>
    <t>Sueco Cederstrom, Almirante</t>
  </si>
  <si>
    <t>Almirante Sueco Cederstrom</t>
  </si>
  <si>
    <t>osecha. DINAMARCA. Copenhague 16 de Agosto. Ha estado algunos dias en la rada de Carlscrona el Vice-Almirante Sueco Cederstrom con el objeto de acopiar víveres; pero ya ha zarpado, á lia de continuar el bloqueo de los puertos de la costa de Prusia. Mr. Nachtigall, profesor de nuestro gimnasio, ha emprendi</t>
  </si>
  <si>
    <t>Sustaeta, Antonio Ventura</t>
  </si>
  <si>
    <t>Antonio Ventura Sustaeta</t>
  </si>
  <si>
    <t>restazgo de Lará en el Arzobispado de Burgos, vacante por fallecimiento de D. Hemeterio Capellán, á D. Antonio Ventura Sustaeta, Clérigo'de Prima Tonsura ópara el Pontifical de la villa de Pilas en el Arzobispado de Sevilla, vacante por muerte de D. Manuel López Brun, á D. Joaquín de Heredia y Hore : para</t>
  </si>
  <si>
    <t>Suzzo, Alexandro (príncipe)</t>
  </si>
  <si>
    <t>Príncipe Alexandro Suzzo</t>
  </si>
  <si>
    <t>a y de Valaquia. Al Príncipe Moruzi le reemplaza el Príncipe Callimachi, y al Príncipe Ipsilanti el Príncipe Alexandro Suzzo. Los dos Príncipes depuestos no pertenecían ya al Imperio Otomano, eri el qual meditaban una revolución, anunciada por las turbulencias de la Servia, y en la que esperaban que ent</t>
  </si>
  <si>
    <t>Svebelius, Arzobispo</t>
  </si>
  <si>
    <t>Arzobispo Svebelius</t>
  </si>
  <si>
    <t>en habrá dos. Desde i.° de Setiembre próximo no podrán los Curas enseñar otro catecismo sino el det Arzobispo Svebelius, qUe es el único admitido en Suecia desde el año de 1773* En algunas Gazetas se ha insertado la Nota que Mr. de Alopeus, Ministro de Rusia cerca de S. M. el Rey de Suecia* ha diri</t>
  </si>
  <si>
    <t>Sydmouth y Mr, Lord</t>
  </si>
  <si>
    <t>Lord Sydmouth y Mr</t>
  </si>
  <si>
    <t>es que uó ha variado de opinión con su nuevo empleo-, como suele suceder en Inglaterra. Sabemos que Lord Sydmouth y Mr. Sheridan* que hacen parte del Ministerio actual, deféndféron él sistema de los voluntarios, quando Mr. Windham los trataba con el mayor desprecio. El bilí de amnistía dado en la</t>
  </si>
  <si>
    <t>Tacón y Rosique, Miguel</t>
  </si>
  <si>
    <t>Miguel Tacón y Rosique</t>
  </si>
  <si>
    <t>se ha dignado conferir el Gobierno Militar y Político de Popayan al Capitán D. Miguel Tacón y Rosique, Teniente de Fragata de la Real Armada. Desde el día t.° de Abril hasta el último de Mayo próximos se renovarán en la Tesorería de la Real Caxa de Consolidación los Vales-dinero de ioo y 30</t>
  </si>
  <si>
    <t>Tafalia, Juan</t>
  </si>
  <si>
    <t>Juan Tafalia</t>
  </si>
  <si>
    <t>y usos, y una instrucción del modo de conservar y propagar los árboles. Ultimamente, dicho Botánico D. Juan Tafalia, como mas instruido y práctico que ninguno otro de aquel país (por haber recorrido personalmente los montes por espacio de 21 anos seguidos) en la recolección, acopio, reposición,</t>
  </si>
  <si>
    <t>TailL, Alexandró</t>
  </si>
  <si>
    <t>Alexandró TailL</t>
  </si>
  <si>
    <t>Suizo de Reding,, nym. 2,0, se ha servido el Rey conceder Compañía de granaderos al Capitán segundo D. Alexandró TailL: empleo, de Capitán segundo al Teniente de granaderosiD-Cristóbal;Stóífeb Tenencia de granaderos al de fusileros D. Juan Reuthy: esta resulta al Subteniente de granaderos D. Juan</t>
  </si>
  <si>
    <t>Talero, Juan</t>
  </si>
  <si>
    <t>Juan Talero</t>
  </si>
  <si>
    <t>Manuel Coll; á Cadete de número al Supernumerario D. Gaspar Morales; y á Supernumerario al Guardia D. Juan Talero. En el Regimiento de infantería de la Corona se lia servido el Rey promover d Teniente al Subteniente' D. Josef Joaauin Delgado. S. M. se ha servido conceder Tenencia en el Regimi</t>
  </si>
  <si>
    <t>Talleyrand</t>
  </si>
  <si>
    <t>26 de Diciembre. Mr. Hedouville, Ministro de Francia cerca de la Dieta del Imperio, ha recibido de Mr. Talleyrand un rescripto, en el qual se le encarga declarar á S. A. el Elector Archi-Canciller, que S. M. el Emperador Napoleón ha sabido con la mayor extrañeza la prontitud y eficacia en dar</t>
  </si>
  <si>
    <t>ncia diplomática, que en estos últimos tiempos ha habido entre el Ministro de Relaciones exteriores Mr. Talleyrand, y el Enviado Prusiano Mr. Knobelsdorff; y después decretó el Senado enviar una Diputación al Emperador para darle gracias por las comunicaciones que le ha hecho. Los Diputados no</t>
  </si>
  <si>
    <t>Tamayo, Ramón</t>
  </si>
  <si>
    <t>Ramón Tamayo</t>
  </si>
  <si>
    <t>usto de Kotzbue, escrito por él mismo, traducido del aleman al francés, y de este al castelleno por D. Ramón Tamayo, Teniente de Fragata de la Real Armada : esta obrita se reduce á dar una noticia exacta de sus trabajos; después explica el modo paternal con que le recibió el Emperador de Rusia</t>
  </si>
  <si>
    <t>Tarazona, Rafael</t>
  </si>
  <si>
    <t>Rafael Tarazona</t>
  </si>
  <si>
    <t>Pajares,, en Pamplona D. Vicente Urroz y Vera, Administrador gemraJ de ia Red Lotería, y en Tudela D. Rafael Tarazona, Oficial del Correo, adonde pued:n ocurrir los que desean entrar en suerte, y no quieran subscribir á tomar la e ntidad de billetes arriba especificados. Se halla vacar te el -par</t>
  </si>
  <si>
    <t>Tarletoa, Teniente General</t>
  </si>
  <si>
    <t>Teniente General Tarletoa</t>
  </si>
  <si>
    <t>á Mrs. Percival, Canning, Spencer, Stanhope, Arturo Di-* Ilon, Pytches, Stuart Worley &gt; Ward, y al Teniente General Tarletoa.í Se asegura que el objeto de 0$fe banquete ha sido formar un plan de opo-\ sicion contra el nuevo, Mjnjsterio. Pqr consiguiente los gefe.s del partido serán.Lord Hawkesbury en la</t>
  </si>
  <si>
    <t>Tarleton, General</t>
  </si>
  <si>
    <t>General Tarleton</t>
  </si>
  <si>
    <t>a y de Inglaterra hiciesen recíprocamente el servicio en ámbos Reynos, según las circunstancias. El General Tarleton dixo que creía la Irlanda suficientemente preservada de toda invasión con las últimas victorias navales; por cuya razón pidió á Mr.Lee suspendiese sus observaciones hasta tanto qu</t>
  </si>
  <si>
    <t>Tarrago y Riquclrac, Francisco</t>
  </si>
  <si>
    <t>Francisco Tarrago y Riquclrac</t>
  </si>
  <si>
    <t>oriana, de la Puebla, Baydes, Valero y Jodar; Grande de España de primera clase. Pór providencia de D. Francisco Tarrago y Riquclrac, Juez Comisionado Re*»</t>
  </si>
  <si>
    <t>Tarrago y Riquelme, Francisco</t>
  </si>
  <si>
    <t>Francisco Tarrago y Riquelme</t>
  </si>
  <si>
    <t>rezca en la escribanía de la referida Comisión Regia, que exerce D. Jorge Beato. Por piovidencia de D. Francisco Tarrago y Riquelme, Juez Comisionado Regio para la venta de bienes eclesiásticos, y especial de la Comisión gubernativa del Consejo para la enagenacion de fincas de obras pías del Obispado de Guadix</t>
  </si>
  <si>
    <t>ce de su mañana , en las casas consistoriales de la plaza Mayor de dicha ciudad. Por,providencia de D. Francisco Tarrago y Riquelme, Juez Comisionado Regio para la enagenacion de fincas de obras pías del Obispado de Guadix y Baza, se están subastando varias pertenecientes á las memorias, aniversarios y otras d</t>
  </si>
  <si>
    <t>Tauenzyen, General</t>
  </si>
  <si>
    <t>General Tauenzyen</t>
  </si>
  <si>
    <t>e hemos tenido la mala noticia de «n encuentro que hubo ayer entre Prusianos y Franceses, en que el General Tauenzyen fué rechazado con alguna pérdida (10). Se sabe por un pliego de oficio recibido de Ñapóles, con fecha de 5 de Noviembre, que el famoso caudillo de los rebeldes Fra-Diabolo, que ta</t>
  </si>
  <si>
    <t>Tavénzien, General</t>
  </si>
  <si>
    <t>General Tavénzien</t>
  </si>
  <si>
    <t>ís de Báreuth, ha tenido que retirarse á Jena, que está cerca de 50 millas mas atras. El cuerpo del General Tavénzien se ha visto casi cortado por los Mariscales Davoust y Soulf; ■pero sé -asegura que se ha juntado con el Príncipe de Hohenlohe eri Schleitz ¿sin perder un hombre. Deseamos que esta</t>
  </si>
  <si>
    <t>Tavira, Pedro</t>
  </si>
  <si>
    <t>Pedro Tavira</t>
  </si>
  <si>
    <t>Alonso Alvarado, D. Manuel Fernandez, D. Sebastian Gorvea y D. Ramón de Zuloaga: los gefes de trozo D. Pedro Tavira, D. Manuel Ferrando, D. Josef de Castro, Cadete de Reales Guardias Walonas, Don Josef Fernandez, D. Josef Martínez , D. Manuel Cámara y D. Faustino Vitorica; y los Seminaristas D.</t>
  </si>
  <si>
    <t>Sebastian Gorvea, D. Ramón de Zuloaga, D. Ramón Carrillo y D. Manuel Fernandez: los Gefes de trozo D. Pedro Tavira, D. Manuel Ferrando, D. Josef de Castro, Cadete de Reales Guardias Walonas, Don Josef Fernandez, D. Josef Martínez, D. Manuel Cámara y D. Manuel Abbad: y los Seminaristas D. Cefer</t>
  </si>
  <si>
    <t>Tawson, Henrique</t>
  </si>
  <si>
    <t>Henrique Tawson</t>
  </si>
  <si>
    <t>erónimo Jachella, en Valencia D. Pedro Faurie, en Murcia los Sres. Valer.ce y Sobrino, en Cartagena D. Henrique Tawson y compañía, en Granada D. Juan Manuel García de Tejada y compañía, en Córdoba D. Ventura Aute, en Seviba los Señores D. Domingo y Justo Torrijos,-en Cádiz en la imprenta y librería</t>
  </si>
  <si>
    <t>Tayme Madison</t>
  </si>
  <si>
    <t>endenqia de los Estados-Unláo$.¿= Firmado, Tomas TeiFerson.=:Por el Presidente, Tayme Madison, Secretario de Estado." „ Ef suceso acaecido en Nueva-Yorck, ía enérgica proclama del Presidente de los Estados-Unidos, la salida del Capitán Whitby de Halifax para volver á su apostadero de</t>
  </si>
  <si>
    <t>Tbañez, Miguel</t>
  </si>
  <si>
    <t>Miguel Tbañez</t>
  </si>
  <si>
    <t>D. Josef Miguel Ibañez para una Capellanía de da Catedral de Orihueia, vacante por fallecimiento de D. Miguel Tbañez. S. M. se ha servido conceder en el Regimiento de infantería Inmemorial del Rey Ayudantía al Teniente, graduado de Capitán, D. Luis de Alfaraz: en el de .Asturias .Subtenencia de</t>
  </si>
  <si>
    <t>Teínas Burgués</t>
  </si>
  <si>
    <t>, 1' tral en ;Cataltina:: a D. Teínas Burgués pata urta Ración ó Cóménsalía de la Catedral de Tortoja., vacante por muerte de D. Domingo Cartes: á Don Josef Marques para un Beneficio Subdiaconil de la misma Catedral, vacante</t>
  </si>
  <si>
    <t>Tejada, Alonso</t>
  </si>
  <si>
    <t>Alonso Tejada</t>
  </si>
  <si>
    <t>Teniente de granaderos D. Vicente Zarza: á Subteniente de granaderos del de Orense al de fusileros D. Alonso Tejada; y á Subtenientes de bandera de los de Avila, Toro y Soria á D. Pedro Antonio González, Don Antonio de Castro y D. Domingo Sagaseta.</t>
  </si>
  <si>
    <t>Tekte’para, Coronel</t>
  </si>
  <si>
    <t>Coronel Tekte’para</t>
  </si>
  <si>
    <t>on 400 Franceses. Informado el General Lau-* r«i$ ron ¡de. l¿ superioridad dél número, dio orden al.Coronel Tekte’para que fuese .allá con 1500 hombres; trabóse la pelea.con ei-mayorempcño, yaosí búbalos .fueron rechazados hasta sus montañas.. ; ¡ u • .¿ ^ ¡ . ,1 :7 ALEMANIA/ Ratisbona. 14 dt Juni</t>
  </si>
  <si>
    <t>Tello</t>
  </si>
  <si>
    <t>ean dé aquella Iglesia, con una instrucción sobre qual de los dos Obispos déPalencia Don Anderico ó D. Tello fué el verdadero tio .carnal de S. Pedro González Telmo: un tomo en 4.0 Se hallará en la librería de Ranz, calle de la Cruz, á 8 rs. en rústica, 9 en pergamino y 12 en pasta. Una</t>
  </si>
  <si>
    <t>Temas</t>
  </si>
  <si>
    <t>a dé Mkrina, hijo dé Antonio y de María Aguado, rikturál dé ésta Corté, se há niañdáríío por ol Sr*"D. Temas~Moya«o, Alcalde de Casa y Corte, .en-yirtud-de comision~queTe ha conferido el Ilustrísimo Sr. D. Miguel de Meadinueta, Gobernador interino del</t>
  </si>
  <si>
    <t>Temas de Mendoza y Sande</t>
  </si>
  <si>
    <t>Cuerpo ai Cadete D. Juan Solo de Zaldivar, y en el de Mallorca y España a los Cadetes de los mismos D. Temas de Mendoza y Sande y D. Francisco Sánchez Muñe z. • m ■■ ; S. M. ha conferido Tenencia en él •Regimiento de dragones de Tusita— nía al Guardia dé Corps* D Carlos Bousingault. En América. EI Réy se ha ís</t>
  </si>
  <si>
    <t>Temas Louis</t>
  </si>
  <si>
    <t>ento, que Sir Samuel Hood ha perdido el brazo derecho. Igualmente se han recibido noticias de haber Sir Temas Louis apresado la fragata Francesa, nombrada Presidente , del porte de 44 cañones. Quedo &amp;c. = Tomas Grenville.”__ Ademas de esta relación se saben otras particularidades. La división F</t>
  </si>
  <si>
    <t>Temple, Lord</t>
  </si>
  <si>
    <t>Lord Temple</t>
  </si>
  <si>
    <t>de la India y el Comandante en gefe relativa al principio de la guerra con el Rajah de Bhurtpoore. Lord Temple justificó al Marques de Wellesley. Mr. Panll replicó diciendo, que la acusación que hará contra el ex-Gobernador, se fundará en los mismos documentos que se quieren alegar en su f</t>
  </si>
  <si>
    <t>exército del Mediterráneo, y 939,846 en las islas do Barlovento y Sotavento. Antes de ayer propuso Lord Temple en la Cámara de los Comunes se señalase día para oir las acusaciones criminales hechas contra el Marques de Weliesley, y puestas sobre la tabla por Mr. Paull el 28 del mes pasado. H</t>
  </si>
  <si>
    <t>Tenencia, Princesa</t>
  </si>
  <si>
    <t>Princesa Tenencia</t>
  </si>
  <si>
    <t>o al Guardia D. Faustino Guillen. S. M. se ha servido conceder en el Regimiento de infantería de la Princesa Tenencia al Subteniente D. Baltasar Araujo; y en el de Voluntarios de la Corona Subtenencia de bandera al Cadete D. Francisco Pantoja.</t>
  </si>
  <si>
    <t>Tenencia, Príncipe</t>
  </si>
  <si>
    <t>Príncipe Tenencia</t>
  </si>
  <si>
    <t>caballería de Algarbe al Coronel D. Josef de Yebra/ Teniente Coronel del de Calatrava; y en el del Príncipe Tenencia al Alférez D. Josef Linares. También se ha dignado S. M. conceder empleos de Portaguión en los Regimientos de dragones de la Reyna y Sagunto á D. Juan María Vacas y D.F rancisco d</t>
  </si>
  <si>
    <t>Tenencias, Princesa</t>
  </si>
  <si>
    <t>Princesa Tenencias</t>
  </si>
  <si>
    <t>de D. Áiitonio-Comas. , S. M. se ha servido conceder en los Regimientos de infantería de América y Princesa Tenencias á los Subtenientes D. Ignacio de Galli y D. Josef Ximenez Bagues, el primero de granaderos: en el segundo batallón de infantería ligera de Voluntarios de Barcelona se ha servido p</t>
  </si>
  <si>
    <t>Teniente, Capitán</t>
  </si>
  <si>
    <t>Capitán Teniente</t>
  </si>
  <si>
    <t>la guardia, 4 Mayores generales , 3 Coroneles Ayudantes, 6 Ayudantes con grado de Teniente Coronel, Capitán Teniente, 10 Edecanes Tenientes Coroneles, Capitanes ó Tenien&lt;5 tes, y de 2 Comisarios de Guerra.. Según las disposiciones de otro decreto Real l'aá banderas y estandartes se arreglarán po</t>
  </si>
  <si>
    <t>Teo, Carlos (príncipe)</t>
  </si>
  <si>
    <t>Príncipe Carlos Teo</t>
  </si>
  <si>
    <t>ámbas dignidades de Gran Prior de Alemania y de Gran Prior de Baviera en la persona de S. A. R. el Príncipe Cárlos Teo- ' ¿Oro, no llevará de suyo nunca jamas en otra persona la reunión de ámbas Lenguas y Cabildos, los quales continuarán sujetos á las formas prescritas por los estatutos de la Orden</t>
  </si>
  <si>
    <t>Teodoíó de Almeydá</t>
  </si>
  <si>
    <t>uña, ó áffe dé vivir contento en todos lós trábájos dé iá vida: obra escrita en Portugués por el P. Don Teodoíó de Almeydá, de lá Congregación del Oratorio, y dé lá Academia Real de laá Giéñciás dé.Lisboa 8fty; ñtfetfd trádufceiott mejorada én el estilo y en los versos pbr el Pí D. Fíarítisco VázqUez</t>
  </si>
  <si>
    <t>Teodoro</t>
  </si>
  <si>
    <t>dice tiene y corresponde el derecho útil al primogénito Roberto Conde de Vizcarreti y sus hermanos D. Teodoro, D. Benito y D^ Tomas, residentes según noticia en la ciudad de Chíeri, en el Piamonte, Diócesi de Turin. Y,por providencia, que proveyó el mismo Alcalde mayor, entre otras cosas,</t>
  </si>
  <si>
    <t>Teodoro de Almeyda</t>
  </si>
  <si>
    <t>rentes obsequios ofrecidos á la misma Señora considerada en sus dolores y angustias: su autor el P. D. Teodoro de Almeyda. == Tesoro de^proteccion eq la Santísima Virgen, ó estímulos de amór y,devoción á l^Madre de Dios .nuestra Señora, del mismo autor. $e Kallaráñ en la librería de Barco y compañía,</t>
  </si>
  <si>
    <t>stica. Nuevo método para enseñar la geografía á los niños, escrito en portugués y francés por el P. D. Teodoro de Almeyda, puesto en castellano é igualmente en</t>
  </si>
  <si>
    <t>Teodoro de Reding</t>
  </si>
  <si>
    <t>e infanteria.de Valencia: el Gobierno Militar y Político de la plaza de Málaga al Mariscal de Campo D. Teodoro de Reding, Coronel del Regimiento de infantería Suizo de su apellido: el de la plaza departa* gena al Mariscal deCampo D. Francisco de Vargas, Gobernador de Lucar de Barrameda : este¿Gobier</t>
  </si>
  <si>
    <t>Teodoro Gómez</t>
  </si>
  <si>
    <t>la villa de Madrigal, en el Obispado de Avila, vacante por fallecimiento de D. Francisco Alonso, á D. Teodoro Gómez, Pres-, bítero: para el Beneficio simple de S. Félix de Freygeyro, en el Arzobispado de Santiago ¿vacante por promoción de D. Cristóbal Bencomo á la Dignidad de Chantre de la Cate</t>
  </si>
  <si>
    <t>Teodoro Reding</t>
  </si>
  <si>
    <t>ta inspección de su Gobernador militar y político en Málaga, que lo es ahora el Ü^dariscal de Campo D. Teodoro Reding, para la rifa de tina hacienda de campo, distante una legua corta de dicha ciudad, valuada judicialmente en 1.000,789 rs. 11 mrs.; y deseosos los interesados de que se efectúe el</t>
  </si>
  <si>
    <t>Teófilo Schlegel</t>
  </si>
  <si>
    <t>os Caballeros y Nobles de la mas profunda veneración, presentan á V. M. por mí sus respetos &amp;c.” El Dr. Teófilo Schlegel, Superintendente general del Clero y sn Orador, dirigió á S. M. la siguiente arenga. Poderoso y magnifico Rey. seSor. „Los Maestros de la Religión siempre han tenido la dicha de a</t>
  </si>
  <si>
    <t>Terradillos, Domingo Pedro</t>
  </si>
  <si>
    <t>Domingo Pedro Terradillos</t>
  </si>
  <si>
    <t>exigir, si no se estudia metódicamente, y por principios sólidos y demostrables en que se apoya. A D. Domingo Pedro Terradillos, vecino,de esta Corte, se le ha extraviado un vale Real de 600 pesos, núm. 391.148, de la renovación de i.° de .Mayo de este presente año, que está.en nombre de D. Carlos iacoveyl</t>
  </si>
  <si>
    <t>Terrene, Pedro</t>
  </si>
  <si>
    <t>Pedro Terrene</t>
  </si>
  <si>
    <t>iosa. S. M. se ha servido conceder Tenencia eñ el Regimiento de infantería de Borbon al Subteniente D. Pedro Terrene; y Subtenencias de bandera en el mismo Cuerpo y en el de Toledo á los Cadetes D. Carlos Rocreuse y D. Francisco Armero y Campo* El Rby se ha dignado conferir al Capitán General de</t>
  </si>
  <si>
    <t>Tforquato Antonio Col</t>
  </si>
  <si>
    <t>6t8 rs,, sejia señalado el sábado 19 del corrién.tje en. Ja, audiencia, del Sr.:Teniente Corregidor D. Tforquato Antonio Col lado.,, poj ^nte e),escrijt&gt;aqo: c|ej ,n4j»e-« ro D; Julián-Gómez¡SaeZi ................... ,■ &lt; . El Sr. D. Felipe- Gil de Taboatla y. Temos, del Consejo de Mi, su Alcalde de Casa y</t>
  </si>
  <si>
    <t>Thiard</t>
  </si>
  <si>
    <t>, llegaron á aquella capital el Géneraí Hedowille , Gefe del Estado mayor del Príncipe Gerónimo , y Mr. Thiard ¿ Gentilhombre-del Emperador, nombrado Comandante de la ciudad, quienes se concillaron prontamente con su conducta el aprecio y reconocimiento de los habitantes. El General Hedowi</t>
  </si>
  <si>
    <t>Thiebaut, General</t>
  </si>
  <si>
    <t>General Thiebaut</t>
  </si>
  <si>
    <t>* Al General Thiebaut ; peligrosamente herido, le transportaban 4 prisioneros Rusos; 6 Franceses heridos lo perciben, quitan á los Rusos, y toman las parigüelas diciendo: Solo á .nosotros pertenece el</t>
  </si>
  <si>
    <t>Thornborough, Almirante</t>
  </si>
  <si>
    <t>Almirante Thornborough</t>
  </si>
  <si>
    <t>drán de aquí adelante de Harwich para Husum, en lugar de ir á Cuxhaven. Se han recibido pliegos del Almirante Thornborough, su fecha de 2 del corriente, á la altura de Rochefort, donde se halla en crucero con 5 navios de línea y algunas fragatas. Consisten las fuerzas enemigas en 5 navios, 4 fragatas</t>
  </si>
  <si>
    <t>de 74, una fragata y un bergantín, destacada de la esquadra del Canal. Escriben de la esquadra del Almirante Thornborough que la de Rocheíort está pronta á hacerse á la vela.</t>
  </si>
  <si>
    <t>Thornbot, Almirante</t>
  </si>
  <si>
    <t>Almirante Thornbot</t>
  </si>
  <si>
    <t>los Cotton manda la esquadra del Canal durante su ausencia. También ha llegado á Plymouth el Contra-Almirante Thornbot viene enfermo de mucho cuidado. HOLANDA. Haya 24 de Junto. *• Ayer hiciéron $S. MM. su entrada solemne en esta ciudad con un apa-J</t>
  </si>
  <si>
    <t>Thornton</t>
  </si>
  <si>
    <t>iras políticas, inventadas ó esparcidas en el norte de Alemania. El Ministro de la Corte de Londres Mr. Thornton notifico ayer de oficio á nuestro Senado el desbloqueo del Elba, lo qual ha causado el mayor júbilo, porque con esta declaración podrán enviarse directamente las remesas de género</t>
  </si>
  <si>
    <t>Thurlów, Lord</t>
  </si>
  <si>
    <t>Lord Thurlów</t>
  </si>
  <si>
    <t>84 6. Lord Thurlów, Canciller que fué de Inglaterra, ha muerto ayer noche en edad avanzada en su casa de Dulwich. El navio Resolución ha arribado del Rio de la Plata; partió de Monteé video el 20 de</t>
  </si>
  <si>
    <t>Thurloxv, Lord</t>
  </si>
  <si>
    <t>Lord Thurloxv</t>
  </si>
  <si>
    <t>ismo mes pereció Lord Nelson: en 23 de Enero de este año de 1806 murió Mr. Pitt: en 12 de Setiembre Lord Thurloxv terminó su carrera; y en fin, Mr. Fox ha muerto en 13 del corriente. Murió Mr. Fdxi el sábado 13 á las 6 menos quarto de la tarde , en los brazos de su sobrino Lord Holland. El di</t>
  </si>
  <si>
    <t>Thury, Antonio</t>
  </si>
  <si>
    <t>Antonio Thury</t>
  </si>
  <si>
    <t>Kayser y D. Josef Ntderberger, Subtenencia al Sargento D. Antonio Thury; y en el de Reding número 2.0 Subtenencia de bandera al Cadete Don Francisco Conrado Anderwertr en el' Regimiento de infantería de león Tenencia al Subteniente de granaderos D~ Fr</t>
  </si>
  <si>
    <t>Tiallos, Juan Miguel</t>
  </si>
  <si>
    <t>Juan Miguel Tiallos</t>
  </si>
  <si>
    <t>sco Xavier de Mendiolaza? para la Doctoral de la Catedral de Comayagua, en el Reyno de Goatemala, á D. Juan Miguel Tiallos, Secretario de Cmiara del Obispo de esta Diócesis; y para una Ración dé la de Gua man^a á D. Miguel Martin Mendieta, Cura en aquel Obispado. Quen quibicK. Pacer postura á una casa</t>
  </si>
  <si>
    <t>Tiburcio González Esmurra</t>
  </si>
  <si>
    <t>lecimiento de D. Feliciano Rodríguez, á D. Nicolás Alonso Andrade; y para la Ración que este dexa á D. Tiburcio González Esmurra, Cura de Coamo en la misma Diócesi. El Rey r&gt;e ha dignado conceder la Sargentía mayor de la plaza de Panamá á D. Ramón González de Bernedo, Capitán del Regimiento de infantería de</t>
  </si>
  <si>
    <t>Tiburcio Maqueyra y Serrador</t>
  </si>
  <si>
    <t>rústica. == Espíritu de la historia natural del Conde de BuíFon, traducido del francés por el Lie. D. Tiburcio Maqueyra y Serrador: un volumen en 12.0, á 10 rs. en róstica. Puede considerarse esta pequeña obrita como el extracto de óo tomos de igual tamaño, pues que comprehende las descripciones mas vivas é i</t>
  </si>
  <si>
    <t>Tierney</t>
  </si>
  <si>
    <t>, que prueban que ios bienes del acusado son insuficientes para sostener una causa taa dispendiosa. Mr. Tierney, después de elogiar la delicadeza con .que Mr. R. Dundas se ha conducido en todo este negocio, y después de protestar quan distante estaba de su pensamiento el ofender al honorabl</t>
  </si>
  <si>
    <t>rantazgo ál Miúisterió de Negocios exirangeros. Mr. Tomás Grenville , primer Lord del Almirantazgo. Mr. Tierney, Presidente de la Contraloría. Mr. Bragge-Bathurst, Superintendente de la Casa de Moneda. 1 El Capitán Whitby, Comandante de la fragata Leandro, que hallándose este verano á vista</t>
  </si>
  <si>
    <t>Tieso, Felipe</t>
  </si>
  <si>
    <t>Felipe Tieso</t>
  </si>
  <si>
    <t>.principal, cámaras, caballeriza, y bodega con su.lagar. Quien . quisiere tratar de ajuste acuda i. D. Felipe Tieso ¿ que tiene su librería en la calle. de las Carretas. De parte del Directorio judicial de Oberliebich, dominio de Gran Priorato de Malta, en el Círculo de Leutmeritz y Reyno de Bo</t>
  </si>
  <si>
    <t>Tíiiard</t>
  </si>
  <si>
    <t>po en la ciudad, habiéndose dirigido hácia el Oder á marchas, forzadas con el exército confederado* Mr. Tíiiard continúa exerciendo el cargo de Comandante militar. No se ha hecho ninguna mudanza en el Gobierno del Electorado excepto retí Xeipsick, pues hasta ahora los Franceses no han tomad</t>
  </si>
  <si>
    <t>Tiliy, General</t>
  </si>
  <si>
    <t>General Tiliy</t>
  </si>
  <si>
    <t>Regimiento^ de infantería de línea y de uno de infantería ligera; de la división de caballería del General Tiliy, compuesta de un Regimiento de cazadores y de 3 de húsares. 2.0 El cuerpo del Mariscal Davoust, acantonado en la Suabia Inferior sobre la margen izquierda del Danubio, y que llega</t>
  </si>
  <si>
    <t>Tinajero, Gabriel</t>
  </si>
  <si>
    <t>Gabriel Tinajero</t>
  </si>
  <si>
    <t>ra y D. Pedro Bofarull, los dos últimos de granaderos; á Tenientes de granaderos á los de fusileros D. Gabriel Tinajero y D. Domingo Aragón; á Tenientes de fusileros á los Subtenientes D. Josef Arnau y D. Joaquín Rujas, el primero de granaderos;, á Subteniente de granaderos al de fusileros D. Salvador</t>
  </si>
  <si>
    <t>Tirado, Lorenzo</t>
  </si>
  <si>
    <t>Lorenzo Tirado</t>
  </si>
  <si>
    <t>ra el Curato rural de la Parroquia de la Magdalena de la ciudad de Plasencia, vacante por muerte de D. Lorenzo Tirado, á D. Domingo Ramírez, Clérigo de Prima. En América. S. M. se ha servido nombrar para el Obispado de NuevaSegovia, en las Islas Filipinas, á D. Fray Cayetano Pallas, Prior que fue</t>
  </si>
  <si>
    <t>Tiscar, Juan</t>
  </si>
  <si>
    <t>Juan Tiscar</t>
  </si>
  <si>
    <t>ervación completa de Madrid ; y el de 8//,47 , como resulta por el que hizo de la misma observación D. Juan Tiscar, y halla la hora de la conjunción en Valencia Por lá i.a hipótesi?. ....................................... 4h 19' 29",46 Por la 2.a hipótesis.....................................</t>
  </si>
  <si>
    <t>Titz-Pátrick, General</t>
  </si>
  <si>
    <t>General Titz-Pátrick</t>
  </si>
  <si>
    <t>er Mr. Fox se hallo tan. mejorado que pudo pasear gran parte del dia, y asistir á una comida con el General Titz-Pátrick y otros amigos suyos. — Muchos ignoran quizás que. Lord Holland; .padre, dé Mr. Fox* y Estéban Lord Holljand su hermano., padeciéron tambiénde hidropesía, y que ambos sobrevivieron</t>
  </si>
  <si>
    <t>TL Petty, Lord</t>
  </si>
  <si>
    <t>Lord TL Petty</t>
  </si>
  <si>
    <t>bilí 'propoeStóíd r-) &lt; J ;:■■■! A- cah&amp;hr.b ul tb n *v:r. &gt; ? r i •. El' a8 de Marzo' presentáron Lord TL Petty en la Cámara de los Comunes y* Lord Grenville en lar dé los Pares el* menságé siguiente: „ Deseando S. -M.i dar una prueba manifiesta de sil favor y aprobación al Vice»'Almirante S¡</t>
  </si>
  <si>
    <t>Toca, Ángel</t>
  </si>
  <si>
    <t>Ángel Toca</t>
  </si>
  <si>
    <t>el lugar de Villar del Maestre , en la Diócesi de Cuenca, vacante por muerte de D. Gabriel Gómez, á D. Angel Toca*, Capellán provisional de la Real Armada en el Departa^ mentó ^del Ferrol,, con la carga de residencia personal y de administrar el pasto espiritual á los vecinos de su anexo Vald</t>
  </si>
  <si>
    <t>Tohias Alvárez de AcostáY</t>
  </si>
  <si>
    <t>rios ;de¡CastiIla al Cadete D. Manuel Sánchez : en elfixo de Ceuta Subtenencia de bandera al Cadete D. Tohias Alvárez dé AcostáY én el Suizo de Reding ruin; 3.0 Cpñipanía'de: granaderos ai Oapitan ~seéundo;D.' Jórge Góeble ; Tenencia al Subteniente .dé.glanadHrbs'D.' Aléxkidró^Stegéi; y está resulta’ aLSubt</t>
  </si>
  <si>
    <t>Tóhn Warrefl</t>
  </si>
  <si>
    <t>do tan oportuna especie, y la ha propuesto como útil á la patria. GRAN BRETAÑA. Londres 5 de Jimio. Sir Tóhn Warrefl se ha hecho ayer á la vela con 6 navios de línea y otros tantos buques menores: lleva pliegos cerrados. Sabemos por noticias de Tonningen que los géneros Ingleses pasan libremente</t>
  </si>
  <si>
    <t>Toírquato Antonio Collado</t>
  </si>
  <si>
    <t>Teniente Corregidor de esta villa y por ante el Escribano de su número D. Claudio Sanz. ^ : El Sr. D. Toírquato Antonio Collado, Tenieríte Corregidor de esta villa, ha señalado el dia 24 del corriente, dé docé á una de su mañana, ante el Escribano del numero D. Julián González Sáez¿ para el remate de quatr</t>
  </si>
  <si>
    <t>Toirquato Segura</t>
  </si>
  <si>
    <t>eal, Presbítero: para una Capellanía del número de la Catedral de Guadix, ya- , cante por muerte de D. Toirquato Segura, á D. Juan Lanchas, Capellán reformado de los Hospitales nacionales Españoles de Santiago y Monserratde la Corte de Roma; y para el Beneficio servidero de la Parroquia de Palacios</t>
  </si>
  <si>
    <t>Toledano, Francisco Xavier</t>
  </si>
  <si>
    <t>Francisco Xavier Toledano</t>
  </si>
  <si>
    <t>odo en141?,350. Quien quisiere comprar todas 6' alguna’de dichas fincas, acuda á tratar de ajuste á D. Francisco Xavier Toledano, Apoderado general dei&lt; Excmo, Sr, Conde de Be 1veder, que vive en está Corte en la casa de S. E., calle de las Infantas. . r;. , ^ . ., Por providencia del Sr. D. Diego Gil Ferna</t>
  </si>
  <si>
    <t>Toledo, Manuel Ángel</t>
  </si>
  <si>
    <t>Manuel Ángel Toledo</t>
  </si>
  <si>
    <t>ra la Ración a D. Josef Vergára: para igual Dignidad de Tesorero de la Metropolitana de Guatemala á D. Manuel Angel Toledo: para la Penitenciaría de la Catedral de la Puebla de los Angeles á D. Gaspar de Mexías; y para la MediaRación de la de la Havana á D. Josef Policarpo Saname, Cura en esta Diócesi</t>
  </si>
  <si>
    <t>Toledo, Tomás</t>
  </si>
  <si>
    <t>Tomás Toledo</t>
  </si>
  <si>
    <t>Teniente, graduado de Capitán , Don Cleto de Ardanaz; y en el de la Corona Tenencia al Subteniente D. Tomas Toledo: en los de Hibernia, Ultonia y Voluntarios de .Castilla Tenenr cias á los Subtenientes de-granaderos D. Andrés Aguado y Oquendo , Don Ramón Urraca y D. Mariano.de Castro ; y en el</t>
  </si>
  <si>
    <t>Toll, Capitán</t>
  </si>
  <si>
    <t>Capitán Toll</t>
  </si>
  <si>
    <t>on nuestro Soberana hasta las 2. de la tarde; concluida la conferencia, se volvió acompañado por el Capitán Toll hasta la frontera. En seguida visita S. M. varios puestos, militares, y á las. 6 de la tarde se restituyó á Greifswald. Poco satisfecho S. M., según se dice, de los individuos que</t>
  </si>
  <si>
    <t>Tolstoy, Conde</t>
  </si>
  <si>
    <t>Conde Tolstoy</t>
  </si>
  <si>
    <t>o del exército Ruso. En el caso en que S. M. Sueca consintiese en conliar el mando de sus tropas al Conde Tolstoy, el Rey está pronto á darlas la misma garantía que ofrece á las tropas de S. M. Británica durante su mansión en el norte de Alemania. 3.a ,,Por lo que hace al abastecer la fortale</t>
  </si>
  <si>
    <t>Tolstoy, General</t>
  </si>
  <si>
    <t>General Tolstoy</t>
  </si>
  <si>
    <t>rador de Rusia puso,1 en conseqíiencia de un convenio firmado en Potsdam las tropas mandada* por el General Tolstoy y el cuerpo del General Bennengsen á las órdenes de S. M. Prusiana, y le prometió ademas todo el auxilió deque pudiera necesitar. „ No era muy natural imaginar que la Prusia quisiese</t>
  </si>
  <si>
    <t>on motivo de las retiradas que han hecho varios cuerpos al saber los desastres de los Prusianos. El General Tolstoy, después de conferenciar con el Rey, que se hallaba todavía en el Vhtuía con un cuerpo de 7© hombres, mandó, de mota proprio , retroceder á las colunas Rusas. Los Polacos que sirv</t>
  </si>
  <si>
    <t>Torbellino Polvareda</t>
  </si>
  <si>
    <t>glota erudición, que valen mas que el texto, por el Dr. Akerlio Rapsodia, y dedicado á su peluquero D. Torbellino Polvareda. Se hallará en la librería de Escribano, calle de las Carretas, y en la de Montero, calle de la Concepción, á 4 rs. ; y puede ir en carta. Viriato, tragedia de D. Josef María Iñig</t>
  </si>
  <si>
    <t>Torcuato Torio de la Riva</t>
  </si>
  <si>
    <t>Supl., p. 5</t>
  </si>
  <si>
    <t>mientos se advierten iguales resultas en este método aplicado á la letra de forma inglesa y á ia de D. Torcuato Torio de la Riva. 0 J Este sugeto, bien conocido en España por su arte de escribir, ha</t>
  </si>
  <si>
    <t>Toribio de Ugarte, Francisco</t>
  </si>
  <si>
    <t>Francisco Toribio de Ugarte</t>
  </si>
  <si>
    <t>término de la villa de Escatron) de 3 fan. y 6 almudes, en 2823 rs. 18 mrs. Por providencia del Sr. D. Francisco Toribio de Ugarte, Comisionado Regio para la enagenacion de las fincas del Reyno de Valencia, se están subastando por 30 dias contados desde 3 del corriente, las fincas siguientes: 189 hanegadas, l</t>
  </si>
  <si>
    <t>Toribio Olalde</t>
  </si>
  <si>
    <t>ez, D. Josef Martínez, D. Manuel Cámara y D. Manuel Abbad: y los Seminaristas D. Ceferino Carrillo, D. Toribio Olalde, Don Pedro Sánchez Pavón, D. Juan Ortiz de Zárate, D. Antonio Albuerne, D. Pablo Unda, D. Josef Silvan, D. Pablo Ferrando, D.AIexandro Lagoa, D. Eugenio de Zuloaga, D. Josef Bassó</t>
  </si>
  <si>
    <t>Toribio Pasalagua y Martinez</t>
  </si>
  <si>
    <t>ibera y Vázquez , D. Josef Paez y Mesa, D. Carlos Soubiran y Mantelan, D. Miguel Quesada y Tarriba, D. Toribio Pasalagua y Martinez, D. Vicente Fernandez de Mesa, D. Francisco de Nava y Rodríguez, D. Antonio Diaz de Herrera, D. Francisco Rodríguez López Guerrero, D. Juan Moro de Flores y Mendez, D. Josef Villa</t>
  </si>
  <si>
    <t>Tornas de la Madrid</t>
  </si>
  <si>
    <t>En Valladolid...... D. Francisco Durango. En Zamora............ D. Josef Ligero. En Zaragoza....... D. Tornas de la Madrid. En Zcuta.............. D. Pedro Huguet, comisionado subalterno del de Cádiz. Se ha señalado el día a o de este roes, de doce á una de su mañana r en la audiencia del Sr. Dv Manue</t>
  </si>
  <si>
    <t>Tornas Moyano</t>
  </si>
  <si>
    <t>del presente, á la hora de las doce en punto de su mañana, en la audiencia del Sr. Alcalde de Corte D. Tornas Moyano, y escribanía de provincia de D. Mauricio Justo del Rincón, la qual se halla tasada en 946,710 rs., y tiene de sitio 10,776 pies quadrados superficiales. Quien quisiere hacer post</t>
  </si>
  <si>
    <t>Tornero, Félix</t>
  </si>
  <si>
    <t>Félix Tornero</t>
  </si>
  <si>
    <t>ersidad de Wilna. El premio se adjudicará el i%° de Enero de 1809. ESPAÑA. Cartagena 79 de Julio. r D. Félix Tornero3 Maestro de Primeras Letras del Real Colegio de esta ciudad, propuso al Excmo. Sr. D. Francisco de Borja, Capitán General, Gobernador Político y Militar dé está- plaza, tener un c</t>
  </si>
  <si>
    <t>Torquaio Antonio Collado</t>
  </si>
  <si>
    <t>arto, que corren desde la fecha de dicho decreto. Quien quisiere hacerla acuda ante el Sr. Teniente D. Torquaio Antonio Collado, por la escribanía del número de D. Julián González Saez. Se ha mandado sacar á pública subasta unncasa propia del hospital de Caridad de la ciudad de Cartagena, la qual se halla</t>
  </si>
  <si>
    <t>Torqualo Antonio Collado</t>
  </si>
  <si>
    <t>ía, se han, señalado go diasxque^terJlpiBará^ eñ_ r8 del presente. En virtud de providencia del Sr. D. Torqualo Antonio Collado, Teniente Corregidor de esta villa, ánte el E^cribaao D. Jracobo Manuel Manrique* y de comisión especial del limo,., Sr. Decano Gobernador interino del Consejose ha mandado subast</t>
  </si>
  <si>
    <t>Torquat</t>
  </si>
  <si>
    <t>n metálico las mejoras hechasien ella. Quien quisiere hacerla á la citada postura acuda ante el Sr. D. Torquat© Antonio Collado, 1 emente Corregidor de esta villa, por la escribanía de D. Juan Antonio de Urraza. En virtud de providencia del Sr. D. Francisco Xavier Uriortua, del Consejo de</t>
  </si>
  <si>
    <t>Torquato</t>
  </si>
  <si>
    <t>. Antonio Canosa*;.'y está señalado para su remate el dia 28 de este mes. , Por providencia del Sr. D. Torquato: Antonio Collado, Teniente Corregidor de esta villa, y escribanía de D. Ramón, de. Milla Ciiéllar, 'se han mandado püblí-/ car, por término de 15 dias; contados desde el 17 dét co</t>
  </si>
  <si>
    <t>escribanía de D. Juan dé Képidé, quien informará de sus pormenores . El Sr. Teniente de Corregidor D. Torquato. Antonio Collado ha señalado el dia 2 2 del presente para el rematerde dos casas sitas en esta Corle, la una en la calle de Hortaleza, núm. 47, manz. 322, y se halla hecha postura</t>
  </si>
  <si>
    <t>Torquato Antonia Collado</t>
  </si>
  <si>
    <t>separadas, acuda en el término de 30 dias contados desde el 30 de Junio prójimo pasado ante el Sr. D. Torquato Antonia Collado, Teniente Corregidor de esta villa, por la escribanía de D. Tomas de Sancha y Prado. Para el remate de una capilla sita en la Iglesia de PP. de Santo Tomas de, esta, Corte,,;con e</t>
  </si>
  <si>
    <t>Torquato Antonio</t>
  </si>
  <si>
    <t>presente. Quien quisiere hacer postura acuda á la escribanía de D. Antonio López de Salazar. El Sr. D. Torquato Antonio .Collado, Teniente Corregidor de esta villa, ha señalado nuevamente para,el remate de una casa sita en la calle de Toledo, esquina á la de la Concepción, núín. 1, manz. 165 , tasa</t>
  </si>
  <si>
    <t>e hacer mejora á dichas casas acuda por la escribanía de D. Miguei Gonzalo. Por providencia del Sr. D. Torquato Antonio^ Gol lado, Teniente Corregidor de esta villa, y escribanía de D. Ramón de Mtíla Cuellar, se ha mandado volver á sacar á pública subasta, por término de 15,dias contados desde el 3</t>
  </si>
  <si>
    <t>Torquato Antonio Coilado</t>
  </si>
  <si>
    <t>Quien quisiere hacerla acuda ante el Sr. Teniente Corregidor D. Torquato Antonio Coilado, por la escribanía de D. Miguel Gonzalo. Por providencia de D. Andrés Benito Quintana, Comisionado Regio para la venta de bienes eclesiásticos en la Diócesi de Calahorra y Santo D</t>
  </si>
  <si>
    <t>Torquato Antonio Coliado</t>
  </si>
  <si>
    <t>a misma cantidad i pagar en vales Reales. Quien quisiere hacer la puja del quartó acuda ante el Sr. D. Torquato Antonio Coliado, lenicnte Corregidor de esta villa, por la escribanía de D. Cristóbal de Vicuña, dentro de 30 dias contados desde dicho decreto. *• A conseqiiencia de orden de los Sres. de la Com</t>
  </si>
  <si>
    <t>Torquato Antonio Collado</t>
  </si>
  <si>
    <t>Cristóbal de Vicuña, dentro de 30 dias contados, desde el 4 del corriente. Por la audiencia del Sr. D. Torquato Antonio Collado, Teniente Corregidor de esta villa, y escribanía de D. Gervasio Fernandez Izquierdo, se ha mandado sacar á pública subasta, por término de 30 dias contados desde el 23 de Diciembr</t>
  </si>
  <si>
    <t>, dentro del término de 30 dias contados desde el 2 del presente. Por la audiencia del Sr. Teniente D. Torquato Antonio Collado, y escribanía del número de D. Tomas de Sancha y Prado, se ha rematado una casa sita en esta Corte, calle del Luzon, á la de Cruzada, núm. 2, manz. 427, en 877,997 rs. de su tasa,</t>
  </si>
  <si>
    <t>Cristóbal de Vicuña, dentro de 30 dias contados desde el 9 del corriente. Por la audiencia del Sr. D. Torquato Antonio Collado, Teniente Corregidor de esta villa, y escribanía del número de D. Antonio Fernandez, se han sacado á pública subasta, por término de 30 días contados desde el 4 del presente, las</t>
  </si>
  <si>
    <t>y dé ellos 7505 y 32 iñrs. en metálico. Quien quisiere hacer la mejora del quarto acuda ante el Sr. D. Torquato Antonio Collado, Teniente Corregidor de esta villa, por la escribanía del nómero de D. Ramón García Ximeríez, dentro del término dé 30 días, qüe cumplirá erí 24 del presente. Para el rematé dé un</t>
  </si>
  <si>
    <t>gadas de,la casa d$l Refugio, y unidas con su principal propiedad, En virtud de providencia del $r. D. Torquato Antonio Collado, del,Consejo dé S. M , Teniente Corregidor de esta villa ,ha señalado los dias siguientes para el remate de las fincas que se expresan. El 27 del corriente para el de 2 casas, la</t>
  </si>
  <si>
    <t>eferiio Sr. Teniente y .escribanía del número de P- Casimiro ^ntpnio Gómez. Por providencia del $r. D. Torquato Antonio Collado, Teniente C9r.regid.0y de esta villa,s« ha mandado vender á instancia de su dueño una casa, sita ep el lugar de Villa verde, de esta jurisdicción, donde llamen la calle Empedrada,</t>
  </si>
  <si>
    <t>isma, cantidad á pagar en vales Reales. Quien quisieré hacer la mejora del quarto acuda ante el Sr. D. Torquato Antonio Collado, Teniente Corregidor de¡ esta villa, por la escribanía del número de D. Ramón García Ximenez ,dentro 'del término de 30 días, que cumplirán en 20 de Febrero próximo'. , i , Quien</t>
  </si>
  <si>
    <t>vales, está señalado el día 8 de Marzo próximo, de doce á una de su mañana, en la audiencia del Sr. D. Torquato Antonio Collado, Teniente Corregidor de esta villa, ante el Escribano del número D. Julián González Saez. Por providencia del Sr. D. Manuel Vicente de Torres, Teniente Corregidor de</t>
  </si>
  <si>
    <t>y Corte D. Mariano Alonso, por la escribanía de provincia de D. Miguel García de la Madrid. El Sr. D. Torquato Antonio Collado, Teniente Corregidor, de esta villa, ha señalado para la celebración de remates de fincas los dias siguientes : el 6 del corriente para el de dos casas sitas en esta Corte, una en</t>
  </si>
  <si>
    <t>Torquató Antonio Collado</t>
  </si>
  <si>
    <t>en esta Corte, calle de $. Cristo» bal, núm. 29, manz. 198 , tasada en 46,254 rs.7acuda ante el Sr. D. Torquató Antonio Collado, Teniente Corregidor, detesta villa, por la.escribanía del número de D. Cristóbal de Vicuña; previniéndose que está señalado su remate el dia 29 del -presente.' £1 Sr. D. Tomas Mo</t>
  </si>
  <si>
    <t>cada una de por sí* acuda ante el referido Señor por la citada escribanía. Por providencia del Sr. D. Torquato Antonio Collado,-Teniente Corregidor de esta villa, se ha señalado el dia 22 del presente para el remate de unas casas sitas en la calle del Arenal, núms. 2 y 3 , manz. 391, retasadas en 649,614</t>
  </si>
  <si>
    <t>.t 93, tasada en 721,779 rs. Quien quisíete-hacer postura:acuda ante el Sr. I). Torquato Antonio Collado, Teniente Corregidor de esta villa,'por la escribanía de D. Juan de Réplde. Compendio de la Historia universal, qnaderno 53 (j r¿° del tomo 14), con las 6 estampas covréspóndlentes.- Sé hal</t>
  </si>
  <si>
    <t>der su tasa á vales Reales dinero metálico. Quien quisiere hacer dicha mejora acuda an-, te el Sr. D. Torquato Antonio Collado, Teniente Corregidor de esta villa, por la escribanía de D. Ramón de Milla Cuellar. , El Sr. Alcalde de Corte D. Mariano Alonso ha señalado el día 26 del corriente para el remate</t>
  </si>
  <si>
    <t>EX. Mariano''Alonso, por lk escribanía5 de D. Migúef García de la Madrid; Por la* audiencia del Sr. D. Torquato Antonio Collado, Teniente Corregidor de esta villa, y escribanía que eXercióD. Gervasio Fernandez Izquierdo', fué rematada una casa sita en la calle de iaf Montera, núm.13, manz 342, en 109,700 r</t>
  </si>
  <si>
    <t>arto 30 dias contados desde el 16 de Marzo próximo pasado. Quien quisiere hacerla acuda ante el Sr. D. Torquato Antonio Collado, Teniente Corregidor de esta villa, por la escribanía de D. Julián González Saez. En la villa de Castil'blanco, partido de Truxillo, se ha creado una plaza de Médico y otra de Cir</t>
  </si>
  <si>
    <t>riano Alonso ppr la escribanía de Don Miguel García de la Madrid. En virtud de providencias del Sr. D. Torquato Antonio Collado .Teniente Corregidor de esta villa, se sacan á pública subasta por término de 30 dias contados desde 28 de Marzo las fincas siguientes: una casa sita en la callé Mayor, portal de</t>
  </si>
  <si>
    <t>iciales de sitio, tasado todo en 481,415 rs. 25 mrs. Quien quisiere hacer postura acuda ante el Sr. D. Torquato Antonio Collado, Teniente Corregidor de esta villa, por la escribanía de su numero que exerce D. Juan de Répide; y para el remate está señalado el dia 15 del corriente. El remate de las casas sit</t>
  </si>
  <si>
    <t>ico, se ha mandado publicar,.)' señaládose para su remate el miércoles 16 del corriente ante el Sr. D. Torquato Antonio Collado, Teniente Corregidor de esta villa, y escribanía de D. Ramón de Milla Cuellar, Por providencia del Sr. D. Torquato Antonio Collado, Teniente Corregidor de esta villa, y escribanía</t>
  </si>
  <si>
    <t>ostura á* ellas, acuda,, en ei término de! $p di as cantados desde el 10 del corriente, ante ei Sr. D. Torquato Antonio Collado,, Teniente Cot? regidor de esta villa, pon-la. escribanía derD. Toma* de Sancha-, y, Prado. Se halla vacante la plaza de Médico de lat villa dp. H^u^co^ dístant&lt;^:de,^fad.rí(i' 7</t>
  </si>
  <si>
    <t>los Gitanos, núm. 5-, mantz&lt; 268 , tasada en 4.a4f2ió rs., acuda ante el Sr. D„ Torquato Antonio Collado, Teniente Corregidor de esta villa-, por la escribanía de D. Cristóbal de Vicuña, dentro de 30 dias contados desde el 28 de Marzo. Se halla vacanre la plaza de Médico del lugar de Mocejon,</t>
  </si>
  <si>
    <t>. Mariano Alonso, por la escribanía de D. Miguel Josef García de la Madrid. Por providencia del Sr. D. Torquato Antonio Collado, Teniente i Corregidor de esta villa, y escribanía de D. Ramón de. Milla Cuellar, se ha mandado sacar á pública subasta, por término de 15 dias, y señalado para su remate el 5 de</t>
  </si>
  <si>
    <t>designando para la puja del quarto el término de 30 días. Quien quisiere hacerla acuda ante el Sr. D. Torquato Antonio Collado, Teniente Corregidor de esta villa, por la escribanía de D. Juan Antonio de Urraza, dentro de dicho término contado desde el 15 del pasado.</t>
  </si>
  <si>
    <t>quisiere hacer postura acuda ante dicho Sr. Teniente y citada escribanía. Por la audiencia del Sr. D. Torquato Antonio Collado, Teniente Corregidor de esta villa, y escribanía de D. Tomas de Sancha y Prado, se ha señalado el día 8 de Mayo próximo para el remate dé una casa sita en la calle de Jesús y Marí</t>
  </si>
  <si>
    <t>a acuda ante él citado Sr. Gobernador, por la escribanía de Gobierno dé él. Por providencia del Sr. D. Torquato Antonio Collado, Teniente Corregidor de esta villa, se ha mandado anunciar la subasta de la dehesa nominada de Palacios , sita en término de lá ciudad de Plasencia, la qual tiene jurisdicción civ</t>
  </si>
  <si>
    <t>que los Regulares secularizados puedan obtener beneficios eclesiásticos &amp;c. Por providencia del Sr. D. Torquato Antonio Collado, Teniente Corregidor de esta villa, se ha mandado sacar á pública subasta una casa sita en la plazuela de S. Ildefonso, núm 10, manz. 450, tasada en 202,785 rs. Quien quisiere hac</t>
  </si>
  <si>
    <t>an por ella, las dos terceras partes en vales-dinero. Quien quisiere hacer mejora acuda ante el Sr. D. Torquato Antonio Collado, Teniente Corregidor de esta villa, por la escribanía de D. Antonio Fernandez. Por providencia del Sr. D. Torquato Antonio Collado, Teniente Corregidor, de esta villa, se ha manda</t>
  </si>
  <si>
    <t>ef Cobos, dentro del término de 30 dias contados desde el 18 del corriente. Por providencia dél Sr. D. Torquato Antonio Collado, Teniente Corregidor de esta villa, se ha mandado volver á sacar á pública subasta , por térmico de 15 dias, dos casas sitas en la calle de Cantaranas, la una níun. 4, znanz. 232,</t>
  </si>
  <si>
    <t>Alonso', por la escribanía de D. Miguel Josef García de la Madrid. En virtud de providencia dei Sr. D. Torquato Antonio Collado, Teniente Corregidor de esta villa, se ha mandado sacar á pública subasta una casa sita en la calle de Silva, núm. 13, maqz., 446, tasada en 238,205 rs. Quien quisiere hacer postu</t>
  </si>
  <si>
    <t>gislativo para crea? una junta de Prohombres en León á beneficio de las fábricas de seda &amp;c« El Sr. D. Torquato Antonio Collado, Teniente Corregidor de esta villa, ha señalado el dia 6 del corriente para el remate dq una casa sita en la calle Mayor; portal de S, Isidro, nun». 22 , man?. 1.95* tasada en 232</t>
  </si>
  <si>
    <t>anjurjo y Montenegro para el Corregimiento de Letras de la ciudad de Huete. Por providencia del Sr. D. Torquato Antonio Collado, Teniente Corregidor de esta villa, y escribanía de D. Joaquín González de Castro, se ha mandado publicar nuevamente, por término de 6 dias contados desde el a del corriente, una</t>
  </si>
  <si>
    <t>a á subastar por 15 días mas. Quien quisiere hacer mejora acuda dentro de dicho término ante el Sr. D. Torquato Antonio Collado, Teniente Corregidor de esta villa, Juez comisionado, por la escribanía de D. Tomas de Sancha y Prado. El Sr. Intendente de esta Provincia, por su decreto de 19 de Mayo de este añ</t>
  </si>
  <si>
    <t>o para la celebración del segundo remate el 26 del corriente, á las puertas de la audiencia del Sr. D. Torquato Antonio Collado, Teniente^Corregidor de esta villa. Quien quisiere proponer alguna mejora acuda á la escribanía de D. Antonio López de Salazar. ; Por decreto del Sr. Intendente de esta Provincia</t>
  </si>
  <si>
    <t>erce D. Josef Covos, dentro de 30 dias contados desde el 16 del corriente. Por providencias del Sr. D. Torquato Antonio Collado, Teniente Corregidor de esta villa, executoriadas por el Consejo, y para pago de acreedores, se han mandado subastar por 20 dias mas dos casas sitas en esta Corte, la una en la ca</t>
  </si>
  <si>
    <t>ora del quarto. Quien quisiere hacerla acuda á la escribanía de D. Antonio López de Salazar. El Sr. D. Torquato Antonio Collado, Teniente Corregidor de esta villa, ha señalado el dia 4 del presente para el remate de una casa sita en esta Corte en la calle del Aguila, núm. 4, manz. 111, tasada en 103,570 rs</t>
  </si>
  <si>
    <t>da en74,779; rs. Quien quisiere hacer postura acuda ante el Sr. Teniente Corregidor de esta-v.jllaí D. Torquato Antonio Collado, por la escribanía de D. Juan de Répide; y está señalado para el remate el día 15 del corriente. . Blas Balino, ordinario que fué de la villa y Corte de Madrid, y . vecino, de la</t>
  </si>
  <si>
    <t>x del corriente, inte el Sr. D. Torquato Antonio Collado, Teniente Corregidor de esta villa, por la escribanía de D. Juan dé Képidé, quien informará de sus pormenores . El Sr. Teniente de Corregidor D. Torquato. Antonio Collado ha señal</t>
  </si>
  <si>
    <t>9 dias, señalando para su segundo remate el 19 del corriente á las puertas de la audiencia del Sr. D. Torquato Antonio Collado, Teniente Corregidor de esta villa. Quien quisiere mejorar esta puja acuda hasta dicho día á la escribanía de D. Antonio López de Salazar. Se ha señalado el día 19 dé este mes par</t>
  </si>
  <si>
    <t>tes en ella, eñ 6iS&gt; rs., se hpseñalado el jueves 24 del corriente en la audiencia del Sr. Teniente D. Torquato Antonio Collado., por.ante el Escribano del número D. Julián González Saez. El Sr. D. Diego Gil Fernandez, del Qonsejo de S. M., Alcalde en su Real Casa y Corte, ha mandado continuar la subasta,</t>
  </si>
  <si>
    <t>el. y 18 estad., en 3789 rs. : Quien quisiere hacer postura 4 qualquiera de ellas acuda ante el Sr. D. Torquato Antonio Collado, Teniente Corregidor de esta villa, por la escribanía de D. Juan de Répide, dentro del término de 30 días contados desde el 2 del corriente. Por providencia del Tribunal del Consu</t>
  </si>
  <si>
    <t>arrido, en el término de 30 dias contados desde el 7 del presente. En virtud de providencia del Sr. D. Torquato Antonio Collado, Teniente Corregidor de esta villa, y escribanía de D. Jacobo Manuel Manrique, se ha mandado sacar á pública subasta, por término de 30 dias contados desde el 4 del corriente, una</t>
  </si>
  <si>
    <t>les. Quien quisiere hacer la puja del quarto acuda ante el Sr. Teniente de Corregidor de esta villa D. Torquato Antonio Collado, por la escribanía que exerce D. Juan de Répide, dentro de 30 dias contados desde el 19 del. corriente. Por providencia del Sr. D. Felipe Gil de Taboada y Lemos, del Consejo de S.</t>
  </si>
  <si>
    <t>6fl siere hacer postura acuda ante el Sr. D. Torquato Antonio Collado, Teniente Corregidor de esta villa, por la escribanía que exerce D. Juan de Répide. A voluntad de su dueño se vende una casa sita en el lugar de Vicálbaro ^ en la plaza Mayor¿ que</t>
  </si>
  <si>
    <t>á entregarle en la tienda droguería de D, Manuel Trasvina, calle de Postas. Por providencia del Sr. D. Torquato Antonio Collado, Teniente Corregidor de esta villa, y escribanía de D. Ramón de Milla Cuellar, se ha señalado el dia 14 del corriente para el remate de 4 casas sitas en esta Corte: una en la call</t>
  </si>
  <si>
    <t>riente, que por primero, segundo y tercero se señala, qualquiera que lo sea se presente ante el Sr. D. Torquato Antonio Collado, Teniente Corregidor de esta villa, por la escribanía de D. Ramón García Ximenez, á legitimar su persona y derecho á los expresados censos; pues pasado dicho término, y no executá</t>
  </si>
  <si>
    <t>rcero dia siguiente en Jas casas consistoriales de dicha ciudad de Guadix. Por la audiencia del Sr. D. Torquato Antonio Collado, Teniente Corregidor de esta villa, y escribanía de D. Miguel Gonzalo,, se ha señalado el dia 23 del corriente para el remate de dos casas.sitas en esta Corte: una en la calle de</t>
  </si>
  <si>
    <t>Corregidor de esta villa, por la escribanía de D. Diego Benigno González. Por la audiencia del Sr. D. Torquato Antonio Collado, Teniente Corregidor de esta villa, y escribanía de D. Ramón García Ximenez, se vende una tierra situada pasado el arroyo Brofiigal, lindando al camino de Yeseros y Vinateros., qu</t>
  </si>
  <si>
    <t>siguiente a los 50 señalados se asignarán los de remate de las fincas que tuvieren postura. Él Sr. D. Torquato Antonio Collado , Teniente Corregidor de.esta villa, ha señalado para el remate de las fincas que se expresan los dias siguientes: el4 del corriente para el de dos casas, una en la calle de Silva</t>
  </si>
  <si>
    <t>casa propia de D. Ramón Peréz, sita en el mismo parage, para pago de acreedores, acuda ante el Sr. D. Torquato Antonio Collado, Teniente Corregidor de esta villa, por la escribanía de D. Alexandro Gutiérrez} previniéndose que para el remate se ha señalado el dia 6 del presente. Fr. Juan Antonio de la Sant</t>
  </si>
  <si>
    <t>iere hacerla acuda á la referida Contaduría general de Encomiendas. A virtud de providencia del Sr. D. Torquato Antonio Collado, Teniente Corregidor de esta villa, su fecha 25 de Agosto último, se han señalado 15 dias para la subasta de una casa sita en esta Corte en la baxada de la ribera de Curtidores* n</t>
  </si>
  <si>
    <t>la Iglesia de Perales del Rio, de una árarízada, con 320 cepas vivas, en 820 rs., acuda ante el Sr. D. Torquato Antonio Collado', Teniente Corregidor de esta villa, por, la escribanía que exerce D., Félix Pico de, Haedo, en el término de 30 días contados desde el 29 de Agosto próximo pasado., Por la audienc</t>
  </si>
  <si>
    <t>u. casa, habitación, calle da Bordadores,, núm. 1.. Por providencia del- Sr. D; Torquato Antonio Collado,Teniente Corregidor de asta, villa, de 12 de. Agosto último , se ha. mandado hacer saber á D; Ignacio GarciMartin ,. D. Fausto Esquerra-, IX Tomas. Ruiz Dávila, D. Luis-Bartolomé Calvo, D.</t>
  </si>
  <si>
    <t>e en las casas consistoriales de la referida ciudad. . „ .. , T . n A virtud de providencia del Sr. D. Torquato Antonio Collado, Teniente Corregidor de esta villa, y escribanía de D. Joaquín González de Castro, se ha mandado publicar nuevamente por 15 dias una casa sita en esta Corte en la calle alta de Le</t>
  </si>
  <si>
    <t>eato, con la prevención de que su remate se celebrará el dia 30 de Octubre. Por providencia del Sr. D. Torquato Antonio Collado, Teniente Corregidor de esta villa, se ha mandado publicar por término de 15 días una casa sita en esta Corte en la challe dejas Hileras, púqn.8, manz. 389, tasada en 251,533 rs.</t>
  </si>
  <si>
    <t>e dice ascienden, en metálico, las mejoras hechas en ella. Quien quisiere hacerla acuda ante el Sr. D. Torquato Antonio Collado, por la es» cribanía de D. Juan Antonio de Urraza, dentro de! citado término. En virtud de providencia del Sr. D. León de Sagasta, Teniente Corregidor de esta villa , se ha mandad</t>
  </si>
  <si>
    <t>ebrar ante los Jueces de los pueblos donde se hallan situadas dichas casas. Por providencia del Sr. D. Torquato Antonio Collado, Teniente Corregidor de esta villa , y escribanía de D. Miguel Gonzalo, se han mandado sacar á pública subasta 3 casas, sitas en esta Corte: una en la calle de la Cabeza, núm. 12,</t>
  </si>
  <si>
    <t>ue en la que están tasadas. A voluntad de su poseedor, y en virtud de Real facultad cometida al Sr. Don Torquato Antonio Collado, Teniente Corregidor de esta villa, se ha mandado sacar á pública subasta, por término de 30 dias contados desde 30 de Setiembre último, una casa principal, sita en la ciudad de T</t>
  </si>
  <si>
    <t>término de la villa de Morata, tasadas en 18,185 rs. 11 mrs., y rematadas por la audiencia del Sr. D. Torquato Antonio Collado, Teniente Corregidor de esta villa, y escribanía de D. Ramón García Ximenez,en las dos terceras partes de su tasa, baxadas cargas y roo rs. mas, á pagar en moneda metálica sonante</t>
  </si>
  <si>
    <t>siendo su tasa 99,275 rs. Quien quisiere hacer la puja del quarfo á dichas cas3s acuda ante el Sr. D. Torquato Antonio Collado, Teniente Corregidor de esta villa, por la escribanía de D. Juan de Répide, dentro de 3c* días contados desde el 7 del corriente. Por providencia del Sr. Alcalde D. Francisco Lópe</t>
  </si>
  <si>
    <t>el presente para sus jenwttes. A voluntad de su dueño, y en virtud de Real facultad cometida al Sr. D. Torquato Antonio Collado, Teniente Corregidor de festa villa, se ha-mandado sacar i pública subasta, por término de 30 días contados desde el 17 ael pasado, el termino del despoblado de la villa de la Tor</t>
  </si>
  <si>
    <t>o término;empezó á corirer en 10 del presente. Quien quisiere hacer dicha mejora acuda ante el Sr. &lt;D. Torquato Antonio Collado, Teniente Corregidor de esta villa, y escribanía de Ó# Raimen de Milla Cuellar. • En-virtud-.-de providencias del Sr. Alcalde D. Francisco López Lísperguer se há maridado sacar á</t>
  </si>
  <si>
    <t>Tórqüató Átttóhió Gblládo</t>
  </si>
  <si>
    <t>dra , barrios dé los Mostenses, núm. 14, mahz. 6agy tasádáen 50,849 rs. 17 mrs., acuda anteí el Sr. D. Tórqüató Átttóhió Gblládo, Tenienté^Górregidor de esta villa, por la escribanía de D; Cristóbal dé Vlfcuñá,d entro de go diaS contados desde el 29 de Abril próximo pasádó. ‘ El Hombre Feliz , iñdépfeñdiéfi</t>
  </si>
  <si>
    <t>Torquato Torio</t>
  </si>
  <si>
    <t>as Carretas, se halla de venta el papel pautado para escribir en las escuelas: está por el orden de D. Torquato Torio, y el que usan los mas de las escuelas de Madrid y Sitios Reales, estampado por el mismo Ortega; y lo hay en pliegos y en quartillas, y por resmas lo arregla para la utilidad de l</t>
  </si>
  <si>
    <t>Torquato Torio de la Riba</t>
  </si>
  <si>
    <t>ogía, deletreo, silabear, leer con sentido, escribir con reglas, observando el método que establece D. Torquato Torio de la Riba, doctrina cristiana, aritmética y lengua vascongada, por ser vulgar del país; y aunque no es circunstancia precisa, se desea el que los pretendientes esten instruidos en la gramát</t>
  </si>
  <si>
    <t>tecismo de Fleury y del Quixote. Ultimamente escribieron varias planas excelentes según la forma de D. Torquato Torio de la Riba ; y sin embargo de haber alguno que solo lleva 12 dias de esta enseñanza con pluma en papei, por efecto de los exercicios previos con lapicero en pizarra, escribe con igualdad del</t>
  </si>
  <si>
    <t>Torquito Antonio Collado</t>
  </si>
  <si>
    <t>ción de dicha casa; y se ha señalado para su remate el dia 30 del corriente en la audiencia del Sr. D. Torquito Antonio Collado, Teniente Corregidor de esta villa. Quien quisiere hacer postura acuda á la escribanía de D. Diego Benigno González. Se halla vacante el partido de Médico del lugar de Villaverde</t>
  </si>
  <si>
    <t>Torrents, Carlos</t>
  </si>
  <si>
    <t>Carlos Torrents</t>
  </si>
  <si>
    <t>mediados de este mes se extraviaron en Barcelona un vale de 300 pesos, y dos de 150, endosados por D. Carlos Torrents á favor de D. Josef Viguer. Quien supiere de su paradero, «e servirá avisar en Barcelona á D. Pedro Antonio Viguer, en la calle de Basca ; y en Madrid á D. Gabriel de Zavala, en l</t>
  </si>
  <si>
    <t>Torres y de Amat, Ignacio</t>
  </si>
  <si>
    <t>Ignacio Torres y de Amat</t>
  </si>
  <si>
    <t>Urgel: á D. Jacinto de Antillon para una Canongía de la Colegiata de Mora, Diócesi de ‘Teruel; y á D. Ignacio Torres y de Amat para el Deanato de la Catedral de Gerona, vacante por promoción de D. Luis Martínez y Válete á la Dignidad de Abad de la Colegiata.de S. Feliu. En cumplimiento de lo mandado en Re</t>
  </si>
  <si>
    <t>Torres y Gómez, Andrés</t>
  </si>
  <si>
    <t>Andrés Torres y Gómez</t>
  </si>
  <si>
    <t>da, Abogado de los Reales Consejos.” Para el Deanato de la Catedral de Jaca, vacante por ascenso de D. Andrés Torres y Gómez, al Obispado de Oviedo, á D. Joset de Asso, Canónigo de la misma Iglesia; y para una Ración de la Parroquial de la villa de Pina, Diócesi de Zaragoza, á D. Julián Josef Mantecón.</t>
  </si>
  <si>
    <t>sa dél Brasil. S. M. se ha servido nombrar para el Obispado de Oviedo, vacante por fallecimiento de D. Andrés Torres y Gómez, electo en esta Mitra, á Don</t>
  </si>
  <si>
    <t>Tosef Francisco Camacho</t>
  </si>
  <si>
    <t>ara una Capoqgía, vacante en la Colegial deS- Hipólito de la ciudad de Córdoba ppr fallecimiento de D. Tosef Francisco Camacho, á D. Josef de los Ríos y Gamez: para otras dos Canoncías de la Colegial de Sfa. María de Alcázar y S. Andrés de la ciudad de Baeza, Diócesi de Jaén, vacantes per muerte de D. Mig</t>
  </si>
  <si>
    <t>Tountureüe, Esteban</t>
  </si>
  <si>
    <t>Esteban Tountureüe</t>
  </si>
  <si>
    <t>y medios de prolongar la vida y conservar la salud, escritos en francés por el ciud Esteban Tountureüe, Profesor de la escuela de sanidad de Sirasburgo, traducidos con notas por D. Luis Mexía, Cirujano en esta Corte: 2 tomes en 8.°: obra íítil á los eruditos, y</t>
  </si>
  <si>
    <t>Tourtelle, Esteban</t>
  </si>
  <si>
    <t>Esteban Tourtelle</t>
  </si>
  <si>
    <t>y medios de prolongar la vida y conservar la salud: escritos en francés por el ciudadano Esteban Tourtelle, traducidos con notas por D. Luis María Mexia , Cirujano de esta Corte: tomo i.° que trata de la vida, la salud y las fuerzas vivificantes: 2 tomos en 8.°: el</t>
  </si>
  <si>
    <t>Toyos, Francisco</t>
  </si>
  <si>
    <t>Francisco Toyos</t>
  </si>
  <si>
    <t>érez Jusfiniani: empleo de Alférez en el Regimiento, de caballería de la Ha vana si Portaestandarte D. Francisco Toyos; y esta resalta al Sargento segundo D. Antonio Arocha: Tenencia en el de dragones de Matanzas al Subteniente D. Gabriel Santoyo: Subtenencia de Compañía al de bandera D. Francisco</t>
  </si>
  <si>
    <t>Trasovares, Manuel</t>
  </si>
  <si>
    <t>Manuel Trasovares</t>
  </si>
  <si>
    <t>nez y de Válete: á D. Pablo Domingo para la Canongía Doctoral de la Metropolitana de Tarragona; y á D. Manuel Trasovares para un-Beneficio de la Parroquia de ía villa de Epilar Dióxesi de Zaragoza. ; . En el Regimiento Suizo de Reding,, nym. 2,0, se ha servido el Rey conceder Compañía de granaderos</t>
  </si>
  <si>
    <t>Trasvina, Manuel</t>
  </si>
  <si>
    <t>Manuel Trasvina</t>
  </si>
  <si>
    <t>ió el día 7 del corriente. Quien lo hubiese hallado se servirá entregarle en la tienda droguería de D, Manuel Trasvina, calle de Postas. Por providencia del Sr. D. Torquato Antonio Collado, Teniente Corregidor de esta villa, y escribanía de D. Ramón de Milla Cuellar, se ha señalado el dia 14 del c</t>
  </si>
  <si>
    <t>Traxler, Remigio</t>
  </si>
  <si>
    <t>Remigio Traxler</t>
  </si>
  <si>
    <t>7°o segundos D. Remigio Schwanden y D. Josef Zelger; á Teniente al Subteniente D. Remigio Traxler; á Subteniente de granaderos al de fusileros D. Ulrico Mayerffisch, y áTeniente supernumerario á D. Xavier Traxler; y ettel de Wimpffen á Subtenientes á los Cadetes D. Félix Grang</t>
  </si>
  <si>
    <t>Traxler, Xavier</t>
  </si>
  <si>
    <t>Xavier Traxler</t>
  </si>
  <si>
    <t>er; á Subteniente de granaderos al de fusileros D. Ulrico Mayerffisch, y áTeniente supernumerario á D. Xavier Traxler; y ettel de Wimpffen á Subtenientes á los Cadetes D. Félix Grangier, D. Josef Wirtz y D. Juan Víctor Glntz. - - ' , S. M. se ha servido nombrar Capitán delReal Cuerpo de Artillerí</t>
  </si>
  <si>
    <t>Trento, Gerónimo</t>
  </si>
  <si>
    <t>Gerónimo Trento</t>
  </si>
  <si>
    <t>cho de las obras del Rmo. Feixoo. Qufarésmrf, pláticas morales y panegíricos del Misionero Italiano D. Gerónimo Trento, traducidos del toscano al español: 4 tomos en 4.0 Los sermones de Trenfo, muchas veces impresos en Italia, sé pueden proponer por módelo á todos los</t>
  </si>
  <si>
    <t>Trigni, General</t>
  </si>
  <si>
    <t>General Trigni</t>
  </si>
  <si>
    <t>apoleón la fragata la Italiana, de igual porte. La ciudad de Wesel, de que habrá tomado posesión el General Trigni en nombre de S. M. I. y R., será comprehendida en quanto á la parte militar en la división vigesimaquinta. El Rey y la Reyna de Holanda se hallaban el 14 en Maguncia, en cuyo dia as</t>
  </si>
  <si>
    <t>Trigny, General</t>
  </si>
  <si>
    <t>General Trigny</t>
  </si>
  <si>
    <t>s: nuevas-tropas Francesas que han de venir á esta'República!.- Estas tropas" serán mandadas por el General Trigny , en calidad ae Comandante en gefe del departamento del Roer y de las líneas sobre las orillas ¿deblssel. Este General es uno de los Tenientes del Mariscal Lefebvre: su quartei ge</t>
  </si>
  <si>
    <t>Trinidad Porcel</t>
  </si>
  <si>
    <t>de 6 meses , los 3 primeros riguroso, y los otros 3 de alivio, empezando el dia 22 del corriente. A D. Trinidad Porcel, vecino de Vitoria, se le ha perdido desde Tolosa á Erjiani, pueblos de la provincia de Guipúzcoa, un vale Real de 300 pesos, de i.° de Mayo, núm. 444226, endosado últimamente á s</t>
  </si>
  <si>
    <t>Trotter, Alexandro</t>
  </si>
  <si>
    <t>Alexandro Trotter</t>
  </si>
  <si>
    <t>as desde muy temprano. El primer testigo qüé ha comparecido ha sido Mr. Roberto Troiter, hermano de Mr. Alexandro Trotter: duró su examen diez minutos. El segundo ha sido Mr. Antrobus , uno dé los asociados de la casa de Couts y compañía.</t>
  </si>
  <si>
    <t>Trowbridge, Tomás</t>
  </si>
  <si>
    <t>Tomás Trowbridge</t>
  </si>
  <si>
    <t>de 50, de seis fragatas de 32 á 40, y de quatro corbetas de 14 á 18 cañones: la esquadra que manda Sir Tomas Trowbridge está en el apostadero del E: consta de dos navios de 74, de uno de 64, de siete fragatas de 32 á 38 cañones, y de tres corbetas de 16 á 18. Él Almirantazgo ha recibido pliegos de Si</t>
  </si>
  <si>
    <t>ción de su mando, ha escrito á Inglaterra pidiendo explicación de la. órdenes. Los navios que manda Sir Tomas Trowbridge son el Blenbtin do 74 cañones, Lancaster de 64: las fragatas Faetón y Desdeñosa, y las■'balan ’ra- Hairicr y R.atdesnake. Extracto dé los pliegos remetidos por ti Coronel Wallave9</t>
  </si>
  <si>
    <t>Tru, Francisco</t>
  </si>
  <si>
    <t>Francisco Tru</t>
  </si>
  <si>
    <t>de la Catedral de Huesca: para otra de dicha Metropolitana, vacante por muerte de D. Juan Morell, á D. Francisco Tru^ yolls, Beneficiado de la Catedral de Mallorca: para una Ración de la misma Iglesia á D. Antonio Pastor, Beneficiado de dicha: para una Ración patrimonial de lá Parroquial de Exea</t>
  </si>
  <si>
    <t>Truxilio, Melchor Nicolás</t>
  </si>
  <si>
    <t>Melchor Nicolás Truxilio</t>
  </si>
  <si>
    <t>de 30 dias. En el Real Tribunal del Consulado de la ciudad de Cádiz, y por su escribanía á cargo de D. Melchor Nicolás Truxilio , se formáron autos en 17 de Junio del ano próximo pasado, á instancia de la casa de comercio Greppl y Calcagni, en razón de que se pusiese embargo en la fragata imperial nombrada</t>
  </si>
  <si>
    <t>Truxillo, Melchor Nicolás</t>
  </si>
  <si>
    <t>Melchor Nicolás Truxillo</t>
  </si>
  <si>
    <t>o, contado desde el dia 6 del,presente, en el Tribunal del Consulado de Cádiz, por la escribanía de D. Melchor Nicolás Truxillo, á deducir sus derechos, con los competentes documentos; en concepto que de no executarlo en dicho término se procederá á la cancelación de las fianzas y obligaciones facilitadas</t>
  </si>
  <si>
    <t>Truxillo, Pedro</t>
  </si>
  <si>
    <t>Pedro Truxillo</t>
  </si>
  <si>
    <t>a; y ha tenido á bien conferir la Fiscalía Militar del propio Supremo Tribunal al Mariscal de Campo D. Pedro Truxillo, Comandante general de la Costa de Asturias. En el Regimiento de caballería de Borbon se ha servido el Rey conceder Ayudantía al Teniente D. Lorenzo Fernandez; y en el de Santiago</t>
  </si>
  <si>
    <t>allón Veterano de la Concepción de Chile al Subteniente D. Juan Calderón, y á Subteniente al Cadete D. Pedro Truxillo: Compañía en el batallen fixo de Goatemala al Capitán D. Francisco Aranguren, Teniente del Regimiento de infantería de Ordenes Militares. En el Regimiento de Milicias disciplinada</t>
  </si>
  <si>
    <t>TruxUlo, Melchor Nicolás</t>
  </si>
  <si>
    <t>Melchor Nicolás TruxUlo</t>
  </si>
  <si>
    <t>ribanía de D. Antonio López de Salazar. . . Por el Tribunal del Consulado de Cádiz, y escribanía de D. Melchor Nicolás TruxUlo, se han seguido autos de quiebra y concurso de acreedores a D. Juan Antonio Ucelay, que tuviéron principio en 13 de Noviembre de 1788con e numero 283, sobre cuya dependencia se ha</t>
  </si>
  <si>
    <t>Tscharner</t>
  </si>
  <si>
    <t>volviesen. En efecto, el Land-Amman se interesó por medio de dos oficios; pero fueron mal acogidos. Mr. Tscharner, Secretario de Embaxaca, vino en posta de Paris á esta ciudad el miércoles pasado; y poco después Jlegó un. correo extraordinario con cartas de Mr. de Talleyrand-Perigcrd, cuyo co</t>
  </si>
  <si>
    <t>Tuis de Vera</t>
  </si>
  <si>
    <t>Josef Viya,»:y., al de fusileros D. Josef Veles ; á Subtenientes de granaderos á, los de fusileros D. Tuis de Vera y D. Domingo Urquizabaso; á Subtenientes dg ,com-, pama á ios de bandera D. Francisco Zosaya, D. Joaquín Árt-acho,, p. Josef Alaría N oriega y D. Franciscp Xavier de Andrade, y a Subt</t>
  </si>
  <si>
    <t>Turón, Francisco</t>
  </si>
  <si>
    <t>Francisco Turón</t>
  </si>
  <si>
    <t>l Obispado de Urge!; y para un Beneficio de lá Catedral de Gerona ¿ titulado de Santa. Catalina., á D. Francisco Turón. . . .•( ;; ;-.:ó K ? r j■; S. M., se ha dignado nombrar Sargenta mayor del Departamento de Artillería de Segovia á D. Antonio Elgueta » Capitán primero de Artilleros á caballo de</t>
  </si>
  <si>
    <t>Turreau, General</t>
  </si>
  <si>
    <t>General Turreau</t>
  </si>
  <si>
    <t>sado por S. E. Mr. deTalleyrand al General Armstrong, Ministro nuestro en París, y otras dos por el General Turreau, Ministro plenipotenciario de Francia, á nuestro Secretario de Estado. En todas ellas se insiste fuertemente para que se acabe aquel comercio; y es verosímil que nuestro Gobierno</t>
  </si>
  <si>
    <t>Ucelay, Juan Antonio</t>
  </si>
  <si>
    <t>Juan Antonio Ucelay</t>
  </si>
  <si>
    <t>scribanía de D. Melchor Nicolás TruxUlo, se han seguido autos de quiebra y concurso de acreedores a D. Juan Antonio Ucelay, que tuviéron principio en 13 de Noviembre de 1788con e numero 283, sobre cuya dependencia se ha establecido cierto convenio entre os acreedores y el Síndico D. Josef Francisco Or</t>
  </si>
  <si>
    <t>Uftzaga, Francisco</t>
  </si>
  <si>
    <t>Francisco Uftzaga</t>
  </si>
  <si>
    <t>. Manuel Elzaurdi. En Cuenca. *......... Sres. Viuda de Escolar, bodega é hijo. En (arañada........ D. Francisco Uftzaga. En G-uadalaxnra. JD. Isidoro García Plaza. En Jaén.......**..... D. Pedro y D. Juan Esponefa. En León...*............X). Pedro Gil de Tejada. En Málaga...... . D. Juan 'Ximéno. E</t>
  </si>
  <si>
    <t>Ugalde, Domingo</t>
  </si>
  <si>
    <t>Domingo Ugalde</t>
  </si>
  <si>
    <t>a Superioridad el parte siguiente :■ „ La; fragata-Joaquina,. de este comercio de Lima, aí mando de D. Domingo Ugalde , acaba de apresar á un corsario enemigo a la vista del puerta del Callao de uno de los modos mas gloriosos al pabellón Español. El; bergantín Ingles Antelope , procedente díe Lon</t>
  </si>
  <si>
    <t>Ulloa, Santiago</t>
  </si>
  <si>
    <t>Santiago Ulloa</t>
  </si>
  <si>
    <t>ordomos de Semana Marques de Campo de Villar, Marques de Casata*bares, D. Fernando Queypo de Llano, D. Santiago Ulloa, y el Marques de Fontanar, que por estar dé servidumbre derla, difuntaTrisícíís a siguió la comitiva;, y los Gentileshombres de Boca y Casatya-expresados, les ayujdároii par la ra</t>
  </si>
  <si>
    <t>Ulrico Mayerffisch</t>
  </si>
  <si>
    <t>f Zelger; á Teniente al Subteniente D. Remigio Traxler; á Subteniente de granaderos al de fusileros D. Ulrico Mayerffisch, y áTeniente supernumerario á D. Xavier Traxler; y ettel de Wimpffen á Subtenientes á los Cadetes D. Félix Grangier, D. Josef Wirtz y D. Juan Víctor Glntz. - - ' , S. M. se ha ser</t>
  </si>
  <si>
    <t>Unda, Pablo</t>
  </si>
  <si>
    <t>Pablo Unda</t>
  </si>
  <si>
    <t>Carrillo, D. Toribio Olalde, Don Pedro Sánchez Pavón, D. Juan Ortiz de Zárate, D. Antonio Albuerne, D. Pablo Unda, D. Josef Silvan, D. Pablo Ferrando, D.AIexandro Lagoa, D. Eugenio de Zuloaga, D. Josef Bassóco, D. Vicente Bas$óco,D. Matías de la Torre, D. Joaquín Ossés, D. Gerónimo Maza, D. J</t>
  </si>
  <si>
    <t>Unzaga, Francisco</t>
  </si>
  <si>
    <t>Francisco Unzaga</t>
  </si>
  <si>
    <t>. D. Manuel Elzaurdi. En Cuenca............ . Sres. viuda de Escolar, Noríega é hijo. En Granada... D. Francisco Unzaga. En Guadalaxara. D. Isidoro García Plaza. En Jaén................. D. Pedro y D. Juan Esponera. En León................. D. Pedro Gil de Tejada. En Málaga........... D. Juan Ximen</t>
  </si>
  <si>
    <t>Urbína, Cayetano</t>
  </si>
  <si>
    <t>Cayetano Urbína</t>
  </si>
  <si>
    <t>de nuestros augustos Soberanos y su Real familia. Presidió la función el Sr. Intendente Corregidor D. Cayetano Urbína, como Protector de la Asociación, y asistió de medio pontifical el Excmo. é limo. Sr. Arzobispo Fr. D. Joaquín Company, con la música de la Catedral, habiendo hecho por sí mismo l</t>
  </si>
  <si>
    <t>Ureña, María</t>
  </si>
  <si>
    <t>María Ureña</t>
  </si>
  <si>
    <t>vía de restitución, para distribuirlos en esta forma: á D. Pablo Vidurreta, en Córdoba, 42.0 rs.: á Doña María Ureña, en Jaén, 400*. á la casa Lañerera, en Jaén, 500: á D. Pedro Estefanía de Tejada, en Sevilla, 860; y á D. Josef López, en Granada, 320. Las personas interesadas acudirán en Madrid</t>
  </si>
  <si>
    <t>Uriarte y Landa, Joaquín</t>
  </si>
  <si>
    <t>Joaquín Uriarte y Landa</t>
  </si>
  <si>
    <t>demostró la mayor importancia de los actuales en el plan que últimamente ha adoptado. El Secretario D. Joaquín Uriarte y Landa leyó las actas del año, y manifestó en ellas los progresos de los establecimientos ya formados. A continuación fueron examinadas las niñas dp las escuelas gratuitas en Doctrina cr</t>
  </si>
  <si>
    <t>Uriortua, Francisco Xavier</t>
  </si>
  <si>
    <t>Francisco Xavier Uriortua</t>
  </si>
  <si>
    <t>dor de esta villa, por la escribanía de D. Juan Antonio de Urraza. En virtud de providencia del Sr. D. Francisco Xavier Uriortua, del Consejo de S. M. en la Real Junta de Comercio y Moneda, Asesor de la Intendencia de Cádiz en todos los ramos de Consolidación de Vales Reales, Comisionado Real para la venta</t>
  </si>
  <si>
    <t>exerce D. Domingo Castañon Rodríguez, antes del referido dia 21. , En virtud de providencia del Sr. D. Francisco Xavier Uriortua, del Consejo de S. M. en la Real Junta; general de Comercio y Moneda, Asesor de la Intendencia dé Cádiz y su provincia marítima .en todos los ramos de Consolidación de Va</t>
  </si>
  <si>
    <t>Üriortua, Francisco Xavier</t>
  </si>
  <si>
    <t>Francisco Xavier Üriortua</t>
  </si>
  <si>
    <t>rden del Excmo. Sr. Intendente de Cádiz y su provincia marítima, y en virtud de providencia del Sr. D. Francisco Xavier Üriortua, del Consejo de S. M. en la Real Junta general de Comercio y Moneda, y Asesor de la Intendencia en todos los ramos de Consolidación de Vales Reales, se mandan sacar á pública suba</t>
  </si>
  <si>
    <t>............ D. Pedro Huguet, comisionado subalterno del de Cádiz, En virtud de providencia del Sr. D. Francisco Xavier Uriortua, del Consejo de S. M. en la Real Junta general de Comercio y Moneda, Asesor de la Intendencia de Cádiz y su provincia marítima en todos los ramos de Consolidación de Vales Reales,</t>
  </si>
  <si>
    <t>entida, y su memoria será siempre agradable entre sus amigos y parientes. / Por providencia del Sr. D. Francisco Xavier Uriortua, Comisionado Regio para la venta de bienes eclesiásticos de la Diócesi de Cádiz, se mandan sacar á pública subasta, por término de 30 dias contados desde el 9 de Agosto próximo pa</t>
  </si>
  <si>
    <t>Urraca, Ramón</t>
  </si>
  <si>
    <t>Ramón Urraca</t>
  </si>
  <si>
    <t>Voluntarios de .Castilla Tenenr cias á los Subtenientes de-granaderos D. Andrés Aguado y Oquendo , Don Ramón Urraca y D. Mariano.de Castro ; y en el de* Murcia Subtenejncia de bandera al Cadete del. de; Africa Eugenio Crespo y Azcona.. , ; En el Regimiento Provincial de Chinchilla ha conferido S.,%</t>
  </si>
  <si>
    <t>Urroz y Vera, Vicente</t>
  </si>
  <si>
    <t>Vicente Urroz y Vera</t>
  </si>
  <si>
    <t>os Señores D. Domingo y Justo Torrijos,-en Cádiz en la imprenta y librería de Pajares,, en Pamplona D. Vicente Urroz y Vera, Administrador gemraJ de ia Red Lotería, y en Tudela D. Rafael Tarazona, Oficial del Correo, adonde pued:n ocurrir los que desean entrar en suerte, y no quieran subscribir á tomar</t>
  </si>
  <si>
    <t>Vacas, Juan María</t>
  </si>
  <si>
    <t>Juan María Vacas</t>
  </si>
  <si>
    <t>dignado S. M. conceder empleos de Portaguión en los Regimientos de dragones de la Reyna y Sagunto á D. Juan María Vacas y D.F rancisco de Paula Gutiérrez de los Ríos , Cadetes de los de dragones del Rey y Reales Guardias de infantería Española. En los Regimientos Provinciales ha conferido el Rey Compañ</t>
  </si>
  <si>
    <t>Vade, Francisco Xavier</t>
  </si>
  <si>
    <t>Francisco Xavier Vade</t>
  </si>
  <si>
    <t>istral de la Real Colegial de Sta- María de Alabanza, Diócesi de Falencia, vacante por promoción de D. Francisco Xavier Vade jo al Curato de la villa de Osorno, á D. Joaquín Bureva: para el Beneficio simple servidero de la villa de Arroyo del Puerco ^Diócesi de Coria, vacante por muerte de D. Fernando S</t>
  </si>
  <si>
    <t>Vaiderrama y Dón Josef Power, Francisco</t>
  </si>
  <si>
    <t>Francisco Vaiderrama y Dón Josef Power</t>
  </si>
  <si>
    <t>alatino y D. Manuel Aguilar; á Capitanes primeros al segundo D. Rafael de Villar, y á los Ayudantes D. Francisco Vaiderrama y Dón Josef Power; á Ayudantes á los Capitanes segundos D. Luis de Lará y Don uan Dávila; á Capitanes segundos á los Tenientes D. Manuel Saviñon, Í &gt;. Josef Fernandez de la Reguera y D. Pedro Bofar</t>
  </si>
  <si>
    <t>VaislieíF, Conde</t>
  </si>
  <si>
    <t>Conde VaislieíF</t>
  </si>
  <si>
    <t>tro de la Justicia, ha recibido la gracia de la Orden de S. Vaidomiro, de primera clase; y S. E. el Conde VaislieíF, Ministro de Hacienda, ademas de dicha gracia, ha recibido un regalo de 50® rublos. — Bien sabido es que en Rusia es una parte considerable de las rentas del Imperio la venta de t</t>
  </si>
  <si>
    <t>Val, Francisco</t>
  </si>
  <si>
    <t>Francisco Val</t>
  </si>
  <si>
    <t>deros D. Pedro Roseliy; y en el de Voluntarios de Estado Subtenencia de bandera ai Sargento primero D. Francisco Val verde. - En América. El Rey se ha servido promover d D. Nicolás Viuda del Pino, Obispo de Paraguay, al Obispado de Salta de nueva erección: para una Canongía de la Catedral de Gua</t>
  </si>
  <si>
    <t>Valbuena Diez, Estéban</t>
  </si>
  <si>
    <t>Estéban Valbuena Diez</t>
  </si>
  <si>
    <t>s á vista de la ciudad. Quien quisiere hacer postura acuda al oficio del Escribano de Ayuntemiento. D Estéban Valbuena Diez, dónde se enterará del por menor, y de que está señalado para el remate en las casas consistoriales el dia 4 de Setiembre próximo, á las once de su mañana. Por providencia del Lie</t>
  </si>
  <si>
    <t>Valdejuli, Salvador</t>
  </si>
  <si>
    <t>Salvador Valdejuli</t>
  </si>
  <si>
    <t>ef Arnau y D. Joaquín Rujas, el primero de granaderos;, á Subteniente de granaderos al de fusileros D. Salvador Valdejuli; á Subtenientes de fusileros á los de bandera D. Felipe Carvajal, D. Silvestre Ramírez y D. Josef López; y ¿ Subtenientes de bandera al Sargento primero de granaderos D. Miguel Ga</t>
  </si>
  <si>
    <t>Valdes y Díaz Canalizo, Ángel</t>
  </si>
  <si>
    <t>Ángel Valdes y Díaz Canalizo</t>
  </si>
  <si>
    <t>on Francisco Pareja y Cameros, D. Josef Marco y Espejo, D. Ramón Arias y Toubes, D. Ignacio Chacón, D. Angel Valdes y Diaz Canalizo, D. Julián Morales y Sánchez, D. Flaminio Agacini y Bilbao, D. Tomas de Torres y Zapata, y D. Manuel Croquer. En América. El Rey se ha dignado promover á Capitán de la Compañía de</t>
  </si>
  <si>
    <t>Valdiosa de la Cerda, Francisco</t>
  </si>
  <si>
    <t>Francisco Valdiosa de la Cerda</t>
  </si>
  <si>
    <t>granaderos D. Francisco Amores, y Tenencias en los de Truxillo, Málaga y Orense á los Subtenientes D. Francisco Valdiosa de la Cerda, D. Mariano de Cárdenas, D. Juan Roldan y Baena y D. Manuel de la Sierra. Atendiendo el Rey á los servicios ir méritos del Comisario de Guerra</t>
  </si>
  <si>
    <t>Valdomero Moraleda</t>
  </si>
  <si>
    <t>9* de provincia de D. Valdomero Moraleda, se ha señalado el diá 5 de Febrero'próxímo para el remate de las fincas y tierras sitas en la villa de Vetilla de S. Antonio y Mejorada, y son las siguientes: primeramente una ca</t>
  </si>
  <si>
    <t>e hacer mejora acuda ante el Sr. D. Ramón Pingarron , Alcalde de Casa y Corte, por la escribanía de D. Valdomero Moraleda. El Sr. D. Joséf Ruiz de Celada, Comisionado Regio para la venta de fincas secularizadas de la Diócesi de Zaragoza, ha señalado el dia 4 de Noviembre próximo para el remate de las</t>
  </si>
  <si>
    <t>Valence, Lord</t>
  </si>
  <si>
    <t>Lord Valence</t>
  </si>
  <si>
    <t>idas, y de papeles dirigidos á los Electores por los que desean salir Vocales del nuevo Parlamento. Lord Valence, que ha gastado 5 años en viajar por varias partes de la India, ha llegado á Portsmouth en el navio del Rey nombrado Neptuno. Ha reconocido las costas dél mar Rexo, y levantado ma</t>
  </si>
  <si>
    <t>Valentía, Lord</t>
  </si>
  <si>
    <t>Lord Valentía</t>
  </si>
  <si>
    <t>o, que no escribe y falla pomo juez de los escritos. En las últimas Gazetas de Bombay leemos que el Lord Valentía, comisionado por la Sociedad que se ha creado en la India con el objeto de explorar las costas del Africa y de la Arabia, ha recibido del Rey de Abisinia el permiso de enviar una</t>
  </si>
  <si>
    <t>Valentín Gutierre</t>
  </si>
  <si>
    <t>entes de fusileros en los de la misma clase de Salamanca y Logroño á ios Subtenientes de granaderos D. Valentín Gutierre* y D. Josef Saturio Ovejas; y á Subteniente de bandera en el de Xerez á-D. Manúel Rodríguez de Toares, Cadete del mismo. -■ S. M. se ha servido ¡promover á Teniente Coronel de Art</t>
  </si>
  <si>
    <t>Valentín Rubio</t>
  </si>
  <si>
    <t>alle de los Carros , esquina á la de las Tabernülas , núm. 6. &gt; De los autos de la testamentaría de D. Valentín Rubio, que remitió el Juez de bienes de difuntos de Buenos-Ay res,, resulta fué natural de la villa de Agreda; hijo legítimo de Di, Josef Rubio y de Doña María Angel Pau, vecinos de ell</t>
  </si>
  <si>
    <t>Valentín Scender de la Fuente</t>
  </si>
  <si>
    <t>y los obtuviéron el primero,por unanimidad de votos, Don Francisco Lleonart y Cuesta , y el segundo D. Valentín Scender de la Fuente por 6 votos contra 5 que tuvo D. Paulino Población, Oficial agregado á la. Contaduría mayor de Cuentas, al que por esta razón juzgó la Sociedad acreedor á que se haga de él menció</t>
  </si>
  <si>
    <t>Valenzuela, Pedro Jacinto</t>
  </si>
  <si>
    <t>Pedro Jacinto Valenzuela</t>
  </si>
  <si>
    <t>rar para la plaza de Ministro togado, vacante en el Supremo Consejo de las Indias por jubilación de D. Pedro Jacinto Valenzuela, al Sr. D. Francisco Ignacio Cortines, Regente de la Real Audiencia de Quito. En América. En el Regimiento de infantería de Cuba se ha servido el Rey promover á Capitán de granade</t>
  </si>
  <si>
    <t>Valero de Vicente, Julián</t>
  </si>
  <si>
    <t>Julián Valero de Vicente</t>
  </si>
  <si>
    <t>ez, á D. Josef Manuel Esquivel, Magistral de ella: para Canongía de la misma, vacante por muerte de D. Julián Valero de Vicente, á D. Pedro Ignacio de Iturribarría: para la Ración que este dexa á D. Fernando Cortés; y para la Media al Cura de Arispe D. Josef Cayetano Salcedo: para la Chantría de la Iglesia</t>
  </si>
  <si>
    <t>Valhubert, General</t>
  </si>
  <si>
    <t>General Valhubert</t>
  </si>
  <si>
    <t>onor de llevar tm General Francés herido» • &gt; ;r : • o-i. v HabiéndoIe Uevado un.muflo,una bala, al General Valhubert, se presentaron 4 soldados para levantarle ; pero el les dixo en altavoz : „Acordaos de la orden del dia, y manteneos en vuestras filas. Si volvéis vencedores, me levantarán despu</t>
  </si>
  <si>
    <t>en los pueblos, á los Ministros del altar y á los ciudadanos pacíficos. Los compañeros de armas del General Valhubert, muerto en la batalla de Austerlitz han levantado sobre su sepultura un monumento digno de ellos y de él. En una lápida de mármol negro han grabado estas palabras:' Al valeroso Ge</t>
  </si>
  <si>
    <t>Valiente, Pedro</t>
  </si>
  <si>
    <t>Pedro Valiente</t>
  </si>
  <si>
    <t>egimiento de infantería Provincial de México se ha dignado el REYpromover á Teniente al Subteniente D. Pedro Valiente ;á Subteniente de compañía aí de bandera D. Onofre Valiente, y á Subteniente de bandera al Cadete D. Josef Navarro. El dia 29 de Agosto próximo pasado fatíecíó en esta Corte, á lo</t>
  </si>
  <si>
    <t>Valladares de Sotomayor, Antonio</t>
  </si>
  <si>
    <t>Antonio Valladares de Sotomayor</t>
  </si>
  <si>
    <t>ibrería de Ximenez, Caños del Peral. La Leañdra-, novela original, que comprehende muchas: su autor D. Antonio Valladares de Sotomayor*. tomo 8.° Se hallará en la librería de Escribano, calle de las Carretas, á 11 rs- en rústica y 13 en pasta. Oda á los poetas Españoles que celebráron el combate naval del 21 de O</t>
  </si>
  <si>
    <t>Valladares, Gerónimo</t>
  </si>
  <si>
    <t>Gerónimo Valladares</t>
  </si>
  <si>
    <t>infantería de Navarra é Hibernia á los Cadetes D. Alberico . Maupoey y D. Juan Antonio Pereyra. ' A D. Gerónimo Valladares, Teniente del Regimiento Provincial de Sevilla,ha conferido S. M. la Tenencia de granaderos del misiqo Cuerpo; á . D. Josef Andrés VUlaseñor, Subteniente de granaderos del de Alcá</t>
  </si>
  <si>
    <t>Valls y Estarder, Antonio</t>
  </si>
  <si>
    <t>Antonio Valls y Estarder</t>
  </si>
  <si>
    <t>án sus memoriales, con los demas recados &lt;Je justificación, por medio del Escribano de Ayuntamiento D. Antonio Valls y Estarder, francos de porte, pcir Alcalá de Henares, Torrejon del Rey,. ; En la villa de Capelladas, Corregimiento de Villafranca de Panadés, en el, Obispado de Barcelona, se ha erigido un</t>
  </si>
  <si>
    <t>Valverde, Francisco</t>
  </si>
  <si>
    <t>Francisco Valverde</t>
  </si>
  <si>
    <t>ambién servidero titulado de S. Pedro de Cela , en el Obispado de Tuy, vacante por fallecimiento de D. Francisco Valverde, á D. Gaspar Fernandez de Villanueva, Cura de S. Salvador de Piñeyra en la misma Diócesi: para otro igual de la Parroquial de Sta. María de la vi</t>
  </si>
  <si>
    <t>Van Hoof Director</t>
  </si>
  <si>
    <t>mayor; á Mr. Van Hoof Director general de la Justicia y de la Policía, y á Mr. J. A. Mollerus Ministro de lo Interior. Antes de ayer por la noche dio una función magnífica el Vice- Almirante Verhuel en la casa</t>
  </si>
  <si>
    <t>Van Styrum</t>
  </si>
  <si>
    <t>de nuestro Gobierno. Ayer mañana vino el Vice-Almirante Verhuel, Ministro de Marina, acompañado de Mr. Van Styrum, ámbos individuos de la comisión Bátava en Francia. Los Diputados Goel y Six vendrán con S. M. el Rey de Holanda. El General Michaux, Comandante en gefe de las tropas Francesas, l</t>
  </si>
  <si>
    <t>Van-Zoelen y Sebastián Fernández Navarrete, Carlos</t>
  </si>
  <si>
    <t>Carlos Van-Zoelen y Sebastián Fernández Navarrete</t>
  </si>
  <si>
    <t>re, D. Joaquín Ossés, D. Gerónimo Maza, D. Juan Maza, Don Bernabé de Otálora, D. Juan de Mazarredo, D. Cárlos Van-Zoelen y Don Sebastian Fernandez Navarrete. Ganaron el premio extraordinario de instrucción religiosa los Caballeros Gefe de sala D. Alonso Alvarado, Gefes de trozo D. Josef de Esquivel, D. Manuel Cámara y D. Faustino Vito</t>
  </si>
  <si>
    <t>Van-Zoelen, Carlos</t>
  </si>
  <si>
    <t>Carlos Van-Zoelen</t>
  </si>
  <si>
    <t>ez , D. Manuel Cámara y D. Faustino Vitorica; y los Seminaristas D. Pedro Cendeja, D. Manuel Abbad, D. Carlos Van-Zoelen, D. Juan Ortiz de Zarate, D. Sebastian de Navarrete, Don Gerónimo Maza, D. Juan Maza, D; Luis Berganza , D. Alexandro lagoa, D. Bernabé de Otalora, D. Eugenio de Zuloaga, D. Josef</t>
  </si>
  <si>
    <t>ién este premio los Caballeros Gefe de trozo D. Josef de Castro, y Seminaristas D. Rafael Pascual , D. Cárlos Van-Zoelen y D. Pedro Cendeja, quienes diéron razón del origen , principios y progresos de la Religión hasta la venida de Jesucristo, de la existencia y unidad de Dios, y del misterio de la Trin</t>
  </si>
  <si>
    <t>Vandanne, General</t>
  </si>
  <si>
    <t>General Vandanne</t>
  </si>
  <si>
    <t>f24 . ral Sr. Hüaire, de 4 Regimientos de línea y uno de infantería ligera; de la divi;ion del General Vandanne, de 4 Regimientos de línea y uno de infante na ligara; de la división del General Legrand, de un Regimiento de infamería ligera, de 3 de línea y de los cuerpos de tiradores de la</t>
  </si>
  <si>
    <t>VanHalen y Sarti, Juan</t>
  </si>
  <si>
    <t>Juan VanHalen y Sarti</t>
  </si>
  <si>
    <t>Santelices, D. Lorenzo Villegas y Coronel, D. Juan del Rio y Noguerido, D. Josef Carreño y Ramírez, D. Juan VanHalen y Sarti, D. Josef González de Argandoña, D. Manuel de Umendia y Foronda, D. Quirico de Aristizaval y Sequeyra, D. Josef Yustiniani y Cabrera, D. Rafael de Elisa y Caamaño, D. Julio Ponce</t>
  </si>
  <si>
    <t>Vansittard</t>
  </si>
  <si>
    <t>iam, Secretarios de Estado, á Mr. Grey, ai Vizconde de Sidmouth, á 1^ Condes Temple, Buckingham y á Mr. Vansittard, nombrando á cada unp por sus nuevos títulos.__ El concurso que con este motivo acudió á las inmediaciones de palacio fue mucho mayor que en el dia del cumpleaños deb Rey. Todos d</t>
  </si>
  <si>
    <t>Varales, Antonio</t>
  </si>
  <si>
    <t>Antonio Varales</t>
  </si>
  <si>
    <t>os insinuados intereses, libiamente y sin fianza. Se deséa saber el paradero de Antonio Varales, natural de la villa de legáiies dos leguas distante de esta Corte, que hace 4 años falta de su pueblo, para comunicarle noticias que le interesan; para lo que acudirá personalmente, ó por</t>
  </si>
  <si>
    <t>Varenbuhler, General</t>
  </si>
  <si>
    <t>General Varenbuhler</t>
  </si>
  <si>
    <t>s gracias, que hasta aquí no concedía nadie mas que el Emperador de Alemania. El Príncipe Real y el General Varenbuhler han sido nombrados Tenientes Generales. Dentro de pocos días se concluirá la toma de posesión de los nuevos territorios de nuestra Corte. En el mes pasado recibid nuestro Rey una</t>
  </si>
  <si>
    <t>VátfVéldé de Mélroy, Barón</t>
  </si>
  <si>
    <t>Barón VátfVéldé de Mélroy</t>
  </si>
  <si>
    <t>/que se les hicieron. -•-■V 1HOLANDAI. .. , , ' ¿Haya dé Agosté. Ayer llegó a • esta 'residencia el Barón VátfVéldé de Mélroy, antiguo ♦Obispo de Ruremunda /.nombrado Limosnero' mayor de S. MEl Réy há mandado que los Directores de la Guerra, de la Justicia y de la Policía se.titulen en adelánte Ministro</t>
  </si>
  <si>
    <t>Vattier, General</t>
  </si>
  <si>
    <t>General Vattier</t>
  </si>
  <si>
    <t>pudo cortar este cuerpo , porque no tenia sino 600 caballos, y d enemigo era superior en número. El General Vattier cargó al enemigo en esta acción varias veces con mucha oportunidad, sostenido por los Generales Pactod y Maisons con el Regimiento núm. 27 de infantería ligera y con el 8.* de lín</t>
  </si>
  <si>
    <t>Vaugham</t>
  </si>
  <si>
    <t>Mr. Fox sigue mucho mejor de su enfermedad: ha pasado la noche de ayer bastante bien. Le asiste el Doctor Vaugham y otro Médico. Se ha descubierto el robo hecho en el Museo Británico de una gran porción de estampas de grande valor, y entre ellas la del famoso quadro de Rembrandt, conocido con e</t>
  </si>
  <si>
    <t>Vaz, Francisco Xavier</t>
  </si>
  <si>
    <t>Francisco Xavier Vaz</t>
  </si>
  <si>
    <t>, vacante por promoción de D. Pedro Nieto Herrero á la de Abad de S. Vicente de la misma Iglesia, á D. Francisco Xavier Vaz</t>
  </si>
  <si>
    <t>Vázquez, Carlos</t>
  </si>
  <si>
    <t>Carlos Vázquez</t>
  </si>
  <si>
    <t>ue se les hicieron, y dieron una prueba del zelo y eficacia de sus Maestros.---- Al joven Sevillano D. Cárlos Vázquez, que presentó y explicó la máquina de un relox fabricada por él, se le premió con una medalla de ia Sociedad.__ Los premios publicados en la Gazeta de 5 de- Marzo de 1805 se proro</t>
  </si>
  <si>
    <t>Vázquez, Francisco</t>
  </si>
  <si>
    <t>Francisco Vázquez</t>
  </si>
  <si>
    <t>mes, sacados de un manuscrito latino sobre el modelo de la; obritá del Kempis, traducidos por el P. D. Francisco Vázquez, Clérigo Reglar de S. Cayetano. Todo en esta obra es sentencia, luz y sentimientos piadosos; y viene á ser un compendio de la filosofía sublime y sobrenatural de nuestra santa rel</t>
  </si>
  <si>
    <t>novena para la fiesta del Corazón de Jesús, por el P. Teodoro de Almeyda, y traducidos por el Padre D. Francisco Vázquez, Clérigo Reglar de S. Cayetano: un tomo en 8.°, á 10 rs. en pasta. Se hallarán en la librería de Burguiilos, frente ai cementerio de S. Sebastian. Origen, progresos y estado de la</t>
  </si>
  <si>
    <t>. I., beatificado por nuestro Santísimo Padre Pió vil en 29 dé Setiembre de 1803: escrito por el P. D. Francisco Vázquez, dé la misma Congregación. Se hallará en la sacristía de ía Real Iglesia de S. Cayetano. =2 Panegírico del Beato Josef María Tomasi, Clérigo Reglar, y Cardenal de la S. R. 1., qju</t>
  </si>
  <si>
    <t>or sí mismo, ó enseñarla aun á los niños, con 22 mapas iluminados: tomo i.°, dispuesto por el Padre D. Francisco Vázquez, Clérigo Reglar, con las adiciones mas precisas para la clara expresión de las ideas*, tercera edición*, se añadirá por el mismo autor un segundo tomo, que tratará con la posible</t>
  </si>
  <si>
    <t>Vegas, Antonio</t>
  </si>
  <si>
    <t>Antonio Vegas</t>
  </si>
  <si>
    <t>concejos y despoblados, con otras muchas singularidades concernientes á la geografía Española, por D. Antonio Vegas. Se hallará en la imprenta y librería de Doblado, calle de Barrionuevo; y en Cádiz en la de Pajares, la que se irá dando al público por tomos conforme se vaya imprimiendo. Compend</t>
  </si>
  <si>
    <t>Velarde, Antonio</t>
  </si>
  <si>
    <t>Antonio Velarde</t>
  </si>
  <si>
    <t>en los Regimientos Provinciales á Capitanes de los de Valladolíd y Avila al agregado en dicha clase D. Antonio Velarde y al Teniente de granaderos D. Vicente Zarza: á Subteniente de granaderos del de Orense al de fusileros D. Alonso Tejada; y á Subtenientes de bandera de los de Avila, Toro y Soria á</t>
  </si>
  <si>
    <t>Velazquez, Francisco</t>
  </si>
  <si>
    <t>Francisco Velazquez</t>
  </si>
  <si>
    <t>. Alberto Vidal, D. Segundo Soto y D. Alberto de Cárdenas; á Teniente de granaderos al de fusileros D. Francisco Velazquez, y á Tenientes de fusileros á los Subtenientes D. Laureano Oyarzun, D. Mateo Ruiz, D. Virginio Hernández, D. Domingo Ruiz y D. Justo de Cárdenas : en el Fsquadron de caballería de</t>
  </si>
  <si>
    <t>Velazquez, Francisco Xavier</t>
  </si>
  <si>
    <t>Francisco Xavier Velazquez</t>
  </si>
  <si>
    <t>ubteniente al Cadete D. Justo Vargas: la Compañía suelta de disciplinadas de infantería de Chacao á D. Francisco Xavier Velazquez, Teniente de ias de S. Carlos; la Tenencia de aquella al Sargento primero de la misma D. Manuel Reyes, y la Subtenencia al Cadete D. Juan Chavez: Compañías en las sueltas de disci</t>
  </si>
  <si>
    <t>Velazquez, Miguel</t>
  </si>
  <si>
    <t>Miguel Velazquez</t>
  </si>
  <si>
    <t>ros D. Miguel Ruiz Jurado : Subtenencias de granaderos en los de Soria y Córdoba á los de fusileros D. Miguel Velazquez y D. Josef Padilla; y Subtenencias de bandera en los de León y Badajoz á D. Tomas Rey y D,, Manuel Bravo*</t>
  </si>
  <si>
    <t>ena y D. Josef Torréblanca: á Tenientes de fusileros en los de ¿Soria y Sevilla ,á los Subtenientes D. Miguel Velazquez y D. Antonio de Escovar.: á Subtenientes de granaderos ^en los de Málaga, Murcia, Alcázar y Salamanca á los de fusileros D. Juan Laso y Velazquez, D. Antonio Callejas, D. Francisco Me</t>
  </si>
  <si>
    <t>Velez de Guevara, Luis</t>
  </si>
  <si>
    <t>Luis Velez de Guevara</t>
  </si>
  <si>
    <t>otra vida, traducidas á esta por D. Luis Velez de Guevara, añadida con ocho enigmas y dos novelas. La invención de esta obra ha merecido siempre elogio: se vale el autor de diferentes figuras para apartar á los incautos de las falsedades</t>
  </si>
  <si>
    <t>Venerable Tomás de Xempis</t>
  </si>
  <si>
    <t>próximo. Imitación de Cristo y menosprecio del mundo, compuesto en latín por el Venerable Tomas de Xempis, Canónigo Reglar de S. Agustín, traducido, ery español por. el P., Juan Ensebio .Nieremberg, de Ja Compañía de Jesus, añadido los- avisos y dictámenes de espíritu y perfección del mismo P.</t>
  </si>
  <si>
    <t>Ver, Almirante</t>
  </si>
  <si>
    <t>Almirante Ver</t>
  </si>
  <si>
    <t>Emperador con las ceremonias de estilo, y después de haber hecho tres profundas reverenciasel Vice- Almirante Ver</t>
  </si>
  <si>
    <t>Verdejo González, Francisco</t>
  </si>
  <si>
    <t>Francisco Verdejo González</t>
  </si>
  <si>
    <t>bra por venta libre. = Compendio de matemáticas puras y mixtas para Instrucción de la juventud, por D. Francisco Verdejo González. Véndese en la librería de Gómez, calle de las Carretas; y se advierte se darán los tomos sueltos. Elementos de higiene, ó del influxo de lo físico y moral en el hombre, y medios</t>
  </si>
  <si>
    <t>Verdejo, Francisco</t>
  </si>
  <si>
    <t>Francisco Verdejo</t>
  </si>
  <si>
    <t>rés Mexia y D. Tadeo González; á Tenientes á los Alféreces D. Fernando Aragón, D. Adrián Caballero, D. Francisco Verdejo, D. Josef Valderrago, D. Pedro Mercado, y á los Portaguiones D. Santiago Borda y D. Bernardo Arroyo ; á Alférez al Sargento primero D. Clemente Zapata, yá Portaguiones al Sargento</t>
  </si>
  <si>
    <t>Verea Aguiar y Mosquera, Pedro</t>
  </si>
  <si>
    <t>Pedro Verea Aguiar y Mosquera</t>
  </si>
  <si>
    <t>ntiago á los Subtenientes D. Aparicio Corbalan, D. Diego Rubio y D. Andrés de Castro, y al Teniente D. Pedro Verea Aguiar y Mosquera; de Subteniente de granaderos en el de Ciudad-Rodrigo al de fusileros D. Fermín Ramírez Pizarro; y de Subteniente de bandera en el de Guadix al Cadete D. Josef de Arias. t . El Re</t>
  </si>
  <si>
    <t>Vergara, Francisco</t>
  </si>
  <si>
    <t>Francisco Vergara</t>
  </si>
  <si>
    <t>D. Sebastian de Arcos; y Subtenencias de bandera en el de Irlanda al Cadete del Inmemorial del Rey D. Francisco Vergara, y en el de la Princesa al Cadete del mismo cuerpo D. Ramón Grases. En el Regimiento de infantería de Zamora se ha servido S. M. conceder Tenencia al Subteniente D. Josef del Trel</t>
  </si>
  <si>
    <t>Vérges, Lorenzo</t>
  </si>
  <si>
    <t>Lorenzo Vérges</t>
  </si>
  <si>
    <t>ro Señor, llamando á cc ncursó 'para. la' jfláza dé Médico de familia, vacante por fallecimiento de D. Lorenzo Vérges , habiendo causado otra en este inte*medio la promoción de D. Josef de Soria á Médico de Cámara de S. M., fe ha conformado dicho Sr. Mayordomo mayor, árepresentación de la Real Ju</t>
  </si>
  <si>
    <t>Verhuei, Almirante</t>
  </si>
  <si>
    <t>Almirante Verhuei</t>
  </si>
  <si>
    <t>is ha estado en este país ha dado la idea mas sobresaliente de su carácter y de sus quaiidades. Eli Almirante Verhuei, cuyo mérito se conoce, y que ha estado mas al alcance que otro ninguno de apreciar el del Príncipe, hace de S. A» los ma</t>
  </si>
  <si>
    <t>llevado una opinión tan ventajosa como la que él ha dado de sí mismo á la Holanda.__ Se cree que el Almirante Verhuei tendrá uno de los primeros empleos en la nueva forma de gobierno. Como este marino es tan adicto á la Francia, se considera aquí su adhesión como un vínculo mas entre los dos Esta</t>
  </si>
  <si>
    <t>Verhuel</t>
  </si>
  <si>
    <t>como el establecimiento de la nueva forma de Gobierno, se hace baxo la dirección del Comisario Real Mr. Verhuel. El dia 10 comunicó solemnemente á SS. AA. PP. la primar proclama del Rey y sus poderes, en virtud de los quales tomó posesión del poder executivo en su calidad de Comisario Real.</t>
  </si>
  <si>
    <t>Verhuel, Almirante</t>
  </si>
  <si>
    <t>Almirante Verhuel</t>
  </si>
  <si>
    <t>l Barón de Heynaii y á Mr. Groos. Mr. Bantzen, Ministro plenipotenciario de la República Bátava, al Almirante Verhuel, Ministro de la Marina, á Mr. de Zuylen de Nyevell, y á Mr. de Brugmans. Mr. de Cetto, Ministro del Rey de Baviera, á Mr. Comeau. El Ma riscal Eefebvre ha pasado de Maguncia á Dar</t>
  </si>
  <si>
    <t>s correos de Paris con pliegos relativos á la mudanza de nuestro Gobierno. Ayer mañana vino el Vice-Almirante Verhuel, Ministro de Marina, acompañado de Mr. Van Styrum, ámbos individuos de la comisión Bátava en Francia. Los Diputados Goel y Six vendrán con S. M. el Rey de Holanda. El General Mich</t>
  </si>
  <si>
    <t>as guardias Holandesas y de la guarnición de la plaza. Este exercicio, á que asistiéron. también el Almirante Verhuel, Ministro de la Marina y Comisario Real, el General en gefe Michaud, y otros muchos Oficiales Generales Franceses y Holandeses, fué muy brillante. Hoy han asistido los mismos pers</t>
  </si>
  <si>
    <t>A. Mollerus Ministro de lo Interior. Antes de ayer por la noche dio una función magnífica el Vice- Almirante Verhuel en la casa de su Ministerio de la Marina. SS. MM. fuéron i honrar la función á las 9; la fachada de la casa estaba iluminada con mucha simetría. Había tres diferentes mesas para la</t>
  </si>
  <si>
    <t>entró el 4 en Ni mega para guarnecer aquella plaza.__ A Groninga se ha enviado caballería. El Vice-Almirante Verhuel, Ministro de la Marina Real, ha visitado los navios que hay en las radas de Helvoet-Sluis y de Fiesinga. Mr. Dedem de Geider, Ministro Holandés cerca de la Corte de Berlín , ha ll</t>
  </si>
  <si>
    <t>VeriMt’f, Juan</t>
  </si>
  <si>
    <t>Juan VeriMt’f</t>
  </si>
  <si>
    <t>. 491673 y 483656, con sus últimos endosos por D. Pedro Mouly y D. Miguel Andrés Sterico á favor de D. Juan VeriMt’f, á quien corresponded. Quien supiere de su paradero se servirá avisar eü éstá Corte 4 D. Pablo Sagrista y Soler, en Cádiz á D. Juan Bautista Bourt* e« Alicante i D. Roberto Montgo</t>
  </si>
  <si>
    <t>Viakmnes, General</t>
  </si>
  <si>
    <t>General Viakmnes</t>
  </si>
  <si>
    <t>sión Gudin, compuesta de 4 Regimientos de infantería ligera; y la división de caballería ligera del General Viakmnes, que consta de un Regimiento de húsares y de 3 de cazadores. 3.0 El cuerpo del Mariscal Soult, acantonado en la Baviera inferior sobre ías dos márgenes del Danubio, se compone de</t>
  </si>
  <si>
    <t>Vial y Vacaro, Joaquín</t>
  </si>
  <si>
    <t>Joaquín Vial y Vacaro</t>
  </si>
  <si>
    <t>a de su Real Armada á los Caballeros Guardias Marinas siguientes. Don Antonio Espinosa y Barraguer, D. Joaquín Vial y Vacaro, Don '"Josef Pilón y Tobalina, D. Mariano García de Cáceres, D. Justo Pasalagua y Martínez, D. Antonio Godoy y Castro, D. Pedro López de Carrizosa , D. Antonio Ribera y Vázquez ,</t>
  </si>
  <si>
    <t>Vial, General</t>
  </si>
  <si>
    <t>General Vial</t>
  </si>
  <si>
    <t>ncia á los Comendadores hasta nueva orden el goce de sus propiedades. 1 ■_ Lausana 5 de Febrero. El General Vial, Embaxador de Francia en la Suiza, fué cifyopümen</t>
  </si>
  <si>
    <t>eparan diversiones públicas para obsequiarlos. Se espera aquí muy pronto al Embaxador de Francia el General Vial. El 8 de este mes sancionó el Consejo mayor del Cantón de Arau un decreto, que prohíbe las mercancías Inglesas. Este decreto se distingue de los que han publicado los otros Canton</t>
  </si>
  <si>
    <t>Vice-Almirante Verhuel</t>
  </si>
  <si>
    <t>ris con pliegos relativos á la mudanza de nuestro Gobierno. Ayer mañana vino el Vice-Almirante Verhuel, Ministro de Marina, acompañado de Mr. Van Styrum, ámbos individuos de la comisión Bátava en Francia. Los Diputados Goel y Six vendrán con S. M. el Rey de Holanda. El General Michaux, Coman</t>
  </si>
  <si>
    <t>Vice-Gran-rAlifnirant, Príncipe</t>
  </si>
  <si>
    <t>Príncipe Vice-Gran-rAlifnirant</t>
  </si>
  <si>
    <t>irante de Francia., reservándose el Emperador3 quando lo. juzgue conveniente , crear la dignidad de Príncipe Vice-Gran-rAlifnirant^í , $.a La cesión deí Principado de Guastala á la Princesa Paulina, hermana del Emperador, y muger del Príncipe de Borghese, con la soberanía y título de Príncipe y Du,que de Guas</t>
  </si>
  <si>
    <t>Vicenta de Quevedo, María</t>
  </si>
  <si>
    <t>María Vicenta de Quevedo</t>
  </si>
  <si>
    <t>A mas djp un premio de solo, honor á D. Antonio Falcó y Valcárcel: distinguió el adelantamiento de Doña María Vicenta de Quevedo, de 4 años y medio, en la doctrina cristiana , leer y éxercicio de calceta, con el Catecismo histórico de Fleuri primorosamente enquadernado: hizo mención honorífica de la continu</t>
  </si>
  <si>
    <t>VicenteRodriguez de Arellano</t>
  </si>
  <si>
    <t>el nombre, d$, Apolonio; carta de D. Ignacio Gómez Salazar á los editores acerca de las poesías de D. VicenteRodriguez de Arellano; traducción literal en prosa de la Silva al combate na^n del 11 de Octubre, por D. Josef Mor dé Fuentes; extracto del poema intitulado la Agresión Británica; el vaticinio, oda; tr</t>
  </si>
  <si>
    <t>Víctor Bourg</t>
  </si>
  <si>
    <t>a del Real Cuerpo de Guardias dé Corps ha promovido S. M. á Cadetes de número á los supernumerarios D. Víctor Bourg y D. Henrique Miquel, y á supernumerario al GuardiaD. JuanSibas.</t>
  </si>
  <si>
    <t>Víctor de Roban, General</t>
  </si>
  <si>
    <t>General Víctor de Roban</t>
  </si>
  <si>
    <t>estaba en Hoechst, ha sido trasladado á la márgen izquierda del Mein. Ya se ha votado la causa del General Víctor de Roban en Viena. Este Príncipe ha sido declarad© inocente per el Consejo de Guerra, y ha vuelto á entrar en servicio en la plaza de Comandante de Brigada. En las cartas de Munich de i.° de</t>
  </si>
  <si>
    <t>Víctor de Rohan, Príncipe</t>
  </si>
  <si>
    <t>Príncipe Víctor de Rohan</t>
  </si>
  <si>
    <t>militar eivPest, y en seguida confirió dicho General, de orden superior, la Cruz de María Teresa al Príncipe Víctor de Rohan y á otros Oficiales superiores. Los deseos y esperanzas del público son por la conservación de la pazcontinental. Los planes de reforma de rentas, que ahora tienen ocupado al Gobier</t>
  </si>
  <si>
    <t>Víctor Fernán</t>
  </si>
  <si>
    <t>leros; á D. Josef de Vivar, Subteniente del de Granada, la Subtenencia de granaderos del mismo, y á D. Víctor Fernán- , dez Alexo la Subtenencia de bandera del de Cuenca. El Rey se ha dignado conferir el empleó de Ayudante mayor del 4.0 Regimiento del Real Cuerpo de Artillería á D. Luis Sotonpyor</t>
  </si>
  <si>
    <t>Víctor Pablo Aguiriano y Gómez</t>
  </si>
  <si>
    <t>se ha servido nombrar para el Arcedianato, vacante en la Catedral de Calahorra por fallecimiento de D. Víctor Pablo Aguiriano y Gómez, á D. Josef Ventura Duro y Solano, con retención de la Canongía que obtenia de la misma Iglesia: para la Canongía vacante en la Colegial de Sta. Fe, en el Arzobispado de Granada,</t>
  </si>
  <si>
    <t>Víctor, General</t>
  </si>
  <si>
    <t>General Víctor</t>
  </si>
  <si>
    <t>l enemigo parece habia abandonado, aun quando la tenia á su frente: este cuerpo fue alineado por el General Víctor, formando cada división una ala. La guardia Imperial, á las ordenes del Mariscal Lefebvre, formó un quadro en la cima. El Emperador pasó la noche acampado entre sus soldados. A la</t>
  </si>
  <si>
    <t>Vidal, Alberto</t>
  </si>
  <si>
    <t>Alberto Vidal</t>
  </si>
  <si>
    <t>tro, en el Reyno del Perú, se ha servido el Rey promover á Capitanes á los Tenientes D. Diego Baez, D. Alberto Vidal, D. Segundo Soto y D. Alberto de Cárdenas; á Teniente de granaderos al de fusileros D. Francisco Velazquez, y á Tenientes de fusileros á los Subtenientes D. Laureano Oyarzun, D. M</t>
  </si>
  <si>
    <t>Vidal, Salvador</t>
  </si>
  <si>
    <t>Salvador Vidal</t>
  </si>
  <si>
    <t>l mencionado sitio, en 5760 rs.; cuyas fincas se están subastando por el Dr. D. Salvador Vidal, Teniente tercero de Asistente de ella, ante el Escribano D. Josef Ramón Fernandez. Por el Tribunal del Corregidor de la ciudad de Toledo, y escribanía del número de D. Felipe Sánchez ,se e</t>
  </si>
  <si>
    <t>Vidurreta, Pablo</t>
  </si>
  <si>
    <t>Pablo Vidurreta</t>
  </si>
  <si>
    <t>25 pesos fuertes, que le han depositado por vía de restitución, para distribuirlos en esta forma: á D. Pablo Vidurreta, en Córdoba, 42.0 rs.: á Doña María Ureña, en Jaén, 400*. á la casa Lañerera, en Jaén, 500: á D. Pedro Estefanía de Tejada, en Sevilla, 860; y á D. Josef López, en Granada, 320. L</t>
  </si>
  <si>
    <t>Viescas, Antonio</t>
  </si>
  <si>
    <t>Antonio Viescas</t>
  </si>
  <si>
    <t>óí&gt;2 la misma , y resaltó .vacante, ;í D. Antonio Viescas: para la Raciotí vacante en la Catedral de Almería, por fallecimiento de D. Miguel Serranó, á D. Manuel Gómez Moya: para otra Ración en la Catedral de Canarias, vacante por promoc</t>
  </si>
  <si>
    <t>Vif</t>
  </si>
  <si>
    <t>s Portaguiones ¡D. Ramón Mana Fornier y D. Joaquín Magallon: :én el de Sagunto Tenencia al Alférejz D. Vif cente Algarra ; y en el de Lusitania Compañía al Teniente CoroneLD» Fé** liX Arzü , Tehientéldel mismo' cuerpo. ¡ / £n atención .á los distinguidos servicios ale i©. ¿Benito de Ja</t>
  </si>
  <si>
    <t>Vigier, Juan</t>
  </si>
  <si>
    <t>Juan Vigier</t>
  </si>
  <si>
    <t>s en premio de la educación de la s&lt; rda-muda,una colección de geroglíficos-----En seguida presentó D. Juan Vigier, Maestro de la Academia de lengua Francesa establecida por la Sociedad, ocho de sus mas adelantados discípulos, los qua</t>
  </si>
  <si>
    <t>Vigií de Quíñoiie, Francisco</t>
  </si>
  <si>
    <t>Francisco Vigií de Quíñoiie</t>
  </si>
  <si>
    <t>dose que entré estás 2 casas hay un censo de 7$ rs.de capital contra ellas. Por providencia del Sr. D. Francisco Vigií de Quíñoiie9# Alcalde de Casa y Corte, se ha mandado subastar por 15 días unas casas sitas en la calle del Espejo, de las quales la una vuelve á la pla2uela .de este nombre , y "sirve de ahna</t>
  </si>
  <si>
    <t>Viguer, Pedro Antonio</t>
  </si>
  <si>
    <t>Pedro Antonio Viguer</t>
  </si>
  <si>
    <t>Torrents á favor de D. Josef Viguer. Quien supiere de su paradero, «e servirá avisar en Barcelona á D. Pedro Antonio Viguer, en la calle de Basca ; y en Madrid á D. Gabriel de Zavala, en la calle: del Cármen, mira. 7. Por providencia de D. Antonio Basilio de Acosta, Comisionado Regio para la venta de b</t>
  </si>
  <si>
    <t>ViHaumez, Almirante</t>
  </si>
  <si>
    <t>Almirante ViHaumez</t>
  </si>
  <si>
    <t>loriosa» para la marina Francesa , si el viento no hubiese separado las dos, esquadras, y puesto ai Almirante ViHaumez en proporción de seguir su destino, » ' S. M. la Reyna de Holandadébede haber sálidó-de Aqnísgrarr para Parts miéntra^ que el Rey vuelve á Holanda, ddñ&amp;e ^se creé que no este mucho</t>
  </si>
  <si>
    <t>Viilarroel y Morales, Manuel</t>
  </si>
  <si>
    <t>Manuel Viilarroel y Morales</t>
  </si>
  <si>
    <t>ha dignado S. M. conferir el Corregimiento de Chiquimula de la Sierra, en el Reyno de Goatemala, á D. Manuel Viilarroel y Morales, Por providencia de D. Antonio Basilio de Acosta, Comisionado Regio para la venta de bienes eclesiásticos en el Obispado de Sigiienza, se están subastando las heredades sitas en t</t>
  </si>
  <si>
    <t>Víilatnil, Francisco</t>
  </si>
  <si>
    <t>Francisco Víilatnil</t>
  </si>
  <si>
    <t>cio servidero de la Parroquia dé S, Andreé de Masma ,: Diócesi de Mondoñedó , vacante por muerte dé D. Francisco Víilatnil, á D. Antonio Bermudez Villapol. : En el Regimienta de infantería de Córdoba se ha servido el Rey promover á Sargento mayor al Capitán D, Josef de Ozaeta; á Capitán al Teniente de</t>
  </si>
  <si>
    <t>Vila, Francisco</t>
  </si>
  <si>
    <t>Francisco Vila</t>
  </si>
  <si>
    <t>M. en el primer batallón do Voluntarios de Cataluñá el empleo de Capitán primero al primer Ayudante D. Francisco Vila; esta resulta al Capitán segundo D. Mariano Temple; el empleo de Capitán segundo al segundo Ayudante D. Gerónimo Serra; esta vacante al Teniente D. Roque Garralon; la Tenencia que</t>
  </si>
  <si>
    <t>Vilana, Antonio</t>
  </si>
  <si>
    <t>Antonio Vilana</t>
  </si>
  <si>
    <t>fonso de la ciudad de Jaén, vacante por muerte de D. Francisco Alvarez Badillo, á D. Mateo Payno: á D. Antonio Vilana para una Canongía de la Colegial de Guisona, Diócesi de Urgel: á D. Salvador Herms y Vernedas para el Beneficio jbaxo la invocación ¡de S. Felipe y Santiago de la Catedral de Viqu</t>
  </si>
  <si>
    <t>Vilaseca y Auge, Antonio</t>
  </si>
  <si>
    <t>Antonio Vilaseca y Auge</t>
  </si>
  <si>
    <t>Química en la ciudad de Barcelona &amp;c., y traducida al castellano por el Dr. D. Antonio Vilaseca y Auge, Médico de número de los Reales Exércitos de S. M. Católica. La solidez y erudición con que ha adornado siempre sus escritos el autor de esta memoria, y el aprecio que de la misma han hec</t>
  </si>
  <si>
    <t>Vilches, Gerónimo</t>
  </si>
  <si>
    <t>Gerónimo Vilches</t>
  </si>
  <si>
    <t>a Iglesia, del Hbrito de las consideraciones para ántes y después de la sagrada Comunión, del R. P. D. Gerónimo Vilches, del Orden de S. Basilio, adornada con dos laminitas, y añadida con el diálogo del célebre Fr. Juan Taulero, entre un teólogo y un mendigo. Se hallará en las librerías de Muscat,</t>
  </si>
  <si>
    <t>Vilianueva, Manuel</t>
  </si>
  <si>
    <t>Manuel Vilianueva</t>
  </si>
  <si>
    <t>fusileros D. Rafael .Muntero y D. Agustín de Aguirre ; á Tenientes á IosSubtenientes de granaderos D. Manuel Vilianueva y D. Josef Viya,»:y., al de fusileros D. Josef Veles ; á Subtenientes de granaderos á, los de fusileros D. Tuis de Vera y D. Domingo Urquizabaso; á Subtenientes dg ,com-, pama á ios d</t>
  </si>
  <si>
    <t>Viliaumez, Almirante</t>
  </si>
  <si>
    <t>Almirante Viliaumez</t>
  </si>
  <si>
    <t>dra Francesa. Es probable que este Almirante se haya dirigido á América, pues sabemos que el Contra-Almirante Viliaumez se hallaba el*' io-de-'Julio á vista de Charlestown. El Contra-Almirante Stirling ha salido el sábado de Plymouth para el Cabo de Buena Esperanza, con el convoy que va escoltando:</t>
  </si>
  <si>
    <t>Viliiaumez, Almirante</t>
  </si>
  <si>
    <t>Almirante Viliiaumez</t>
  </si>
  <si>
    <t>bre en cru** cero 4 vista de la Havana, supo que el navio Francés Fulminante, montado por el Contra-Almirante Viliiaumez, se .dirigía á este puerto ; é informado de que había perdido los palos de mesana y el mastelero de gavia, le dio caza, y habiéndole alcanzado, se trabó entre ambos naviosuri comb</t>
  </si>
  <si>
    <t>Vilkuinez, Almirante</t>
  </si>
  <si>
    <t>Almirante Vilkuinez</t>
  </si>
  <si>
    <t>Lewis, que acaba de entrar en Ealmouth después de un crucero inútil, para interceptar la del Centra-Almirante Vilkuinez, se juntará con el convoy. Las tropas embarcadas son tres Regimientos de infantería y dos Batallones de Guardias: no quedan en Plymouth mas que los Regimientos 87 y 95; se aguarda</t>
  </si>
  <si>
    <t>Villaarnil, Antonio</t>
  </si>
  <si>
    <t>Antonio Villaarnil</t>
  </si>
  <si>
    <t>Plasencia, Guadix y Granada á los Subtenientes D. Juan Obregon, D. Antonio Conde, D. Josef Herrera, D. Antonio Villaarnil, D. Josef Correa y D. Pedro Martinez Coronado: á Subtenientes de granaderos de los de Guadix, Santiago y Tuy á los de fusileros D. Juan de Isla, D. Antonio Miranda y D. Josef Beni</t>
  </si>
  <si>
    <t>Villaba y Heredia, Joaquín</t>
  </si>
  <si>
    <t>Joaquín Villaba y Heredia</t>
  </si>
  <si>
    <t>tuto, se ha dignado el Rey premiar su aplicación promoviendo á Subtenientes del mismo Real Cuerpo á D. Joaquín Villaba y Heredia, D. Antonio Sequera y Carrafa, D. Josef Rodríguez Zambrano y Portocarrero, D. Pedro de la Llave y Coca, D. Josef Mariano del Pulgar y Varo, D. Francisco del BarcoGordon, D. Marian</t>
  </si>
  <si>
    <t>Villaumez, Almirante</t>
  </si>
  <si>
    <t>Almirante Villaumez</t>
  </si>
  <si>
    <t>512 ha dicho que el Voluntario habla entrado en el Cabo enviado por el Almirante Villaumez, por lo que se creía que la esquadra Francesa no tardaría en presentarse á la vista; pero sabemos que muchos días después de haberse apresado la corbeta Voluntario cruzaban los Fr</t>
  </si>
  <si>
    <t>s de Setiembre. Se anuncia también la llegada del Cassard, de 74 cañones, de la esquadra del Contra-Almirante Villaumez , aunque las Gazetas Inglesas lo tienen aun en la bahía de Chesapeack. Este navio ha destruido igualmente muchas embarcaciones enemigas, entre ellas una procedente de Londres, des</t>
  </si>
  <si>
    <t>Villaurrutia, Antonio</t>
  </si>
  <si>
    <t>Antonio Villaurrutia</t>
  </si>
  <si>
    <t>rtamento de Nueva-España, á D. Pedro Catani: para la que este dexa en la Audiencia de Guadalaxara á D. Antonio Villaurrutia, Oidor de Charcas, y para esta resulta á D. Gaspar Ramírez, Conde de S. Xavier : para la Regencia de Chile, asimismo vacante por promoción al expresado Consejo de D. Fernando Márq</t>
  </si>
  <si>
    <t>Villegas y Coronel, Lorenzo</t>
  </si>
  <si>
    <t>Lorenzo Villegas y Coronel</t>
  </si>
  <si>
    <t>de Arias, D. Fulgencio Anrich y Gómez,D. Francisco Sirera y Sánchez, D. Josef Ranero y Santelices, D. Lorenzo Villegas y Coronel, D. Juan del Rio y Noguerido, D. Josef Carreño y Ramírez, D. Juan VanHalen y Sarti, D. Josef González de Argandoña, D. Manuel de Umendia y Foronda, D. Quirico de Aristizaval y Seq</t>
  </si>
  <si>
    <t>Villegas, Miguel</t>
  </si>
  <si>
    <t>Miguel Villegas</t>
  </si>
  <si>
    <t>s de Oviedo: para la Prestamera de los Molares, en el Arzobispado de Sevilla, vacante por muerte de D. Miguel Villegas, á D. Josef Antonio Alcaiá y Sánchez, Capellán del Real y primer Monasterio de ía Visitación de las Salesas de esta Corte, con retención de la Capellanía oue obtiene. Ei Rey se ha</t>
  </si>
  <si>
    <t>Villeneuve, Almirante</t>
  </si>
  <si>
    <t>Almirante Villeneuve</t>
  </si>
  <si>
    <t>entarán luego al Congreso las reclamaciones que tienen hechas sobre este particular. A petición del Almirante Villeneuve se ha embarcado Mr. Magendie, su primer Capitán, en Nore para el Texel, á bordo del parlamentario Ingles el Comercio, que conduce prisioneros de guerra Holandeses. Este Oíi— cial</t>
  </si>
  <si>
    <t>Vinals, Antonio</t>
  </si>
  <si>
    <t>Antonio Vinals</t>
  </si>
  <si>
    <t>icente Castañer para otra Canongía de la Colegiata de Sra. Ana de Barcelona t vacante por muerte de D. Antonio Vinals ; y á D. Tomas Ribo para la Dignidad de Chantre de la Catedral de Sobona, vacante por muerte de D. Pedro Antonio Ortíz Lazcano.£1 Rey se ha servido conferir el empleo de Coronel d</t>
  </si>
  <si>
    <t>Virey de Italia y la Princesa, Príncipe</t>
  </si>
  <si>
    <t>Príncipe Virey de Italia y la Princesa</t>
  </si>
  <si>
    <t>263 : Milán 2 j de Febrero. El 16 del corriente SS. A A. II. el Príncipe Virey de Italia y la Princesa su esposa fueron, con un brillante acompañamiento, á la Iglesia de S. Ambrosio, donde se cantó un Te Deum en acción de gracias por los be-r nefícios señalados que el Reyno de Ital</t>
  </si>
  <si>
    <t>Virey de Italia, Príncipe</t>
  </si>
  <si>
    <t>Príncipe Virey de Italia</t>
  </si>
  <si>
    <t>el correo que anunció estar firmada la paz en Presburgo entre la Francia y el Austria, S. A. S. el Príncipe Virey de Italia hizo la proclama siguiente: „ Pueblos del Reyno de Italia y de los Estados de Venecia: el 27 de Diciembre se firmó la paz en. Presburgo por Mr. de Talleyrand, Ministro de S. M. el</t>
  </si>
  <si>
    <t>idas, que harán un asunto de meditación á ios aficionados de las lenguas del Norte. Por decreto del Príncipe Virey de Italia se ha declarado que el Principado de Guastala hará parte del departamento del Grpstolo. ' ESPAÑA. Madrid 2,6de Setiembre. En el Regimiento de infantería de Zaragoza se ha servido</t>
  </si>
  <si>
    <t>Virey los Magistrados, Príncipe</t>
  </si>
  <si>
    <t>Príncipe Virey los Magistrados</t>
  </si>
  <si>
    <t>lancia de los Magistrados y la confianza que merecen. Venecia 16 de Agosto. Habiendo manifestado al Príncipe Virey los Magistrados de esta ciudad el deseo de tener el busto de S. M- para colocarle en nuestro arsenal, S. A. S.</t>
  </si>
  <si>
    <t>Virey, Príncipe</t>
  </si>
  <si>
    <t>Príncipe Virey</t>
  </si>
  <si>
    <t>o sino el último pliego para concluirse. ITALIA. Venecia 31 de Enero. Por un decreto de S. A. I. el Príncipe Virey, fecho ántes de ayer, se aplican las formas administrativas del Reyno de Italia á los Estados Venecianos. El título primero de este decreto, que contiene las disposicionesgenerale</t>
  </si>
  <si>
    <t>novar el 15 de Mayo la antigua fiesta del desposorio de Venecia con el mar Adriático. Añaden que el Príncipe Virey hará las funciones que en otro tiempo hacia el Dux en esta ceremonia, que tenia un doble objeto político. Recordaba á los Venecianos que el comercio y la navegación eran las princ</t>
  </si>
  <si>
    <t>otros países que no traygan guias. ITALIA. Milán 1de Mayo. El domingo pasado condecoró S. A. I. el Príncipe Virey, en nombre de S. M. I. y R., con la Gran Cruz de la Corona de hierro á Mr. Luosi, Gran Juez, Ministro de la Justicia, y á los Consejeros de Estado Consultores Paradisi, Containi y</t>
  </si>
  <si>
    <t>13 de ..¿¡jciio ¡mes, &lt;y, iconcluirá, el^i v Pavía jo de Abril, El dia 23 del corriente se dignó el Príncipe Virey honrar con su presencia una academia fijarmóniqo-literaria ,_dada /por le» estudiantes de la Universidad en honor: de, nuestro augusto; So¿ei^nq&gt;; Después /de la academia visitó e</t>
  </si>
  <si>
    <t>mismo tiempo., ITALIA* Mitán jó de Jimios El Juez mayor, Ministro de la Justicia,, ha presentado al Príncipe Virey eL proyecto del código penal para el Reyno de Italia con los motivos que le acompañan, resultado de lías: tareas de una-comisión de Jurisconsultos hábiles. S. A. I. ha remitido efc</t>
  </si>
  <si>
    <t>n mezclarse en nuestros negocios. Milán 8 de Julio. Con fecha de hoy se ha publicado un decreto del Príncipe Virey, cjue contiene las disposiciones siguientes: i.a La Dalmacia dará 2700 hombres para la formación de la Legión Real Dálmata. 2.a La Istria dará 660 hombres para formar el Batallón</t>
  </si>
  <si>
    <t>dragones Barraguay-d* Hilliers, ha venido á esta ciudad á recibir las instrucciones definitivas del Príncipe Virey, baxo cuyas órdenes manda el segundo cuerpo del exércíto grande. Todas las divisiones de este cuerpo, tanto de infantería como de caballería, están prontas á marchar al primer avi</t>
  </si>
  <si>
    <t>Virginio Hernández</t>
  </si>
  <si>
    <t>ncisco Velazquez, y á Tenientes de fusileros á los Subtenientes D. Laureano Oyarzun, D. Mateo Ruiz, D. Virginio Hernández, D. Domingo Ruiz y D. Justo de Cárdenas : en el Fsquadron de caballería de disciplinadas también de Castro en el mismo Reyno á Comandante al Capitán D. Narciso García, á Teniente</t>
  </si>
  <si>
    <t>Vito Lucas Escantilla</t>
  </si>
  <si>
    <t>la ciudad de Villena, en la Diócesi de Cartagena, vaií cante por muerte de D. Juan-Antonio Arnau, á D. Vito Lucas Escantilla, Presbítero : para el de la Parroquia de Santa María de la propia ciudad de Villena, igualmente servidero, vacante por muerte de D. Blas GarcíaGarei-Sanchez , á D'. Gabriel Ruiz G</t>
  </si>
  <si>
    <t>ViÜaumez, Almirante</t>
  </si>
  <si>
    <t>Almirante ViÜaumez</t>
  </si>
  <si>
    <t>ado por Mr. Gerónimo Bonaparte. Este navio se separó por un viento fuerte de la escuadra del Contra-Almirante ViÜaumez. Escriben de Bergerac, en el Perigord, que un animal feroz, que se cree ser una hiena, hace mil estragos en .aquellos campos. Ha devorado ya varios muchachos, y aun dicen que tamb</t>
  </si>
  <si>
    <t>Viuda del Pino, Nicolás</t>
  </si>
  <si>
    <t>Nicolás Viuda del Pino</t>
  </si>
  <si>
    <t>e bandera ai Sargento primero D. Francisco Val verde. - En América. El Rey se ha servido promover d D. Nicolás Viuda del Pino, Obispo de Paraguay, al Obispado de Salta de nueva erección: para una Canongía de la Catedral de Guayana, vacante por fallecimiento de D. Josef Qaeypo Valdés, á D. Lucas Josef Ale</t>
  </si>
  <si>
    <t>Vived, Pedro</t>
  </si>
  <si>
    <t>Pedro Vived</t>
  </si>
  <si>
    <t>los metales: D. Juan Josef Atorrasagasti, de la formación y naturaleza de las substancias animales: D. Pedro Vived, de los ácidos: D. Francisco Orduña, del agua: Dé Francisco Perez, de las sales;’ y D. Josef Bejar, de la luz. _ Después acreditaron en sus respuestas el roa</t>
  </si>
  <si>
    <t>Vives y Gastas, Andrés</t>
  </si>
  <si>
    <t>Andrés Vives y Gastas</t>
  </si>
  <si>
    <t>artongía de la Colegial/ de Guisona &gt; Diócesi de UrgeR vacante por muerte; de ÍL Miguel Martínez: á D. Andrés Vives y Gastas para un Beneficio Porcionario de la Monacal de S. Salvador de Breda, Vacante en la Diócesi de Gerona por fallecimiento de D. Vicente Puig: á D. Isidro Feyxes para, un Beneficio de</t>
  </si>
  <si>
    <t>Vizconde Melleville, Lord</t>
  </si>
  <si>
    <t>Lord Vizconde Melleville</t>
  </si>
  <si>
    <t>nombre de los miembros que la componen, y de todos los Comunes de la Gran Bretaña, contra Henrique Lord Vizconde Melleville, se avisa á todas las personas interesadas en este negocio que se halla aquí presente para ser juzgado, y comparezcan á sostener las dichas acusaciones/* El Lord Canciller dixo al</t>
  </si>
  <si>
    <t>Vizconde Nelson, Lord</t>
  </si>
  <si>
    <t>Lord Vizconde Nelson</t>
  </si>
  <si>
    <t>concurriréis á ponerle en estado de añadir á los honores que ha conferido á la familia del difunto Lord Vizconde Nelson muestras de la munificencia nacional, que transmitan á la mas remota posteridad la memoria de su nombre y de sus servicios para que sirvan de exemplo. ,,S. M. nos ha encargado ade</t>
  </si>
  <si>
    <t>Voitel</t>
  </si>
  <si>
    <t>tando los progresos que hacia en algunas partes de España el método de educación de Mr. Pestalozzi. Mr. Voitel lo aprendió del inventor en Burgdorf en 1.801 y 1802, hallándose con Licencia. Vuelto á su Regimiento., estableció una escuela Pestalozziana para los hijos de los Oficiales y sold</t>
  </si>
  <si>
    <t>Voitel, Francisco</t>
  </si>
  <si>
    <t>Francisco Voitel</t>
  </si>
  <si>
    <t>Supl., p. 8</t>
  </si>
  <si>
    <t>a de ensayo, qué se establece en Madrid , al Capitán de granaderos de4 Regimiento Suizo de WimpfFen D. Francisco Voitel, que ha aprendido el Método en el Instituto mismo de Pestalozzi, y ademas por pura beneficencia y amor ¿ la educación se ha dedicado á enseñar niños en la ciudad de Tarragona, acr</t>
  </si>
  <si>
    <t>a nueva enseñanza. A continuación leyó otro discurso el Capitán primero del Regimiento de Wiinpífen D. Francisco Voitel, Maestro Director de la Escueia, y, para persuadir con hechos, dio una muestra del Método en la persona de su discípulo D. Agustín Petitpierre, Cadete de dicho Regimiento, de 9 añ</t>
  </si>
  <si>
    <t>Vos Van Steenwych</t>
  </si>
  <si>
    <t>SS. AA. PP. aceptáron la dimisión del puesto de Gran Pensionario, y lo confirióron interinamente á Mr. Vos Van Steenwych, Presidente actual de la Legislatura.^».Mr. Schimmelpennink debe retirarse muy pronto á sus tierras. FRANCIA. BrusUas $ de Julio, Se espera de día en dia al Rey de Holanda en esta</t>
  </si>
  <si>
    <t>Vülanueva, Antonio</t>
  </si>
  <si>
    <t>Antonio Vülanueva</t>
  </si>
  <si>
    <t>o de las soberanas resoluciones de S. M., Reales órdenes del Supremo Consejo de Castilla, y del Sr. D. Antonio Vülanueva, su comisionado, hizo construir en ménos de dos meses un suntuoso campo santo en el sitio de la Haza de la Escaramuza, fuera de la población á bastante distancia, en que los ayres</t>
  </si>
  <si>
    <t>Vüleneuve, Almirante</t>
  </si>
  <si>
    <t>Almirante Vüleneuve</t>
  </si>
  <si>
    <t>as las colecciones que habia juntado, y otros muchos efectos, GRAN BRETAÑA. Londres 12 de Abril. El Almirante Vüleneuve y otros 5 Oficiales Franceses se han hecho á la vela el miércoles pasado de Plimouth para volver á Francia. Según parece , han convenido los dos Gobiernos en un cange de prisioneros</t>
  </si>
  <si>
    <t>Wagstaff</t>
  </si>
  <si>
    <t>barcarse á bordo' de una fragata, que le aguarda para llevarle áHamburgo, de donde pasará á Berlín. Mr. Wagstaff ha partido el viérnes para Il2mburgo , y lleva el encargo de participar al Gabinete Prusiano haberse levantado el bloqueo del Elba. Aseguran que el Rey de Prusia ha convenido en r</t>
  </si>
  <si>
    <t>Wallace</t>
  </si>
  <si>
    <t>que eran propios de un Ministro‘. juzgúese ahora qual de estos sentimientos merece mas miramiento.” Mr. Wallace habló contra la propuesta, y Mr. Grey la apoyó. Al cabo se adoptó, y se encargó á Mr. Whitbread llevase á la Cámara de los Pares un mensage conforme á esta propuesta. ! HOLANDA. H</t>
  </si>
  <si>
    <t>Wallace, Coronel</t>
  </si>
  <si>
    <t>Coronel Wallace</t>
  </si>
  <si>
    <t>de Diciembre de i8o$----- El Coronel Wallace publica el extracto que sigue de la carta que el Capitán Scott escribe al Capitán Agnew enviado como Edecán; contiene la relación de un ataque hecho con felicidad el 22 del mismo</t>
  </si>
  <si>
    <t>Wallave, Coronel</t>
  </si>
  <si>
    <t>Coronel Wallave</t>
  </si>
  <si>
    <t>etón y Desdeñosa, y las■'balan ’ra- Hairicr y R.atdesnake. Extracto dé los pliegos remetidos por ti Coronel Wallave9 Comandante de las fuerzas dél Decan, con fecha del campo cerca de Muikapoor, d 24</t>
  </si>
  <si>
    <t>Wamba, Pedro</t>
  </si>
  <si>
    <t>Pedro Wamba</t>
  </si>
  <si>
    <t>te D. Faustino Garay: empleo de Alférez en el Regimiento de dragones de la Reyna al Portaestandarte D. Pedro Wamba, y esta resulta al Cadete D. Sebastian de Leca; y en el de Sagunto empleo de Portaguión al Sargento primero D. Juan Moreno. En América. El Rey se ha dignado conceder el Gobierno m</t>
  </si>
  <si>
    <t>Warren, Almirante</t>
  </si>
  <si>
    <t>Almirante Warren</t>
  </si>
  <si>
    <t>e la primer noticia Inglesa fue falsa. El General Linois se encontró de noche entre la esquadra del Almirante Warren. Se hubiera desembarazado fácilmente del Londresj pero habiendo arribado los navios Aquiles y el Ramillies sobre el Marengo, el General Linois tuvo que arriar bandera. En esto no</t>
  </si>
  <si>
    <t>Warren, Capitán</t>
  </si>
  <si>
    <t>Capitán Warren</t>
  </si>
  <si>
    <t>u viage.¡H Capitán anuncia que ha dexado el convoy navegando en conserva del Canadá, mandado por el Capitán Warren, á los 49 grados, 30 minutos de lat^ud N.,y á lós 6 de longitud O.; la esquadra se disponía á atacar. La del Caballero Strachan estaba entonces á la vista dando caza á una esquadr</t>
  </si>
  <si>
    <t>Warren, Juan</t>
  </si>
  <si>
    <t>Juan Warren</t>
  </si>
  <si>
    <t>impaciencia algunas-noticias mas cierras. . • ' , El Almirante Cochrane ha enviado varios avisos á Sir Juan Warren hacia los parages por donde puede dirigirse á las; Barbadas, para informarle de ía posición y rumbo de la esquadra Francesa----- El: 2 de Julio apresó esta 3, buques ; pero 3 5 jq</t>
  </si>
  <si>
    <t>Wartensle, General</t>
  </si>
  <si>
    <t>General Wartensle</t>
  </si>
  <si>
    <t>aba el Príncipe de Orange, se componía de 11 batallones y 20 esquadrones. La segunda , al mando del General Wartensle— ben, se componía’de 11 batallones y 15 esquadrones. La tercera división»</t>
  </si>
  <si>
    <t>Wasemskji, Príncipe</t>
  </si>
  <si>
    <t>Príncipe Wasemskji</t>
  </si>
  <si>
    <t>s, para molestar la fortaleza.” Sigue el eh~ gio de las tropas s y en especial del Mayor General el Príncipe Wasemskji, por las acertadas disposiciones que tomó, y de los Mayores Sabje Un, Jeserskji y S'ivagen por su valor ejemplar. Deseando S. M. el Emperador manifestar al Capitán Lisjansky lo sa</t>
  </si>
  <si>
    <t>Watier, General</t>
  </si>
  <si>
    <t>General Watier</t>
  </si>
  <si>
    <t>; y si no hubiera sobrevériidó la; noche, quedaba prisionera la mayor parte'de aquella división. El General Watier, al frente del 4.0 Regimiento de húsares y del 5.0 de cazadores, atacó valerosamente á tres Regimientos Prusianos : quatro compañías del 27 Regimiento de infantería ligera, que se</t>
  </si>
  <si>
    <t>Wattenwyl, General</t>
  </si>
  <si>
    <t>General Wattenwyl</t>
  </si>
  <si>
    <t>112 , ■ - V- 'O í • : 'SUIZA. : V' = r.-i &gt;rT,-*W Basilea 12 de Enero- : ’ -i El General Wattenwyl, que se halla en el día en Berna, ha confiado el mando de las tropas Helvéticas que ha}' en las fronteras al Teniente Coronel Lichtenham, de Basilea, quien está.encargado de dar p</t>
  </si>
  <si>
    <t>Watter, General</t>
  </si>
  <si>
    <t>General Watter</t>
  </si>
  <si>
    <t>mismo ha executado el cuerpo de dragones del General Watter, que tiene su quartel general en Doneschingen, en el pais" de Fustemberg; este último General acaba de recibir la banda de la Corona de hierro en Memmingen de mano del Mariscal Ne</t>
  </si>
  <si>
    <t>Watther, General</t>
  </si>
  <si>
    <t>General Watther</t>
  </si>
  <si>
    <t>, 4 Regimientos de coraceros; el cuerpo del General Klein, 6 Regimientos de dragones; el cuerpo del General Watther, 6 Regimientos de dragones; el del General Beaumont, 6 Regimientos de dragones* y el del General Bourcier, otros 6 de dragones. AUSTRIA. Viena 1 y de Mayo. En el Consejo áulico de</t>
  </si>
  <si>
    <t>Welansky</t>
  </si>
  <si>
    <t>nuevo D. Quixote, y el Redactor del Periódico Ruso, titulado el Liceo, lo ha censurado agriamente; Mr. Welansky está disponiéndose á contestarle: es de desear que esta guerra de plumadas lo tenga ocupado bastante tiempo para que los enfermos queden en paz. _ Los profesores Alemanes trasladado</t>
  </si>
  <si>
    <t>Welies, Lord</t>
  </si>
  <si>
    <t>Lord Welies</t>
  </si>
  <si>
    <t>arias voces sobre el nuevo gobierno que debe sucederle. Se habla de Lord Sidmouth ( Addington }, de Lord Welies2íey, de Mr. Fox, de Lord Grenville y de Lord Spencer; y aun no falta' quien hable de los Lores Gastlereagh y Hawkesbury. La voz solo de que ®e nombraba Ministro á Lord Sidmouth ha</t>
  </si>
  <si>
    <t>Weliesley, Lord</t>
  </si>
  <si>
    <t>Lord Weliesley</t>
  </si>
  <si>
    <t>eterminaron , á propuesta de Mr. johnstone, se imprimiesen algunas piezas relati vas al gobierno de Lord Weliesley en Bengala. Dicese ahora que el Marques de Bute será nombrado Gobernador del Cabo de Buena Esperanza. Escriben de los puertos que el Almirante Duckworth ha vuelto á su destino, y se</t>
  </si>
  <si>
    <t>Wellesley, Lord</t>
  </si>
  <si>
    <t>Lord Wellesley</t>
  </si>
  <si>
    <t>los fondos de la Compañía de la India hechas por este Gobernador. Las deudas de la Compañía quando Lord Wellesley fué enviado á la India ascendian á 11 millones, y quando dexó aquel gobierno importaban 31 millones. Antes de su llegada á la India rey naba en ella la paz, y la prosperidad comer</t>
  </si>
  <si>
    <t>odría el Nabab adoptarlas ;con confianza. Todo lo qué declaró este testigo se dirigió a disculpar á Lord Wellesley. A algunas preguntas que se lehiciéron, dixo que no respondería públicamente: por io qual se mandó despejar las galerías.:__ .El 23 continuó el examen de los testigos: unos hablar</t>
  </si>
  <si>
    <t>Wenceslao de Colloredo, Conde</t>
  </si>
  <si>
    <t>Conde Wenceslao de Colloredo</t>
  </si>
  <si>
    <t>de Agosto. El 20 del corriente hizo el juramento, como Presidente del Consejo áulico de Guerra, el Conde Wenceslao de Colloredo. El depósito principal de armas que había en esta residencia se colocará de hoy en adelante en la ciudad de Leopoldstadt en el Círculo del Condado de Neutra en Hungría. Los transp</t>
  </si>
  <si>
    <t>Whiibreai</t>
  </si>
  <si>
    <t>339 sonjeaba que la Cámara no tendría á mal dixese francamente su modo de pernar. Mr. Whiibreai, añadió,.-tiene en .su .poder bastantes documentos, que prueban que ios bienes del acusado son insuficientes para sostener una causa taa dispendiosa. Mr. Tierney, después de elogi</t>
  </si>
  <si>
    <t>Whitbread</t>
  </si>
  <si>
    <t>nes legales, concluyó declarándose en general inocente de todos los hechos que se le imputan. El 25 Mr. Whitbread, con una diputación de la Cámara de los Comunes, presentó en la barra una réplica á la respuesta hecha por Lord Melieville al nuevo capítulo de impeachement, y declaró en nombre d</t>
  </si>
  <si>
    <t>de ser el-objeto de un examen despUes de la sentencia. Mr. Rose opinó por ¡el juicio en la barra___ Mr. Whitbread dixo que lo que pedia erada publicidad que conviene se dé á semejantes causas; y quisiera» si posible fuese,que .toda la nación asistiese á,este acto , para que se convenciese ¡ d</t>
  </si>
  <si>
    <t>nto.” Mr. Wallace habló contra la propuesta, y Mr. Grey la apoyó. Al cabo se adoptó, y se encargó á Mr. Whitbread llevase á la Cámara de los Pares un mensage conforme á esta propuesta. ! HOLANDA. Haya yi de Marzo. ■ • ■ - La curiosidad pública, tan vivamente excitada de unos días á esta parte</t>
  </si>
  <si>
    <t>esentaba ; los comisionados encargados del impeachement iban vestidos de ceremonia , presididos por Mr. Whitbread: entraron los primeros en la sala, y ocuparon una tribuna que les estaba dispuesta. Luego entraron los Comunes. A las ii los Pares del Reyno salieron de su Cámara, precedidos de l</t>
  </si>
  <si>
    <t>te la sesión, que no fué corta. Bastará decir que la lectura de los cargos duró una hora; y después Mr. Whitbread presentó el informe, que tardó 3 horas y media en leerse. Hoy ha sido mas numeroso el concurso que ayer en la sala de Westtninster, excepto en las galerías comunes. A las 11 entrá</t>
  </si>
  <si>
    <t>velas, casi todas de vuelta de la costa de Guinea. En la Junta de la-Cámara de los Comunes dé ayer Mr. Whitbread ha pedido se forme una Junta para examinar en los registros de la Cámara dé los Pa-, res todo lo ocurrido en la causa de Lord Melville, y dar luego cuenta de ello á la Cámara: ha</t>
  </si>
  <si>
    <t>en Turquía, no prolonguen su permanencia en aquel país. _ GRAN BRETAÑA. Londres 16 de Julio. El 1 x Mr. Whitbread propuso en la Cámara de los Comunes &gt; en vista</t>
  </si>
  <si>
    <t>que los Jueces no habian dicho que los cohechadores no podían ser molestados ni castigados, replicó Mr. Whitbread leyendo, con permiso de la Cámara, la opinión de los Jueces, que era „que antes de la acta del año 25 del reynado de Jorge 111, cap. 31, la inversión no autorizada del dinero conf</t>
  </si>
  <si>
    <t>abrió la junta de los Electores de Westminster para nombrar el sucesor de Mr. Fox en el Parlamento. Mr. Whitbread hizo un elogio pomposo del Ministro, cuya pérdida lamentable daba motivo á nueva elección ; y después de decir que Mr. Sheridan, Sir Francis Burdett, y Mr. Currau habían rehusado</t>
  </si>
  <si>
    <t>Whitby de Halifax, Capitán</t>
  </si>
  <si>
    <t>Capitán Whitby de Halifax</t>
  </si>
  <si>
    <t>o acaecido en Nueva-Yorck, ía enérgica proclama del Presidente de los Estados-Unidos, la salida del Capitán Whitby de Halifax para volver á su apostadero de Sandy-Hook, aunque muy verosímilmente sabía ya las providencias tomadas por el Gobierno-de la Union, todo esto, á ri ñera vista, parece anunciar un</t>
  </si>
  <si>
    <t>Whitby, Capitán</t>
  </si>
  <si>
    <t>Capitán Whitby</t>
  </si>
  <si>
    <t>e intimidar á ^.Americanos; y no habiendo lo conseguido, e:&gt; regular que desapruebe la conducta del Capitán Whitby;, ó alegará que este Oficial ha obrado en virtud de órdenes del Ministerio anterior. No hay duda que el comercio de los Ameripa^ Ttpstf puyas embarcaciones cubran los mares de áip</t>
  </si>
  <si>
    <t>nos ha informado que corrian voces en aquel puerto de que el Commodoro Beresford habia arrestado al Capitán Whitby, Comandante del Leander f por motivo de su odiosa conducta á la vista de Sandy-Hoock, y se creía que dicho Commodoro tomaria el mando del Leander. En Halifax han desaprobado gene-</t>
  </si>
  <si>
    <t>a se separo; de éh El navío Leopardo ha llegado á Halifax, donde reemplaza al Leandro, al mando del Capitán Whitby, que vuelve á Inglaterra: se hacen grandes esfuerzos para reparar los navios ■CámbriantyTártaro, que se hallan en muy mal estado. .• ;. , ? ; - ^ ;; • r Escriben de la esquádra dé</t>
  </si>
  <si>
    <t>rney, Presidente de la Contraloría. Mr. Bragge-Bathurst, Superintendente de la Casa de Moneda. 1 El Capitán Whitby, Comandante de la fragata Leandro, que hallándose este verano á vista de Nueva-Yorck mató á un marinero Americano, ha Tegresado á Inglaterra en la misma nave: viene arrestado, y s</t>
  </si>
  <si>
    <t>White, Capitán</t>
  </si>
  <si>
    <t>Capitán White</t>
  </si>
  <si>
    <t>encontró á los 25 grados de latitud, y á. los 63 de longitud, la fragata Cleopatra, mandada por el Capitán White, quien le dixo que nuestro convoy destinado á la China había sido apresado por el Almirante Francés Willaumez.” Se han recibido noticias de la isla de Sta. Helena del 26 de Marzo:</t>
  </si>
  <si>
    <t>WHliaumez, Almirante</t>
  </si>
  <si>
    <t>Almirante WHliaumez</t>
  </si>
  <si>
    <t>Impetuoso llegaron otro dia : ámbos son de porte de 74 cañones: el Foudroyant de 80, montado por el Almirante WHliaumez, y el Valeroso de 44, arribáron los terceros: el César •y el Patriota de 74 fueron los últimos..__.Los navios que estaban reunidos baxo las órdenes de Sir Alexandro Cochrane, á la</t>
  </si>
  <si>
    <t>Wieland, Coronel</t>
  </si>
  <si>
    <t>Coronel Wieland</t>
  </si>
  <si>
    <t>Liechstal el Burgomaestre Merian, el Diputado Schorndoru, los Consejeros Heysler y Abel Merian, el Coronel Wieland y otras personas de distinción, escoltadas por 60 cazadores de caballería. El dia siguiente pasaron la montaña, y llegaron á Balstal, dondé hallaron al Land-Ammán Glutz con su comit</t>
  </si>
  <si>
    <t>Wight, Capitán</t>
  </si>
  <si>
    <t>Capitán Wight</t>
  </si>
  <si>
    <t>itado por el navio Ingles el Raisonnable. El 22 de Marzo ha sido visitado también por la Cleopatra, Capitán Wight, Ha sabido por ella que la flota que salió ae Inglaterra para la China ha sido cogida por una esquadra Francesa. El comercio de Nueva-Yorck ha remitido al Gobierno una Memoria sol</t>
  </si>
  <si>
    <t>Wiilaumez, Almirante</t>
  </si>
  <si>
    <t>Almirante Wiilaumez</t>
  </si>
  <si>
    <t>an en ella sino hasta la partida de su esquadra de la isla. No se sabe quales son los proyectos del Almirante Wiilaumez; pero debemos conjeturar que intentará incomodar á nuestras colonias, sacando de ellas grandes contribuciones. Se cree que sus primeras tentativas se dirigirán contra la isla de S</t>
  </si>
  <si>
    <t>Wilbraham</t>
  </si>
  <si>
    <t>admisibles al Gabinete Británico. Sin embargo, el portador de dichos pliegos del Gobierno Francés, Mr. Wilbraham, uno de los Ingleses prisioneros en Francia desde el principio de la guerra, lo mismo que el Lord Yarmouth, volvió en persona á París. Aun se fundaba sobre esta circunstancia algu</t>
  </si>
  <si>
    <t>Wilkésv Éraen</t>
  </si>
  <si>
    <t>ontra la elección de Midlessex, y' fue su primer discurso en el Parlamento el que pronunció¡ contra Mr. Wilkésv Éraen esta época tan esmerado, y aun tan magnífiep. en su vestir, como fue sencillo' en estos últimos tiempos.. No hay ert Tos ánafés deLPáfláfiiento^&amp;émplb dé un hómbre que reuniese mas</t>
  </si>
  <si>
    <t>Willaumez y de Gerónimo Benaparfe, Almirante</t>
  </si>
  <si>
    <t>Almirante Willaumez y de Gerónimo Benaparfe</t>
  </si>
  <si>
    <t>$24 Escriben de Bahía, en el Brasil, su fecha 12 de Junio, que después de la salida del Almirante Willaumez y de Gerónimo Benaparfe, entró el ¿6 de Abril en aquel puerto otra esquadra Francesa, compuesta de un navio de línea, de dos fragatas grandes y de tres embarcaciones Inglesas armadas por los Franceses, d</t>
  </si>
  <si>
    <t>Willaumez, Almirante</t>
  </si>
  <si>
    <t>Almirante Willaumez</t>
  </si>
  <si>
    <t>. Los Franceses tienen actualmente en el mar 6 esquadras. Baxo el mando de Gerónimo Bonaparte y dtl Almirante Willaumez una compuesta deún navio de 84, btro de 80, quatro de 74, quatro fragatas y una corbeta que salió de Brest el 14 de Diciembre: otra esquadra de 6 navios de línea salió del mismo p</t>
  </si>
  <si>
    <t>n das relaciones de los buques recienvenido’s de* América Se puede creer que la esqúadra del Contra-Almirante Willaumez, en la que Mr. Gerónimo Bonaparte, manda el navio el Veterano de 74, ha llegado á la Guadalupe; I rW ah T.-;b;r. &gt;q r*\: i’ : • " -• -s / ' ■ 1 Los fondos Ingleses hanbaxado consi</t>
  </si>
  <si>
    <t>elto con los 6 navios de línea con qué habia salido en busca de la ésquadra Francesa mandada por el Almirante Willaumez, por haber sabido que dichas fuerzas estaban dé vuelta á Europa. El Almirante Stirling se hallaba el dia 20 á la altura de Beile-Isle. En un Consejo privado que hubo ayer el Vizco</t>
  </si>
  <si>
    <t>ltimo viene parte del Regimiento número 6.° Informado el Almirantazgo de que la esquadra del Contra-Almirante Willaumez está en viage de vuelta á Europa, ha mandado al Contra-Almirante Lewis, que salga inmediatamente de PIymouth con un navio de 80 cañones, cinco de 74, una fragata de 44, y una corbet</t>
  </si>
  <si>
    <t>Reyno. Si se ha de dar crédito á las últimas Gazetas de ios Estados-XJnidos, la esquadra del Contra-Almirante Willaumez ha entrado en Boston á hacer aguada y tomar víveres. En la Gazeta de la Cprte de ayer se ha publicado una orden del Consejo, en que se revoca la de 5 de Abril de 1805 , por la qua</t>
  </si>
  <si>
    <t>Willemet</t>
  </si>
  <si>
    <t>los niños que nacen prematuramente, por Mr. Millot; noticia sobre la planta llamada bella dama, por Mr. Willemet; método para adquirir harinas; sin necesidad de granos, por Mr. Abraham Undredown; romance, á C., por D. M. B. G. S.; y noticias acerca de varias obras alemanas. Se hallará á 3 rs</t>
  </si>
  <si>
    <t>William Young</t>
  </si>
  <si>
    <t>las islas, podrían verse en la necesidad ‘de hacer traer los mismos géneros en buques Americanos.— Sir William Young. La exportación, dixo,. de géneros fabricados en Inglaterra para América fué el año pasado de 9 millones de libras. esterlinas, una gran jparté se transportó en buques Americanos</t>
  </si>
  <si>
    <t>Williamson, Capitán</t>
  </si>
  <si>
    <t>Capitán Williamson</t>
  </si>
  <si>
    <t>con fecha de 7 del corriente, se lee lo que sigue: ,,Ha llegado áFiladelfia el 4 de Abril ABingham, Capitán Williamson, procedente de Cantón. A la altura del Cabo ha sido visitado por el navio Ingles el Raisonnable. El 22 de Marzo ha sido visitado también por la Cleopatra, Capitán Wight, Ha sabido</t>
  </si>
  <si>
    <t>abo se han hecho á la vela. En el café de Lloyd se ha puesto el aviso siguiente. ,, El Bingkam s su Capitán Williamson, ha llegado el 4 de Abril á Filadelfia procedente de la China. El 22 de Marzo encontró á los 25 grados de latitud, y á. los 63 de longitud, la fragata Cleopatra, mandada por el Ca</t>
  </si>
  <si>
    <t>Williaumez</t>
  </si>
  <si>
    <t>mucho en los fondos públicos. Ya se tienen noticias ciertas del paradero de la esquadra Francesa de Mr. Williaumez, la qual ha padecido un fuerte temporal cerca de las costas de América. El navio Patriota, que se había separado de la esquadra, ha anclado en Delaware el 2 de Setiembre con mucho</t>
  </si>
  <si>
    <t>Wimpfen, Félix (general)</t>
  </si>
  <si>
    <t>General Félix Wimpfen</t>
  </si>
  <si>
    <t>ha muerto el 9 de este mes en Wisemburgo una muger de edad de 102 años. Había sido ama de leche del General Félix Wimpfen, quien la ha socorrido hasta el último momento de su vida. El 5 de este mes cayó mucha nieve en Marsella, cosa muy extraordinaria en aquel clima, y en una estación tan adelantada.</t>
  </si>
  <si>
    <t>Win</t>
  </si>
  <si>
    <t>l mismo Gentilhombre introduxo luego 4 los colegas de Lord Grenville Mr. Fox, el Conde de Spencer y Mr. Win^Hiam, Secretarios de Estado, á Mr. Grey, ai Vizconde de Sidmouth, á 1^ Condes Temple, Buckingham y á Mr. Vansittard, nombrando á cada unp por sus nuevos títulos.__ El concurso que</t>
  </si>
  <si>
    <t>Windham</t>
  </si>
  <si>
    <t>no temían el examen de su proceder; que su defensa estaba pronta, y era infalible su justificación. Mr. Windham dixo que no podía abrirse la discusión sin la presencia de una persona que seria el principal objeto de ella; pero aun quando en las circunstancias actuales le pareciese necesaria</t>
  </si>
  <si>
    <t>juzgar según sus observaciones.t Hablaron despúes varios vocales en pro y contra de la propuesta. • Mr. Windham. „En quanto á mí, declaro que estoy libre de todo espíritu de piartidoi Desearía ‘saber si la intención del autor de la propuesta y de los vocales que la han apoyado es extender e</t>
  </si>
  <si>
    <t>Echiquier: Mr. Fox, Ministro de Negocios extrangeros: el Conde de Spencer, Ministro de lo Interior: Mr. Windham, Secretario de la Guerra y de las Colonias: Mr. Grey, primer Lord del Almirantazgo *. el Conde de Moira, Gefe de la Artillería : el Conde de Fitz-WiHiam, Presidente del Consejo: L</t>
  </si>
  <si>
    <t>as ocasiones se habrá desconfiado de la verdad de sus certificaciones. (The Sun.) La semana próxima Mr. Windham presentará al Parlamento su gran plan militar. Se asegura que no tardarán en presentarse al Parlamento las reclamaciones del Príncipe de Gales, relativamente á las rentas del Duca</t>
  </si>
  <si>
    <t>una relativa á los negocios de la India* y la otra á los voluntarios de la Gran Bretaña. Créese que Mr. Windham* que nunca Jué gran partidario de estos cuerpos, hallará nna grande oposi-r cion, si es que uó ha variado de opinión con su nuevo empleo-, como suele suceder en Inglaterra. Sabemo</t>
  </si>
  <si>
    <t>neburgo, y en su lugar se ha puesto el Aguila Prusiana. GRAN BRETAÑA. Londres 12 de Abril. El día 4 Mr. Windham presentó en la Cámara de los Comunes su plan de defensa del Reyno. Lord Castlereagh le combatió terriblemente, y Mr. Fox le defendió con un discurso , cuyo extracto publicaremos.</t>
  </si>
  <si>
    <t>en que se desestima la acta de defensa suplementaria. Mr.Canning impugnó todo el sistema militar de Mr. Windham, ridiculizando el exército reglado del Ministro, comq;este había hecho con los voluntarios de Mr. Pitt; y,su discurso, que duró muchas horas, fué muy aplaudido. La ©pinion de Mr.</t>
  </si>
  <si>
    <t>ción. Ayer hubo debates muy vivos en la misma Cámara, que duráron hasta las 6 y media de la mañana. Mr. Windham propuso en una junta, formada para examinar el bilí de motines, una cláusula dando al Rey la facultad de prolongar por 3 años ei enganche, en tiempo de guerra, de los soldados ali</t>
  </si>
  <si>
    <t>e Mayo. En la discusión que hubo ayer en la Cámara de los Comunes con nt^* fivo del plan militar de Mr. Windham, Mr. Fox pronunció un largo discurso manifestando la necesidad que habia de tomar varias disposiciones: quejóse de la distinción que qúeria hacerse entre el exército Real y las tr</t>
  </si>
  <si>
    <t>idental, siguiendo la misma latitud. Luego que Lord Howick recibió los pliegos volvió á Londres , y Mr. Windham y algunos otros Ministros fuéron por la noche al Almirantazgo. El Almirantazgo ha comunicado al Lord Corregidor el 11 del corriente el aviso telegráfico de Plimouth recibido el dia</t>
  </si>
  <si>
    <t>ieron'Lord Grenville, el Conde de Spencer, el Vizconde de Howick, los Lores H. Fetty y Sidmoutih, y Mr. Windham. Nada se ha traslucido-del contenido de los pliegos. Presumimos que ya está decidido el nombramiento de Lord Howick (Mr. Grey) á Secretario de Negocios extrangeros. Esta elección</t>
  </si>
  <si>
    <t>Wíndham</t>
  </si>
  <si>
    <t>que ninguno pueda tener esperanzas fundadas de mayoría de votos. El Coronel Crawfurd, Secretario de Mr. Wíndham, está destinado al mando de una expedición particular. Es conocido este Oficial por haber servido en los exércitos Austríacos como Comisario del Rey de Inglaterra. Ayer, dia de S.</t>
  </si>
  <si>
    <t>Windham y Lord Sydmouth</t>
  </si>
  <si>
    <t>res de la tarde. Asistiéron á él Lord Grenville, Ford H. Petty, el Conde de Spencer,. Lord Horwick, Mr. Windham y Lord Sydmouth. Concluido el Consejo se despachó un correo á Lord Lauderdale. Las voces esparcidas de la muerte trágica de Mr. Mungo-Parke han movido á sus amigos á publicar la carta siguiente,</t>
  </si>
  <si>
    <t>WindJiarn y de Mr</t>
  </si>
  <si>
    <t>n célebre por: el descubrimiento de la vacuna, escribió al Emperador para conseguir la libertad del Dr. WindJiarn y dé Mr. jWiüiaíRs, sus amigos/.prisioneros,en V-erdun. Xa -carta del Dr. Jenner estuvo;muckg tiempo extraviada; pero luego que llegó» á manos l dé M, y mandó: dar libertad á:stis recomen</t>
  </si>
  <si>
    <t>Wood</t>
  </si>
  <si>
    <t>sión y el desorden: muchos correos y Genízaros de posta, y en especial el correo Ingles de Gabinete Mr. Wood, han sido robados cerca de Siiistria, por lo qual casi todos los viajantes que salen de aquí han tomado el partido de encaminarse por mar á Varna, y desde allí á su destino. En lo</t>
  </si>
  <si>
    <t>Worpnzow, Simón (conde)</t>
  </si>
  <si>
    <t>Conde Simón Worpnzow</t>
  </si>
  <si>
    <t>otorio , reemplazará al difunto Conde de VVoronzovyr eri Í a plaza de Vice-Canciller. Su hermano el Conde Simón Worpnzow tendrá por sucesor en la embaxada de Londres al Conde de Markow. El Prín-r cipe Kourakin ha sido ya Vice-Canciller de Rusia en vida def Emperador j^aulo 1. - . _ No hay duda ningu</t>
  </si>
  <si>
    <t>Wrede, General</t>
  </si>
  <si>
    <t>General Wrede</t>
  </si>
  <si>
    <t>ro de la Inglaterra incitan continuamente á empresas insensatas ! La división Bávara mandada por el General Wrede, salió de Dresde el 31 de Octubre; la que tiene á sus órdenes el General Deroi, marchó el i.° de Noviembre; y la coiuna Wurtémburguesa ei dia 3. Todas estas colunas marchan al Ode</t>
  </si>
  <si>
    <t>Wüliaumez, Almirante</t>
  </si>
  <si>
    <t>Almirante Wüliaumez</t>
  </si>
  <si>
    <t>ta; y finalmente que la flota de Europa había diferido su salida en conseqüencia de la llegada. deL Almirante Wüliaumez á aquellas aguas.” HOLANDA. Haya 2 8 de Julio. El Consejo Supremo de la Guerra ha absuelto de la acusación á Guillermo Otton Blois de Treslong, en razón de su modo de obrar en la</t>
  </si>
  <si>
    <t>Wynyard, General</t>
  </si>
  <si>
    <t>General Wynyard</t>
  </si>
  <si>
    <t>árgate se embarcan las tropas destinadas á una expedición al Mediterráneo. Es Comandante en gefe el General Wynyard._ El Gobierno ha manifestado la intención de ajustar 150 buques de transporte forrados en cobre para conducir tropas: llevarán víveres para 6 meses. El Almirante Linois no ha podi</t>
  </si>
  <si>
    <t>Wyrsch, Francisco</t>
  </si>
  <si>
    <t>Francisco Wyrsch</t>
  </si>
  <si>
    <t>do de Teniente Coronel , D. Josef Traxler, y la Sargentía mayor del mismo Cuerpo al Capitán primero D. Francisco Wyrsch. El Rey ha conferido en los Regimientos Provinciales Compañía en el de Chinchilla al Teniente de granaderos D. Francisco Amores, y Tenencias en los de Truxillo, Málaga y Orense á</t>
  </si>
  <si>
    <t>Xaramillo, Francisco</t>
  </si>
  <si>
    <t>Francisco Xaramillo</t>
  </si>
  <si>
    <t>as Aguirre y Castro, D. Juan Bautista Ponsinch, D. Felipe del Arco Agüero , D. Josef Sánchez Tagle, D. Francisco Xaramillo, D. Dionisio López Pinto, D. Mariano Carrillo de Albornoz, Don Francisco Josef Justis, D. Bernardo Landaburu, D. Diego Rejón de Silva, D. Mariano Genaro Sentmanat, D. Luis Landabu</t>
  </si>
  <si>
    <t>Ximenajy, Joaquín</t>
  </si>
  <si>
    <t>Joaquín Ximenajy</t>
  </si>
  <si>
    <t>.el de Voluntarios de Castilla al Sargento primero de granaderos D. Pedro DomingoVelez, y al Cadete D. Joaquín Ximenajy en el de Extremadura Subtenencia de bandera al Sargento primero D. Fernando Carpintero.</t>
  </si>
  <si>
    <t>Ximenez de Ascarate, Estéban</t>
  </si>
  <si>
    <t>Estéban Ximenez de Ascarate</t>
  </si>
  <si>
    <t>Los pretendientes dirigirán sus memoriales, con relación de méritos, á su Escribano de Ayuntamiento D. Estéban Ximenez de Ascarate hasta el día gi del próximo Julio, porque el i.° de Agosto se trar tará de hacer la elección y nombramiento. Se halla vacante la plaza de Médico y Cirujano de la villa de Martin M</t>
  </si>
  <si>
    <t>Ximenez Vallejo, Fernando</t>
  </si>
  <si>
    <t>Fernando Ximenez Vallejo</t>
  </si>
  <si>
    <t>ara un Beneficio de la Colegial de Manresa, Diócesi de Vique, baxo la invocación de S. Francisco: á Don Fernando Ximenez Vallejo para una Canongía de la Metropolitana de Tarragona; y á D. Manuel de Abad y Monseo para la Dignidad de Arcediano de Barbastro en esta Catedral, y á D. Matías Guiu Arcediano de Jun</t>
  </si>
  <si>
    <t>us: á D. Ignacio Rives.para una Canongía de la Metropolitana de Tarragona, vacante por promoción de D. Fernando Ximenez Vallejo al Priorato de S. Hipólito de Córdoba: á D. Pedro Antonio Fernandez para la Dignidad de Tesorero de la Catedral de Albarracin, vacante por muerte de D. Manuel Oñate: á D. Miguel P</t>
  </si>
  <si>
    <t>Ximenez y Padilla, Salvador</t>
  </si>
  <si>
    <t>Salvador Ximenez y Padilla</t>
  </si>
  <si>
    <t>va Madre de Dios hacé al pecador desde él píe de la cruz para excitarlo á su pronta conversión, por D. Salvador Ximenez y Padilla, Canónigo *dé la Catedral de Málaga: un tomo en 8.° Sé hallará en la librería de la viuda de Quiroga, cálle de las Carretas, á 4 rs. en pasta. Estampa de S. Bernardo, Abad de Clar</t>
  </si>
  <si>
    <t>Ximenez y Vallejo, Fernando</t>
  </si>
  <si>
    <t>Fernando Ximenez y Vallejo</t>
  </si>
  <si>
    <t>egiata de S. Hipólito de la ciudad de Córdoba, vacante por muerte de D. Juan Ramón Gómez Mayoral, á D. Fernando Ximenez y Vallejo, Canónigo de la Metropolitana de Tarragona: para la Canongíade la Catedral de Sigiienza, vacante por fallecimiento de D. Manuel Arcos, á D. Antonio Calama, Cura Párroco de Villaru</t>
  </si>
  <si>
    <t>Ximenez, Juan</t>
  </si>
  <si>
    <t>Juan Ximenez</t>
  </si>
  <si>
    <t>do conceder Ayudantía en el Regimiento de infantería del Príncipe al Teniente, graduado de Capitán, D. Juan Ximenez: Subtenencias de bandera en los de Córdoba y Mallorca al Sargento primero Don Cárlos de la Muedra, y al Cadete D. Rafael Aranda. En el Regimiento de caballería de la Reyna se ha s</t>
  </si>
  <si>
    <t>Ximeno, Juan</t>
  </si>
  <si>
    <t>Juan Ximeno</t>
  </si>
  <si>
    <t>apitales de las provincias y puertos, según se expresa en la Ga— zeta número 24. Por providencia de D. Juan Ximeno, Comisionado Regio para la venta de bienes eclesiásticos en el Obispado de Málaga, se están subastando nueve casas pertenecientes á obras pías, que administra el Cabildo de la Cat</t>
  </si>
  <si>
    <t>sus virtudes, resplandeciendo entre los mas ilustres Obispos de aquella Iglesia. Por providencia de D. Juan Ximeno, Comisionado Regio para la venta de bienes eclesiásticos en el Obispado de Málaga, se están subastando seis cas3s correspondientes á obras pías, que. administran los Conventos de</t>
  </si>
  <si>
    <t>Ximenó, Juan</t>
  </si>
  <si>
    <t>Juan Ximenó</t>
  </si>
  <si>
    <t>e Hacer postu-' ra acuda á ía escribanía del cargo de D. Manuel González Moro. ' Por providencia de D. Juan Ximenó, Comisionado Regió para la venta de ble-' tres eclesiásticos en el Obispado de Málaga, se están subastando las siguientes fincas correspondientes á obras píasv una casa sita en la</t>
  </si>
  <si>
    <t>D. Pedro y D. Juan Esponera. En León................. D. Pedro Gil de Tejada. En Málaga........... D. Juan Ximeno. En Mahon............. Doña Catalina Germán y Hugalde. En Murcia............ Sres. Moreda y Ladalid. En Oviedo.............. D. Manuel Rubiano. En Patencia.......... Viuda de D. N</t>
  </si>
  <si>
    <t>dentro del término de 30 dias contados desde el 27 de Setiembre próximo pasado. Por providencia de D. Juan Ximeno, Comisionado Regio para la venta de bienes eclesiásticos en el Obispado de Málaga, se han sacado i la subasta,por. término" de 30 dias contados desde 17 de Setiembre próximo pasad</t>
  </si>
  <si>
    <t>.. D. Pedro y D. Juan Esponera. En León................ D. Pedro Gil de Tejada. En Málaga.......... D. Juan Ximeno. En Maltón............ Doña Catalina Germán y. Hugalde. En Murcia........... Sres. Moreda y Ladalid. En Oviedo............ D. Manuel Rumano. En Palenda......... Viuda de D. Nicolá</t>
  </si>
  <si>
    <t>ro de los términos de rigurosa justicia. Y para que venga á noticia de todos &amp;c. Por providencia de D. Juan Ximeno, Comisionado Regio para la venta de</t>
  </si>
  <si>
    <t>Ximeno, Juan Bautista</t>
  </si>
  <si>
    <t>Juan Bautista Ximeno</t>
  </si>
  <si>
    <t>s premiados mas que en, ser algo mayores de edad. Siguieron recitando dos odas en acción de gracias D. Juan Bautista Ximeno á nombre de los niños premiados, y Doña Rafaela Peyroíon á nombre de las niñas. Pronunció D. Joaquín Fusell el elogio que se le había encargado formar á la buena memoria de D. Fra</t>
  </si>
  <si>
    <t>Xor</t>
  </si>
  <si>
    <t>35* , , ., , , , __________ __ El Sr. D. Xor^uato Antonio Collado, Teniente Corregidor de esta villa , ha se= fialadopara «1 remate de las fincas que-se expresan los dias ‘siguientes: el 30 del corriente para el de una casa</t>
  </si>
  <si>
    <t>X’uneno y Urieta, Manuel</t>
  </si>
  <si>
    <t>Manuel X’uneno y Urieta</t>
  </si>
  <si>
    <t>Carretas. Colección de los Apologistas antiguos de la religión cristiana, traducido del francés por D. Manuel X’uneno y Urieta: 2 tomos en 4.0 Véndese en la librería de Gómez, calle de las Carretas, á 44 rs. en pasta y 34 en rústica. Estampa nueva que representa el fanático por la lotería, y expresiones d</t>
  </si>
  <si>
    <t>y de Rosa María López, Domingo</t>
  </si>
  <si>
    <t>Domingo y de Rosa María López</t>
  </si>
  <si>
    <t>l Cuerpo de Artillería de Marina, que falleció, en 18 de Julio de 1787, hijo de Domingo y de Doña Rosa María López, natural de esta Corte, para que comparezcan ante dicho Señor y escribanía con justificación bastante que así lo acredíte, para aplicar al legítimo heredero cierto haber que le pertenece,</t>
  </si>
  <si>
    <t>y Duque de Brunswick, Fernando (príncipe)</t>
  </si>
  <si>
    <t>Príncipe Fernando y Duque de Brunswick</t>
  </si>
  <si>
    <t>cantonó fuera de aquí el Regimiento de infantería de Raynacard, para de-xar lugar á los Regimientos Príncipe Fernando y Duque de Brunswick, que han entrado efectivamente en la plaza. El 13 llegó aquí S. A. S. el Duque de Brunswick, y ha establecido su quartel general; pero el Rey, á quien esperábamos estos dias, no l</t>
  </si>
  <si>
    <t>y Estrada, Julián Alonso</t>
  </si>
  <si>
    <t>Julián Alonso y Estrada</t>
  </si>
  <si>
    <t>ere hacer postura á elia acuda ante el referido Sr¿ Alcalde, y escribanía de provincia del cargo de Don Julián Alonso y Estrada, que se les admitirá» las que hiciere» no baxando de las; dos terceras partes de su valor, ya seg á dinero metálico, á v%lf», ú-ájunp y otro, siendo ¿« cargo del pasturante la pér</t>
  </si>
  <si>
    <t>n esta,Corte, el dia 1 a de este mes de Jinio, en su juzgado y escribanía de provincia del cargo de D. Julián Alonso y Estrada, a la hora de las once de su mañana. Quien quisiere hacer postura a ella acuda ante dicho Sr. Alcaide y referida, escribanía, que se les admitirán las que hicieren no baxando de l</t>
  </si>
  <si>
    <t>pesos sencillos en metálico. Quien quisiere mejorarla acuda ante dicho Señor, por la escribanía de D. Julián Alonso y Estrada. Quien quisiere comprar un majuelo en el sitio que nombran el Congosto, término de Vallecas, frente, la casa blanca, que tiene J085 cepas , tasado en 542 rs. 17 mrs.: tres Fanegas</t>
  </si>
  <si>
    <t>y Justo Torrijos, Domingo</t>
  </si>
  <si>
    <t>Domingo y Justo Torrijos</t>
  </si>
  <si>
    <t>ranada D. Juan Manuel García de Tejada y compañía, en Córdoba D. Ventura Aute, en Sevilla los Sres. D. Domingo y Justo Torrijos, y en Cádiz en la imprenta y librería de Pajares. Se halla vacante el partido de Médico de la villa de Malagon, en la Mancha baxa, cuya dotación es de 8© rs. cobrados por la Justi</t>
  </si>
  <si>
    <t>anada D. Juan Manuel García de Tejada y compañía, en Córdoba D. Ventura Aute, en Seviba los Señores D. Domingo y Justo Torrijos,-en Cádiz en la imprenta y librería de Pajares,, en Pamplona D. Vicente Urroz y Vera, Administrador gemraJ de ia Red Lotería, y en Tudela D. Rafael Tarazona, Oficial del Correo, a</t>
  </si>
  <si>
    <t>y los Archiduques Juan y Luis, Carlos (archiduque)</t>
  </si>
  <si>
    <t>Archiduque Carlos y los Archiduques Juan y Luis</t>
  </si>
  <si>
    <t>rán fixar su residencia en Hungría. Francfort jo de Enero. El 19 del corriente entraron en Viena el Archiduque Carlos y los Archiduques Juan y Luis con 30 Batallones de infantería y 2 Regimientos de caballería.—.Parece que ha de celebrarse con toda solemnidad, dentro dé pocos días, la toma de posesión civil del Tirol y del Wo</t>
  </si>
  <si>
    <t>y María Luisa de Borbon, Carlos</t>
  </si>
  <si>
    <t>Carlos y María Luisa de Borbon</t>
  </si>
  <si>
    <t>expensas mantiene, á cuyo efecto se elevó un magnífico dosel para los retratos de nuestros Señores Don Cárlos y Doña María Luisa de Borbon, y el del Serenísimo Señor Infante D. Cárlos María, Hermano mayor de este Real Cuerpo._Dió principio ¿1 acto D. Luis Dávila y Maza, como Teniente de S. A. R., por una oración en e</t>
  </si>
  <si>
    <t>y Mr, Adam</t>
  </si>
  <si>
    <t>Adam y Mr</t>
  </si>
  <si>
    <t>read produxese sus cargos como comisionado del impeachement. Los Consejeros de Lord Melleville eran Mr. Adam y Mr. Plumar; y sus Procuradores Mrs. Shaw y le Blanc. El auditorio fué numeroso, y asistieron á esta ceremonia muchas'señoras ricamente vestidas. El 30 se juntó por segunda vez^rei Tr</t>
  </si>
  <si>
    <t>y Robles, Bartolomé Alonso</t>
  </si>
  <si>
    <t>Bartolomé Alonso y Robles</t>
  </si>
  <si>
    <t>e Reyes Nuevos de la ciudad de Toledo, vacante por fallecimiento de Don Gregorio Perez de Bustos, á D. Bartolomé Alonso y Robles, Cura de la Parroquial de S. Bartolomé de dicha ciudad: para el Beneficio simple de Sta. María de Anaya, en la Diócesi de Oviedo, vacante por promoción de D. Francisco Escandon y</t>
  </si>
  <si>
    <t>y Zúñiga, Luis Carlos</t>
  </si>
  <si>
    <t>Luis Carlos y Zúñiga</t>
  </si>
  <si>
    <t>ina. Catecismo breve y sencillo, de motivos de credibilidad católica en preguntas y respuestas; por D. Luis Carlos y Zúñiga, Cura propio de Esealonilla en este Ar-t «obispado &amp;c.Es obra original y útil á toda clase de personas : un tomo en 8.° marquilla. Se vende en la librería de Ramos, calle de las C</t>
  </si>
  <si>
    <t>Yájrmouth, Lord</t>
  </si>
  <si>
    <t>Lord Yájrmouth</t>
  </si>
  <si>
    <t>libertad de la pesca. El 15 llegó al misrtio puerto otro parlamentario Ingles, que traiá á bordo al Lord Yájrmouth; comió en la fonda.Imperial, y á poco rato salió para Parísy de donde escriben que el 17 por la tarde habia llegado allí 'dicho .Lord con una comisión particular deí su Gobierno,</t>
  </si>
  <si>
    <t>Yanez, Andres</t>
  </si>
  <si>
    <t>Andres Yanez</t>
  </si>
  <si>
    <t>Siguenza y s«u Diócesi, se están subastando dos casas de la obra pía que en aquella Catedral fundó D. Andres Yanez* la una tasada en 19,227 rs., y la otra en 4450, y otras cinco propias de la capilla y Capellanes de Sta. Catalina fundada en dicha Iglesia, la una tasada en .24*91 S rs.; otra ,e</t>
  </si>
  <si>
    <t>Yarmouth, Lord</t>
  </si>
  <si>
    <t>Lord Yarmouth</t>
  </si>
  <si>
    <t>ado á la Emhaxada de Francia, debía salir el iB del corriente para venir á París. Se asegura que el Lord Yarmouth que viene de Londres, ha llegado á Taris el 17 por la tarde. Las fuerzas con que el General Lauríston ha ocupado á Ragusa consisten en 6® hombres. Los habitantes de aquella ciudad</t>
  </si>
  <si>
    <t>la humanidad. He aquí todo lo que se sabe sobre el particular de un modo auténtico hasta el día. El'Lord Yarmouth, uno de los mas ricos Grandes de Inglaterra , mucho tiempo detenido en Verdum como prisionero de guerra , fué enviado hace poco tiempo á Londres á bordo de un parlamentario, y tod</t>
  </si>
  <si>
    <t>omunicaciones entre ios Gabinetes de Francia y de Inglaterra, han disminuido mucho. La comisión del Lord Yarmouth á París, según las relaciones en circulación en Londres, no prometían corresponder al objeto. A o ménos las proposiciones contenidas en los últimos pliegos Franceses 4 no parecier</t>
  </si>
  <si>
    <t>de Berg. y de Cleves mar' chárá muy pronto.á las aguas-de Pyrmont. - - , ;; c ^ 1 ; Se cree que el Lord Yarmouth, recien venido de Inglaterra, dará-á co* nocer muy en breve un carácter público.</t>
  </si>
  <si>
    <t>as negociaciones ; y qualquiera se convencerá fácilmente por el texto de los plenos poderes dados á Lord Yarmouth, y aun con mayor evidencia por la lectura de la carta de Lord Lauderdale, que ántes de principiar las negociaciones había el Gabinete Ingles desistido entera é irrevocablemente de</t>
  </si>
  <si>
    <t>Yorke</t>
  </si>
  <si>
    <t>es, manifestando que se les han cumplido fielmente las promesas que se les hiciéron.” ,,Otro vocal (Mr. Yorke) ha preguntado ¿si era necesario extender nuestro sistema militar, y si tenemos un exército capaz por su número y disciplina de coadyuvar todos nuestros proyectos? No puedo conven</t>
  </si>
  <si>
    <t>Yudicí, Juan Antonio</t>
  </si>
  <si>
    <t>Juan Antonio Yudicí</t>
  </si>
  <si>
    <t>osef Septien, D. Miguel Llaguno, D. Fernando Romero de Leis, en unión de D. Francisco Sánchez Ruiz, D. Juan Antonio Yudicí, D. Ignacio Barrencchea, D. Francisco Arispfc* y qualquier otro de la villa de Bilbao que tengan créditos contra dichos Señores, los presenten, en el término de 30 dias contados d</t>
  </si>
  <si>
    <t>Zaballa, Felipe</t>
  </si>
  <si>
    <t>Felipe Zaballa</t>
  </si>
  <si>
    <t>Aibarracin , á D* Josef Cortina; y para una Media-Ración de la Catedral de Calahorra, por muerte de D. Felipe Zaballa , á D. Pedro Nolasco Cabezón, Cura de la Parroquial de Quintanas-Rubias de Arriba y Quintanas-Rubias de Abaxo, Diócesi de Osma. S. M. se ha servido nombrar para una Canongía de la</t>
  </si>
  <si>
    <t>Zacarías de Malcorray Azanza, Antonio</t>
  </si>
  <si>
    <t>Antonio Zacarías de Malcorray Azanza</t>
  </si>
  <si>
    <t>ses. Del comercio dedos Romanos desde la primera guerra de Cartago hasta Constantino, el Magno, por D. Antonio Zacarías de Malcorray Azanza,. Secretario en la clase de Artes y Oficios de la Real Sociedad económica de Valiacjolid:: un tomo en folió mayor. Se: hallará en la librería de Ximenez„ caños, del Peral, y en Va</t>
  </si>
  <si>
    <t>Zach, General</t>
  </si>
  <si>
    <t>General Zach</t>
  </si>
  <si>
    <t>a llegado allí un navio de línea y varios otros buques Rusos, cuyos Capitanes traen pliegos para el General Zach. GRAN BRETAÑA. Londres 4 de Octubre. Mr. Grenville ha comunicado al Lord Corregidor el aviso que sigue; ,, Almirantazgo á j de Octubre a la una de la tarde. Milord, tengo la satis</t>
  </si>
  <si>
    <t>Zapata, Pablo Antonio</t>
  </si>
  <si>
    <t>Pablo Antonio Zapata</t>
  </si>
  <si>
    <t>naceli: para la Ración, vacante en la Catedral de Avila por fallecimiento de Don Vicente Escrich, á D. Pablo Antonio Zapata, Colector general del Obispado de Plasencia: para el Beneficio simple de la Parroquia del lugar de Montuenga, Diócesi de Sigiienza, vacante por muerte de D. Josef Azcona, á D. Man</t>
  </si>
  <si>
    <t>Zapiain, Miguel</t>
  </si>
  <si>
    <t>Miguel Zapiain</t>
  </si>
  <si>
    <t>6 de Setiembre del año próximo pasado falleció en esta Corte el Capitán de Navio de la Real Armada D. Miguel Zapiain, dexando por herederos á su viuda Doña Antonia Ventura Camino y á su hijo D. Miguel; y conviniéndole á dicha su viuda que no se cobren ni paguen recibos que correspondan á la test</t>
  </si>
  <si>
    <t>uadalaxara Don Mariano Roxo: Compañía en el Inmemorial del Rey al Ayudante, gradua-r do de Capitán, D. Miguel Zapiain: Ayudantía en el de infantería de la Corona al Teniente, graduado de Capitán, D. Alonso Fernandez; y Subtenencia de bandera en el de Irlanda al Cadete D. Tomas Naghten. En el Regi</t>
  </si>
  <si>
    <t>Zaragoza, Manuel</t>
  </si>
  <si>
    <t>Manuel Zaragoza</t>
  </si>
  <si>
    <t>egimiento de infantería de Córdoba se ha servido el Rey promover á Subteniente de bandera al Cadete D. Manuel Zaragoza. En América. En el Regimiento de infantería de la Havana se ha dignado S. M. promover á Capitanes á D. Juan Serrano y D. Juan Montes, Teniente y Ayudante del mismo cuerpo; á Ayuda</t>
  </si>
  <si>
    <t>Zarza, Vicente</t>
  </si>
  <si>
    <t>Vicente Zarza</t>
  </si>
  <si>
    <t>los de Valladolíd y Avila al agregado en dicha clase D. Antonio Velarde y al Teniente de granaderos D. Vicente Zarza: á Subteniente de granaderos del de Orense al de fusileros D. Alonso Tejada; y á Subtenientes de bandera de los de Avila, Toro y Soria á D. Pedro Antonio González, Don Antonio de</t>
  </si>
  <si>
    <t>Zauntzein, General</t>
  </si>
  <si>
    <t>General Zauntzein</t>
  </si>
  <si>
    <t>sin contar la guarnición. Sostuvo esta ciudad varios sitios, y entre otros uno en 1761 , quando el General Zauntzein defendió la plaza con tanto espíritu, que obligó á los Austríacos, acaudillados por el célebre General Laudon, á abandonar la empresa. Munich 2j de Noviembre. Se ha publicado un decr</t>
  </si>
  <si>
    <t>Zavadofsky, Conde</t>
  </si>
  <si>
    <t>Conde Zavadofsky</t>
  </si>
  <si>
    <t>to, el Conde StroganoíF, actual Embaxador en Londres. 4.0 Un Ministro de la Instrucción pública, el Conde Zavadofsky; substituto, el Consejero privado Mouravietf. 5.0 Un Ministro de Hacienda, el Conde Basiliéff; substituto, el Con* sejero privado GoloubzofF. 6.® Un Ministro del Comercio, el Cond</t>
  </si>
  <si>
    <t>Zavala, Antonio</t>
  </si>
  <si>
    <t>Antonio Zavala</t>
  </si>
  <si>
    <t>se ha dignado el Rey promover á Sargento mayor al Capitán D. Toríbio Acebal, á Tenientes al Alférez D. Antonio Zavala , y á los Sargentos primeros D. Josef Aramburu y D. lííadio Egoabíl; á Alféreces á ios Sargentos primeros D. Agustín Perez y D. Manuel Antonio Aldaco, y á Portaestandartes á D. Jo</t>
  </si>
  <si>
    <t>Zay</t>
  </si>
  <si>
    <t>7 casas y 300 personas: Lowertz mas de ico. La pérdida de ganado vacuno &amp;c. asciende á 600 cabezas. Mr. Zay, de Arth, regula la pérdida total á 1400 personas. El Consejero de Lucerna Mr. Genhard parte mañana para Schwitz. ITALIA. * : Ñapóles 25 de Agosto. . Considerando el Gobierno el m</t>
  </si>
  <si>
    <t>Zayonschek, General</t>
  </si>
  <si>
    <t>General Zayonschek</t>
  </si>
  <si>
    <t>á los Mariscales t ^ue el Emperador ha creado una Legión del Norte, que estará baxo las ordenes del General Zayonschek, y las dos terceras partes de los Oficiales han de ser Polacos. En su conseqíiencia, todos los desertores que lleguen á los diferentes puntos en que estuviese el exércíto, se envi</t>
  </si>
  <si>
    <t>Zea, Francisco Antonio</t>
  </si>
  <si>
    <t>Francisco Antonio Zea</t>
  </si>
  <si>
    <t>rden, comunicada por el Excmo. Sr. D. Pedro Gevallos, primer Secretario de Estado y del Despacho, á D. Francisco Antonio Zea , Gefe y primer Profesor deí Real J2r~ din Botánico de Madrid, la que entre otras disposiciones importantes, contiene en resúmen las siguientes: 1.a Se fundarán 24 establecimiento</t>
  </si>
  <si>
    <t>Zellger, Francisco</t>
  </si>
  <si>
    <t>Francisco Zellger</t>
  </si>
  <si>
    <t>l de Traxler Teniente de granaderos al de fusileros D. Remigio Kayser, y Subteniente de fusileros á D. Francisco Zellger: en el de Reding, num. 2.°, Subteniente de bandera al Cadete D. Sebastian Huber. En América. El Rey se ha dignado promover á Teniente Coronel del Regimiento de Milicias urbanas de</t>
  </si>
  <si>
    <t>en* te D. Josef Ga jibán f'y en el de; Tráxler Tenencias de granaderos á los Tenientes de fusileros D. Francisco Zellger y D‘. Víctor Akermam En el Regimiento de caballería de la Reyna se ha dignado S. M. conceder empleo, de Alférez al Portaestandarte D. Josef de Aranda : en el de Santiago Tenencia al A</t>
  </si>
  <si>
    <t>Zeno, Bernardo</t>
  </si>
  <si>
    <t>Bernardo Zeno</t>
  </si>
  <si>
    <t>z; á Capitanes Jos Tenientes D. Josef María Ramírez, D. Francisco Rodríguez, D. Josef Guiordanengo, D. Bernardo Zeno y D. Francisco Fernandez; los tres primeros de granaderos ; á Tenientes de granaderos los de fusileros D- Francisco Díaz, D. Miguel Augusto y D. Alonso Velez; á Tenientes el agregado</t>
  </si>
  <si>
    <t>Zenzauo, Ignacio</t>
  </si>
  <si>
    <t>Ignacio Zenzauo</t>
  </si>
  <si>
    <t>es dirigirán los memoriales, con expresión de sus méritos, hasta el dia i.° de Noviembre próximo, á Don Ignacio Zenzauo, Procurador Síndico general de dicha viila,y al Lie. D. Josef Zapatero Rosado, Diputado del común. Grandezas y excelencias de !a Virgen nuestra Señora, compuestas en octava ríina</t>
  </si>
  <si>
    <t>Zeune</t>
  </si>
  <si>
    <t>hacer otros relativos á la 'teórica del Dr. Benzenberg sobre la caída de los cuerpos, á ruegos del Dr. Zeune, que es quien comunica estas noticias en el periódico titulado Frey~ ■ müthige ó el Sincero___Entre los manuscritos preciosos trasladados de la biblioteca del Cabildo de Bamberg á</t>
  </si>
  <si>
    <t>Zinsheimer</t>
  </si>
  <si>
    <t>han pronunciado tres discursos por tres Rabinos: uno en Francés por Mr. Audlad; otro en Alemán por Mr. Zinsheimer; y el tercero en Italiano por Mr. Segre-.íEsté último acaba de-darse á luz, con la traducción Francesa, por la Señorá,Julia Teodora Cerf-Berr, hija de uno de los Diputados. Este,</t>
  </si>
  <si>
    <t>Zosaya, Francisco</t>
  </si>
  <si>
    <t>Francisco Zosaya</t>
  </si>
  <si>
    <t>fusileros D. Tuis de Vera y D. Domingo Urquizabaso; á Subtenientes dg ,com-, pama á ios de bandera D. Francisco Zosaya, D. Joaquín Árt-acho,, p. Josef Alaría N oriega y D. Franciscp Xavier de Andrade, y a Subtenientes, dex bandera á D. Manuel Quirós, D. Joaquín Madrid y D.? Salvador Artacho.,. El</t>
  </si>
  <si>
    <t>Fuentes y criterio de elaboración</t>
  </si>
  <si>
    <t>Páginas impresas</t>
  </si>
  <si>
    <t>Registros</t>
  </si>
  <si>
    <t>Fascículo oficial (PDF)</t>
  </si>
  <si>
    <t>1–12</t>
  </si>
  <si>
    <t>13–20</t>
  </si>
  <si>
    <t>21–28</t>
  </si>
  <si>
    <t>29–40</t>
  </si>
  <si>
    <t>41–44</t>
  </si>
  <si>
    <t>45–56</t>
  </si>
  <si>
    <t>57–68</t>
  </si>
  <si>
    <t>69–76</t>
  </si>
  <si>
    <t>77–84</t>
  </si>
  <si>
    <t>85–92</t>
  </si>
  <si>
    <t>93–100</t>
  </si>
  <si>
    <t>101–108</t>
  </si>
  <si>
    <t>109–116</t>
  </si>
  <si>
    <t>117–124</t>
  </si>
  <si>
    <t>125–136</t>
  </si>
  <si>
    <t>137–144</t>
  </si>
  <si>
    <t>145–152</t>
  </si>
  <si>
    <t>153–164</t>
  </si>
  <si>
    <t>165–176</t>
  </si>
  <si>
    <t>177–188</t>
  </si>
  <si>
    <t>189–200</t>
  </si>
  <si>
    <t>201–212</t>
  </si>
  <si>
    <t>213–224</t>
  </si>
  <si>
    <t>225–236</t>
  </si>
  <si>
    <t>237–248</t>
  </si>
  <si>
    <t>249–260</t>
  </si>
  <si>
    <t>261–272</t>
  </si>
  <si>
    <t>273–280</t>
  </si>
  <si>
    <t>281–288</t>
  </si>
  <si>
    <t>289–296</t>
  </si>
  <si>
    <t>297–308</t>
  </si>
  <si>
    <t>309–320</t>
  </si>
  <si>
    <t>321–328</t>
  </si>
  <si>
    <t>329–336</t>
  </si>
  <si>
    <t>337–344</t>
  </si>
  <si>
    <t>345–352</t>
  </si>
  <si>
    <t>353–364</t>
  </si>
  <si>
    <t>365–376</t>
  </si>
  <si>
    <t>377–388</t>
  </si>
  <si>
    <t>389–400</t>
  </si>
  <si>
    <t>401–412</t>
  </si>
  <si>
    <t>413–424</t>
  </si>
  <si>
    <t>425–436</t>
  </si>
  <si>
    <t>437–448</t>
  </si>
  <si>
    <t>449–460</t>
  </si>
  <si>
    <t>461–472</t>
  </si>
  <si>
    <t>473–480</t>
  </si>
  <si>
    <t>47 (supl.)</t>
  </si>
  <si>
    <t>481–488</t>
  </si>
  <si>
    <t>489–500</t>
  </si>
  <si>
    <t>501–508</t>
  </si>
  <si>
    <t>509–520</t>
  </si>
  <si>
    <t>521–532</t>
  </si>
  <si>
    <t>533–544</t>
  </si>
  <si>
    <t>545–556</t>
  </si>
  <si>
    <t>557–564</t>
  </si>
  <si>
    <t>565–576</t>
  </si>
  <si>
    <t>577–588</t>
  </si>
  <si>
    <t>589–596</t>
  </si>
  <si>
    <t>597–604</t>
  </si>
  <si>
    <t>605–616</t>
  </si>
  <si>
    <t>617–628</t>
  </si>
  <si>
    <t>629–640</t>
  </si>
  <si>
    <t>641–652</t>
  </si>
  <si>
    <t>653–664</t>
  </si>
  <si>
    <t>665–672</t>
  </si>
  <si>
    <t>673–684</t>
  </si>
  <si>
    <t>685–692</t>
  </si>
  <si>
    <t>693–704</t>
  </si>
  <si>
    <t>705–712</t>
  </si>
  <si>
    <t>68 (supl.)</t>
  </si>
  <si>
    <t>sin numerar (2 págs. PDF)</t>
  </si>
  <si>
    <t>713–724</t>
  </si>
  <si>
    <t>725–732</t>
  </si>
  <si>
    <t>733–740</t>
  </si>
  <si>
    <t>71 (supl.)</t>
  </si>
  <si>
    <t>sin numerar (8 págs. PDF)</t>
  </si>
  <si>
    <t>741–752</t>
  </si>
  <si>
    <t>753–760</t>
  </si>
  <si>
    <t>761–768</t>
  </si>
  <si>
    <t>74 (supl.)</t>
  </si>
  <si>
    <t>sin numerar (4 págs. PDF)</t>
  </si>
  <si>
    <t>769–780</t>
  </si>
  <si>
    <t>781–788</t>
  </si>
  <si>
    <t>789–796</t>
  </si>
  <si>
    <t>797–808</t>
  </si>
  <si>
    <t>809–820</t>
  </si>
  <si>
    <t>821–832</t>
  </si>
  <si>
    <t>833–840</t>
  </si>
  <si>
    <t>841–852</t>
  </si>
  <si>
    <t>853–864</t>
  </si>
  <si>
    <t>865–872</t>
  </si>
  <si>
    <t>84 (supl.)</t>
  </si>
  <si>
    <t>873–884</t>
  </si>
  <si>
    <t>885–892</t>
  </si>
  <si>
    <t>893–904</t>
  </si>
  <si>
    <t>905–912</t>
  </si>
  <si>
    <t>913–924</t>
  </si>
  <si>
    <t>89 (supl.)</t>
  </si>
  <si>
    <t>925–936</t>
  </si>
  <si>
    <t>90 (supl.)</t>
  </si>
  <si>
    <t>937–948</t>
  </si>
  <si>
    <t>91 (supl.)</t>
  </si>
  <si>
    <t>949–964</t>
  </si>
  <si>
    <t>92 (supl.)</t>
  </si>
  <si>
    <t>965–980</t>
  </si>
  <si>
    <t>93 (supl.)</t>
  </si>
  <si>
    <t>sin numerar (6 págs. PDF)</t>
  </si>
  <si>
    <t>981–992</t>
  </si>
  <si>
    <t>993–1008</t>
  </si>
  <si>
    <t>1009–1020</t>
  </si>
  <si>
    <t>1021–1032</t>
  </si>
  <si>
    <t>1033–1044</t>
  </si>
  <si>
    <t>1045–1056</t>
  </si>
  <si>
    <t>1057–1068</t>
  </si>
  <si>
    <t>1069–1076</t>
  </si>
  <si>
    <t>1077–1088</t>
  </si>
  <si>
    <t>1089–1100</t>
  </si>
  <si>
    <t>1101–1112</t>
  </si>
  <si>
    <t>1113–1116</t>
  </si>
  <si>
    <t>1117–1124</t>
  </si>
  <si>
    <t>1125–1132</t>
  </si>
  <si>
    <t>Alcance</t>
  </si>
  <si>
    <t>Índice de personas citadas en los 107 números y sus documentos asociados publicados durante el año 1806.</t>
  </si>
  <si>
    <t>Cobertura</t>
  </si>
  <si>
    <t>Periodo solicitado: 1 de enero–31 de diciembre de 1806. La Gazeta publicó el número 1 el 3 de enero y el número 107 el 30 de diciembre.</t>
  </si>
  <si>
    <t>Documentos</t>
  </si>
  <si>
    <t>Se han procesado 117 PDF: 107 números —2 extraordinarios— y 10 suplementos o documentos asociados.</t>
  </si>
  <si>
    <t>Paginación</t>
  </si>
  <si>
    <t>La numeración principal llega a la página 1132. El suplemento del número 47 continúa la paginación general en las páginas 481–488.</t>
  </si>
  <si>
    <t>Facsímiles</t>
  </si>
  <si>
    <t>Varios suplementos reúnen más páginas impresas que imágenes PDF; la hoja de fuentes conserva el rango impreso y cada registro enlaza con la imagen PDF correspondiente.</t>
  </si>
  <si>
    <t>Suplementos independientes</t>
  </si>
  <si>
    <t>Los documentos asociados a los números 68, 71, 74, 84, 89, 90, 91, 92 y 93 tienen paginación independiente y se indican por página del PDF.</t>
  </si>
  <si>
    <t>Listas numéricas</t>
  </si>
  <si>
    <t>Los suplementos de los números 89–93 continúan una relación de números y premios; no generan registros onomásticos cuando no contienen nombres personales.</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</si>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</sst>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ont>
    <font>
      <sz val="11"/>
      <color rgb="FFFFFFFF"/>
      <name val="Aptos"/>
    </font>
    <font>
      <b/>
      <sz val="10"/>
      <color rgb="FF17365D"/>
      <name val="Aptos"/>
    </font>
    <font>
      <i/>
      <sz val="10"/>
      <color rgb="FF7F6000"/>
      <name val="Aptos"/>
    </font>
    <font>
      <b/>
      <sz val="10"/>
      <color rgb="FFFFFFFF"/>
      <name val="Aptos"/>
    </font>
    <font>
      <sz val="9"/>
      <name val="Aptos"/>
    </font>
    <font>
      <sz val="9"/>
      <color rgb="FF0563C1"/>
      <name val="Aptos"/>
    </font>
    <font>
      <sz val="10"/>
      <name val="Aptos"/>
    </font>
    <font>
      <sz val="10"/>
      <color rgb="FF0563C1"/>
      <name val="Aptos"/>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6" displayName="IndiceOnomasticoAnual1806" ref="A6:K5801" totalsRowShown="0">
  <autoFilter ref="A6:K5801"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6" displayName="FuentesGacetaAnual1806" ref="A3:E120" totalsRowShown="0">
  <autoFilter ref="A3:E120"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5801"/>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1.95"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4.049999999999997"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16</v>
      </c>
      <c r="C7" s="3" t="s">
        <v>17</v>
      </c>
      <c r="D7" s="3" t="s">
        <v>18</v>
      </c>
      <c r="E7" s="3" t="s">
        <v>19</v>
      </c>
      <c r="F7" s="8">
        <v>3</v>
      </c>
      <c r="G7" s="8">
        <v>28</v>
      </c>
      <c r="H7" s="3" t="s">
        <v>20</v>
      </c>
      <c r="I7" s="3" t="s">
        <v>21</v>
      </c>
      <c r="J7" s="11" t="str">
        <f>HYPERLINK("https://www.boe.es/gazeta/dias/1806/01/10/pdfs/GMD-1806-3.pdf#page=8","Abrir facsímil")</f>
        <v>Abrir facsímil</v>
      </c>
      <c r="K7" s="14" t="s">
        <v>22</v>
      </c>
    </row>
    <row r="8" spans="1:11" ht="42" customHeight="1">
      <c r="A8" s="4" t="s">
        <v>23</v>
      </c>
      <c r="B8" s="5" t="s">
        <v>23</v>
      </c>
      <c r="C8" s="5" t="s">
        <v>17</v>
      </c>
      <c r="D8" s="5" t="s">
        <v>18</v>
      </c>
      <c r="E8" s="5" t="s">
        <v>24</v>
      </c>
      <c r="F8" s="9">
        <v>32</v>
      </c>
      <c r="G8" s="9">
        <v>319</v>
      </c>
      <c r="H8" s="5" t="s">
        <v>20</v>
      </c>
      <c r="I8" s="5" t="s">
        <v>25</v>
      </c>
      <c r="J8" s="12" t="str">
        <f>HYPERLINK("https://www.boe.es/gazeta/dias/1806/04/15/pdfs/GMD-1806-32.pdf#page=11","Abrir facsímil")</f>
        <v>Abrir facsímil</v>
      </c>
      <c r="K8" s="15" t="s">
        <v>22</v>
      </c>
    </row>
    <row r="9" spans="1:11" ht="42" customHeight="1">
      <c r="A9" s="4" t="s">
        <v>23</v>
      </c>
      <c r="B9" s="5" t="s">
        <v>23</v>
      </c>
      <c r="C9" s="5" t="s">
        <v>17</v>
      </c>
      <c r="D9" s="5" t="s">
        <v>18</v>
      </c>
      <c r="E9" s="5" t="s">
        <v>26</v>
      </c>
      <c r="F9" s="9">
        <v>65</v>
      </c>
      <c r="G9" s="9">
        <v>684</v>
      </c>
      <c r="H9" s="5" t="s">
        <v>20</v>
      </c>
      <c r="I9" s="5" t="s">
        <v>27</v>
      </c>
      <c r="J9" s="12" t="str">
        <f>HYPERLINK("https://www.boe.es/gazeta/dias/1806/08/08/pdfs/GMD-1806-65.pdf#page=12","Abrir facsímil")</f>
        <v>Abrir facsímil</v>
      </c>
      <c r="K9" s="15" t="s">
        <v>22</v>
      </c>
    </row>
    <row r="10" spans="1:11" ht="42" customHeight="1">
      <c r="A10" s="4" t="s">
        <v>23</v>
      </c>
      <c r="B10" s="5" t="s">
        <v>23</v>
      </c>
      <c r="C10" s="5" t="s">
        <v>17</v>
      </c>
      <c r="D10" s="5" t="s">
        <v>18</v>
      </c>
      <c r="E10" s="5" t="s">
        <v>28</v>
      </c>
      <c r="F10" s="9">
        <v>102</v>
      </c>
      <c r="G10" s="9">
        <v>1088</v>
      </c>
      <c r="H10" s="5" t="s">
        <v>20</v>
      </c>
      <c r="I10" s="5" t="s">
        <v>29</v>
      </c>
      <c r="J10" s="12" t="str">
        <f>HYPERLINK("https://www.boe.es/gazeta/dias/1806/12/16/pdfs/GMD-1806-102.pdf#page=12","Abrir facsímil")</f>
        <v>Abrir facsímil</v>
      </c>
      <c r="K10" s="15" t="s">
        <v>22</v>
      </c>
    </row>
    <row r="11" spans="1:11" ht="42" customHeight="1">
      <c r="A11" s="4" t="s">
        <v>30</v>
      </c>
      <c r="B11" s="5" t="s">
        <v>30</v>
      </c>
      <c r="C11" s="5" t="s">
        <v>31</v>
      </c>
      <c r="D11" s="5" t="s">
        <v>32</v>
      </c>
      <c r="E11" s="5" t="s">
        <v>33</v>
      </c>
      <c r="F11" s="9">
        <v>82</v>
      </c>
      <c r="G11" s="9">
        <v>852</v>
      </c>
      <c r="H11" s="5" t="s">
        <v>20</v>
      </c>
      <c r="I11" s="5" t="s">
        <v>34</v>
      </c>
      <c r="J11" s="12" t="str">
        <f>HYPERLINK("https://www.boe.es/gazeta/dias/1806/10/07/pdfs/GMD-1806-82.pdf#page=12","Abrir facsímil")</f>
        <v>Abrir facsímil</v>
      </c>
      <c r="K11" s="15" t="s">
        <v>22</v>
      </c>
    </row>
    <row r="12" spans="1:11" ht="42" customHeight="1">
      <c r="A12" s="4" t="s">
        <v>35</v>
      </c>
      <c r="B12" s="5" t="s">
        <v>35</v>
      </c>
      <c r="C12" s="5" t="s">
        <v>36</v>
      </c>
      <c r="D12" s="5" t="s">
        <v>37</v>
      </c>
      <c r="E12" s="5" t="s">
        <v>38</v>
      </c>
      <c r="F12" s="9">
        <v>92</v>
      </c>
      <c r="G12" s="9">
        <v>964</v>
      </c>
      <c r="H12" s="5" t="s">
        <v>20</v>
      </c>
      <c r="I12" s="5" t="s">
        <v>39</v>
      </c>
      <c r="J12" s="12" t="str">
        <f>HYPERLINK("https://www.boe.es/gazeta/dias/1806/11/11/pdfs/GMD-1806-92.pdf#page=16","Abrir facsímil")</f>
        <v>Abrir facsímil</v>
      </c>
      <c r="K12" s="15" t="s">
        <v>22</v>
      </c>
    </row>
    <row r="13" spans="1:11" ht="42" customHeight="1">
      <c r="A13" s="4" t="s">
        <v>40</v>
      </c>
      <c r="B13" s="5" t="s">
        <v>41</v>
      </c>
      <c r="C13" s="5" t="s">
        <v>42</v>
      </c>
      <c r="D13" s="5" t="s">
        <v>43</v>
      </c>
      <c r="E13" s="5" t="s">
        <v>44</v>
      </c>
      <c r="F13" s="9">
        <v>42</v>
      </c>
      <c r="G13" s="9">
        <v>421</v>
      </c>
      <c r="H13" s="5" t="s">
        <v>20</v>
      </c>
      <c r="I13" s="5" t="s">
        <v>45</v>
      </c>
      <c r="J13" s="12" t="str">
        <f>HYPERLINK("https://www.boe.es/gazeta/dias/1806/05/20/pdfs/GMD-1806-42.pdf#page=9","Abrir facsímil")</f>
        <v>Abrir facsímil</v>
      </c>
      <c r="K13" s="15" t="s">
        <v>22</v>
      </c>
    </row>
    <row r="14" spans="1:11" ht="42" customHeight="1">
      <c r="A14" s="4" t="s">
        <v>46</v>
      </c>
      <c r="B14" s="5" t="s">
        <v>47</v>
      </c>
      <c r="C14" s="5" t="s">
        <v>42</v>
      </c>
      <c r="D14" s="5" t="s">
        <v>43</v>
      </c>
      <c r="E14" s="5" t="s">
        <v>48</v>
      </c>
      <c r="F14" s="9">
        <v>67</v>
      </c>
      <c r="G14" s="9">
        <v>702</v>
      </c>
      <c r="H14" s="5" t="s">
        <v>20</v>
      </c>
      <c r="I14" s="5" t="s">
        <v>49</v>
      </c>
      <c r="J14" s="12" t="str">
        <f>HYPERLINK("https://www.boe.es/gazeta/dias/1806/08/15/pdfs/GMD-1806-67.pdf#page=10","Abrir facsímil")</f>
        <v>Abrir facsímil</v>
      </c>
      <c r="K14" s="15" t="s">
        <v>22</v>
      </c>
    </row>
    <row r="15" spans="1:11" ht="42" customHeight="1">
      <c r="A15" s="4" t="s">
        <v>50</v>
      </c>
      <c r="B15" s="5" t="s">
        <v>50</v>
      </c>
      <c r="C15" s="5" t="s">
        <v>17</v>
      </c>
      <c r="D15" s="5" t="s">
        <v>18</v>
      </c>
      <c r="E15" s="5" t="s">
        <v>51</v>
      </c>
      <c r="F15" s="9">
        <v>44</v>
      </c>
      <c r="G15" s="9">
        <v>448</v>
      </c>
      <c r="H15" s="5" t="s">
        <v>20</v>
      </c>
      <c r="I15" s="5" t="s">
        <v>52</v>
      </c>
      <c r="J15" s="12" t="str">
        <f>HYPERLINK("https://www.boe.es/gazeta/dias/1806/05/27/pdfs/GMD-1806-44.pdf#page=12","Abrir facsímil")</f>
        <v>Abrir facsímil</v>
      </c>
      <c r="K15" s="15" t="s">
        <v>22</v>
      </c>
    </row>
    <row r="16" spans="1:11" ht="42" customHeight="1">
      <c r="A16" s="4" t="s">
        <v>53</v>
      </c>
      <c r="B16" s="5" t="s">
        <v>54</v>
      </c>
      <c r="C16" s="5" t="s">
        <v>17</v>
      </c>
      <c r="D16" s="5" t="s">
        <v>18</v>
      </c>
      <c r="E16" s="5" t="s">
        <v>55</v>
      </c>
      <c r="F16" s="9">
        <v>20</v>
      </c>
      <c r="G16" s="9">
        <v>183</v>
      </c>
      <c r="H16" s="5" t="s">
        <v>20</v>
      </c>
      <c r="I16" s="5" t="s">
        <v>56</v>
      </c>
      <c r="J16" s="12" t="str">
        <f>HYPERLINK("https://www.boe.es/gazeta/dias/1806/03/04/pdfs/GMD-1806-20.pdf#page=7","Abrir facsímil")</f>
        <v>Abrir facsímil</v>
      </c>
      <c r="K16" s="15" t="s">
        <v>22</v>
      </c>
    </row>
    <row r="17" spans="1:11" ht="42" customHeight="1">
      <c r="A17" s="4" t="s">
        <v>57</v>
      </c>
      <c r="B17" s="5" t="s">
        <v>58</v>
      </c>
      <c r="C17" s="5" t="s">
        <v>31</v>
      </c>
      <c r="D17" s="5" t="s">
        <v>32</v>
      </c>
      <c r="E17" s="5" t="s">
        <v>59</v>
      </c>
      <c r="F17" s="9">
        <v>21</v>
      </c>
      <c r="G17" s="9">
        <v>198</v>
      </c>
      <c r="H17" s="5" t="s">
        <v>20</v>
      </c>
      <c r="I17" s="5" t="s">
        <v>60</v>
      </c>
      <c r="J17" s="12" t="str">
        <f>HYPERLINK("https://www.boe.es/gazeta/dias/1806/03/07/pdfs/GMD-1806-21.pdf#page=10","Abrir facsímil")</f>
        <v>Abrir facsímil</v>
      </c>
      <c r="K17" s="15" t="s">
        <v>22</v>
      </c>
    </row>
    <row r="18" spans="1:11" ht="42" customHeight="1">
      <c r="A18" s="4" t="s">
        <v>61</v>
      </c>
      <c r="B18" s="5" t="s">
        <v>61</v>
      </c>
      <c r="C18" s="5" t="s">
        <v>17</v>
      </c>
      <c r="D18" s="5" t="s">
        <v>18</v>
      </c>
      <c r="E18" s="5" t="s">
        <v>62</v>
      </c>
      <c r="F18" s="9">
        <v>45</v>
      </c>
      <c r="G18" s="9">
        <v>456</v>
      </c>
      <c r="H18" s="5" t="s">
        <v>20</v>
      </c>
      <c r="I18" s="5" t="s">
        <v>63</v>
      </c>
      <c r="J18" s="12" t="str">
        <f>HYPERLINK("https://www.boe.es/gazeta/dias/1806/05/30/pdfs/GMD-1806-45.pdf#page=8","Abrir facsímil")</f>
        <v>Abrir facsímil</v>
      </c>
      <c r="K18" s="15" t="s">
        <v>22</v>
      </c>
    </row>
    <row r="19" spans="1:11" ht="42" customHeight="1">
      <c r="A19" s="4" t="s">
        <v>64</v>
      </c>
      <c r="B19" s="5" t="s">
        <v>65</v>
      </c>
      <c r="C19" s="5" t="s">
        <v>42</v>
      </c>
      <c r="D19" s="5" t="s">
        <v>43</v>
      </c>
      <c r="E19" s="5" t="s">
        <v>33</v>
      </c>
      <c r="F19" s="9">
        <v>82</v>
      </c>
      <c r="G19" s="9">
        <v>850</v>
      </c>
      <c r="H19" s="5" t="s">
        <v>20</v>
      </c>
      <c r="I19" s="5" t="s">
        <v>66</v>
      </c>
      <c r="J19" s="12" t="str">
        <f>HYPERLINK("https://www.boe.es/gazeta/dias/1806/10/07/pdfs/GMD-1806-82.pdf#page=10","Abrir facsímil")</f>
        <v>Abrir facsímil</v>
      </c>
      <c r="K19" s="15" t="s">
        <v>22</v>
      </c>
    </row>
    <row r="20" spans="1:11" ht="42" customHeight="1">
      <c r="A20" s="4" t="s">
        <v>67</v>
      </c>
      <c r="B20" s="5" t="s">
        <v>68</v>
      </c>
      <c r="C20" s="5" t="s">
        <v>69</v>
      </c>
      <c r="D20" s="5" t="s">
        <v>70</v>
      </c>
      <c r="E20" s="5" t="s">
        <v>71</v>
      </c>
      <c r="F20" s="9">
        <v>29</v>
      </c>
      <c r="G20" s="9">
        <v>284</v>
      </c>
      <c r="H20" s="5" t="s">
        <v>20</v>
      </c>
      <c r="I20" s="5" t="s">
        <v>72</v>
      </c>
      <c r="J20" s="12" t="str">
        <f>HYPERLINK("https://www.boe.es/gazeta/dias/1806/04/04/pdfs/GMD-1806-29.pdf#page=4","Abrir facsímil")</f>
        <v>Abrir facsímil</v>
      </c>
      <c r="K20" s="15" t="s">
        <v>22</v>
      </c>
    </row>
    <row r="21" spans="1:11" ht="42" customHeight="1">
      <c r="A21" s="4" t="s">
        <v>73</v>
      </c>
      <c r="B21" s="5" t="s">
        <v>74</v>
      </c>
      <c r="C21" s="5" t="s">
        <v>75</v>
      </c>
      <c r="D21" s="5" t="s">
        <v>43</v>
      </c>
      <c r="E21" s="5" t="s">
        <v>76</v>
      </c>
      <c r="F21" s="9">
        <v>98</v>
      </c>
      <c r="G21" s="9">
        <v>1034</v>
      </c>
      <c r="H21" s="5" t="s">
        <v>20</v>
      </c>
      <c r="I21" s="5" t="s">
        <v>77</v>
      </c>
      <c r="J21" s="12" t="str">
        <f>HYPERLINK("https://www.boe.es/gazeta/dias/1806/12/02/pdfs/GMD-1806-98.pdf#page=2","Abrir facsímil")</f>
        <v>Abrir facsímil</v>
      </c>
      <c r="K21" s="15" t="s">
        <v>22</v>
      </c>
    </row>
    <row r="22" spans="1:11" ht="42" customHeight="1">
      <c r="A22" s="4" t="s">
        <v>78</v>
      </c>
      <c r="B22" s="5" t="s">
        <v>78</v>
      </c>
      <c r="C22" s="5" t="s">
        <v>31</v>
      </c>
      <c r="D22" s="5" t="s">
        <v>32</v>
      </c>
      <c r="E22" s="5" t="s">
        <v>79</v>
      </c>
      <c r="F22" s="9">
        <v>68</v>
      </c>
      <c r="G22" s="9">
        <v>708</v>
      </c>
      <c r="H22" s="5" t="s">
        <v>20</v>
      </c>
      <c r="I22" s="5" t="s">
        <v>80</v>
      </c>
      <c r="J22" s="12" t="str">
        <f>HYPERLINK("https://www.boe.es/gazeta/dias/1806/08/19/pdfs/GMD-1806-68.pdf#page=4","Abrir facsímil")</f>
        <v>Abrir facsímil</v>
      </c>
      <c r="K22" s="15" t="s">
        <v>22</v>
      </c>
    </row>
    <row r="23" spans="1:11" ht="42" customHeight="1">
      <c r="A23" s="4" t="s">
        <v>81</v>
      </c>
      <c r="B23" s="5" t="s">
        <v>81</v>
      </c>
      <c r="C23" s="5" t="s">
        <v>36</v>
      </c>
      <c r="D23" s="5" t="s">
        <v>37</v>
      </c>
      <c r="E23" s="5" t="s">
        <v>82</v>
      </c>
      <c r="F23" s="9">
        <v>48</v>
      </c>
      <c r="G23" s="9">
        <v>499</v>
      </c>
      <c r="H23" s="5" t="s">
        <v>20</v>
      </c>
      <c r="I23" s="5" t="s">
        <v>83</v>
      </c>
      <c r="J23" s="12" t="str">
        <f>HYPERLINK("https://www.boe.es/gazeta/dias/1806/06/10/pdfs/GMD-1806-48.pdf#page=11","Abrir facsímil")</f>
        <v>Abrir facsímil</v>
      </c>
      <c r="K23" s="15" t="s">
        <v>22</v>
      </c>
    </row>
    <row r="24" spans="1:11" ht="42" customHeight="1">
      <c r="A24" s="4" t="s">
        <v>84</v>
      </c>
      <c r="B24" s="5" t="s">
        <v>85</v>
      </c>
      <c r="C24" s="5" t="s">
        <v>31</v>
      </c>
      <c r="D24" s="5" t="s">
        <v>32</v>
      </c>
      <c r="E24" s="5" t="s">
        <v>86</v>
      </c>
      <c r="F24" s="9">
        <v>53</v>
      </c>
      <c r="G24" s="9">
        <v>552</v>
      </c>
      <c r="H24" s="5" t="s">
        <v>20</v>
      </c>
      <c r="I24" s="5" t="s">
        <v>87</v>
      </c>
      <c r="J24" s="12" t="str">
        <f>HYPERLINK("https://www.boe.es/gazeta/dias/1806/06/27/pdfs/GMD-1806-53.pdf#page=8","Abrir facsímil")</f>
        <v>Abrir facsímil</v>
      </c>
      <c r="K24" s="15" t="s">
        <v>22</v>
      </c>
    </row>
    <row r="25" spans="1:11" ht="42" customHeight="1">
      <c r="A25" s="4" t="s">
        <v>88</v>
      </c>
      <c r="B25" s="5" t="s">
        <v>89</v>
      </c>
      <c r="C25" s="5" t="s">
        <v>75</v>
      </c>
      <c r="D25" s="5" t="s">
        <v>43</v>
      </c>
      <c r="E25" s="5" t="s">
        <v>90</v>
      </c>
      <c r="F25" s="9">
        <v>60</v>
      </c>
      <c r="G25" s="9">
        <v>623</v>
      </c>
      <c r="H25" s="5" t="s">
        <v>20</v>
      </c>
      <c r="I25" s="5" t="s">
        <v>91</v>
      </c>
      <c r="J25" s="12" t="str">
        <f>HYPERLINK("https://www.boe.es/gazeta/dias/1806/07/22/pdfs/GMD-1806-60.pdf#page=7","Abrir facsímil")</f>
        <v>Abrir facsímil</v>
      </c>
      <c r="K25" s="15" t="s">
        <v>22</v>
      </c>
    </row>
    <row r="26" spans="1:11" ht="42" customHeight="1">
      <c r="A26" s="4" t="s">
        <v>92</v>
      </c>
      <c r="B26" s="5" t="s">
        <v>92</v>
      </c>
      <c r="C26" s="5" t="s">
        <v>69</v>
      </c>
      <c r="D26" s="5" t="s">
        <v>70</v>
      </c>
      <c r="E26" s="5" t="s">
        <v>93</v>
      </c>
      <c r="F26" s="9">
        <v>72</v>
      </c>
      <c r="G26" s="9">
        <v>741</v>
      </c>
      <c r="H26" s="5" t="s">
        <v>20</v>
      </c>
      <c r="I26" s="5" t="s">
        <v>94</v>
      </c>
      <c r="J26" s="12" t="str">
        <f>HYPERLINK("https://www.boe.es/gazeta/dias/1806/09/02/pdfs/GMD-1806-72.pdf#page=1","Abrir facsímil")</f>
        <v>Abrir facsímil</v>
      </c>
      <c r="K26" s="15" t="s">
        <v>22</v>
      </c>
    </row>
    <row r="27" spans="1:11" ht="42" customHeight="1">
      <c r="A27" s="4" t="s">
        <v>95</v>
      </c>
      <c r="B27" s="5" t="s">
        <v>95</v>
      </c>
      <c r="C27" s="5" t="s">
        <v>69</v>
      </c>
      <c r="D27" s="5" t="s">
        <v>70</v>
      </c>
      <c r="E27" s="5" t="s">
        <v>96</v>
      </c>
      <c r="F27" s="9">
        <v>62</v>
      </c>
      <c r="G27" s="9">
        <v>643</v>
      </c>
      <c r="H27" s="5" t="s">
        <v>20</v>
      </c>
      <c r="I27" s="5" t="s">
        <v>97</v>
      </c>
      <c r="J27" s="12" t="str">
        <f>HYPERLINK("https://www.boe.es/gazeta/dias/1806/07/29/pdfs/GMD-1806-62.pdf#page=3","Abrir facsímil")</f>
        <v>Abrir facsímil</v>
      </c>
      <c r="K27" s="15" t="s">
        <v>22</v>
      </c>
    </row>
    <row r="28" spans="1:11" ht="42" customHeight="1">
      <c r="A28" s="4" t="s">
        <v>98</v>
      </c>
      <c r="B28" s="5" t="s">
        <v>99</v>
      </c>
      <c r="C28" s="5" t="s">
        <v>36</v>
      </c>
      <c r="D28" s="5" t="s">
        <v>37</v>
      </c>
      <c r="E28" s="5" t="s">
        <v>100</v>
      </c>
      <c r="F28" s="9">
        <v>7</v>
      </c>
      <c r="G28" s="9">
        <v>66</v>
      </c>
      <c r="H28" s="5" t="s">
        <v>20</v>
      </c>
      <c r="I28" s="5" t="s">
        <v>101</v>
      </c>
      <c r="J28" s="12" t="str">
        <f>HYPERLINK("https://www.boe.es/gazeta/dias/1806/01/21/pdfs/GMD-1806-7.pdf#page=10","Abrir facsímil")</f>
        <v>Abrir facsímil</v>
      </c>
      <c r="K28" s="15" t="s">
        <v>22</v>
      </c>
    </row>
    <row r="29" spans="1:11" ht="42" customHeight="1">
      <c r="A29" s="4" t="s">
        <v>102</v>
      </c>
      <c r="B29" s="5" t="s">
        <v>102</v>
      </c>
      <c r="C29" s="5" t="s">
        <v>31</v>
      </c>
      <c r="D29" s="5" t="s">
        <v>32</v>
      </c>
      <c r="E29" s="5" t="s">
        <v>103</v>
      </c>
      <c r="F29" s="9">
        <v>61</v>
      </c>
      <c r="G29" s="9">
        <v>635</v>
      </c>
      <c r="H29" s="5" t="s">
        <v>20</v>
      </c>
      <c r="I29" s="5" t="s">
        <v>104</v>
      </c>
      <c r="J29" s="12" t="str">
        <f>HYPERLINK("https://www.boe.es/gazeta/dias/1806/07/25/pdfs/GMD-1806-61.pdf#page=7","Abrir facsímil")</f>
        <v>Abrir facsímil</v>
      </c>
      <c r="K29" s="15" t="s">
        <v>22</v>
      </c>
    </row>
    <row r="30" spans="1:11" ht="42" customHeight="1">
      <c r="A30" s="4" t="s">
        <v>105</v>
      </c>
      <c r="B30" s="5" t="s">
        <v>106</v>
      </c>
      <c r="C30" s="5" t="s">
        <v>31</v>
      </c>
      <c r="D30" s="5" t="s">
        <v>32</v>
      </c>
      <c r="E30" s="5" t="s">
        <v>76</v>
      </c>
      <c r="F30" s="9">
        <v>98</v>
      </c>
      <c r="G30" s="9">
        <v>1043</v>
      </c>
      <c r="H30" s="5" t="s">
        <v>20</v>
      </c>
      <c r="I30" s="5" t="s">
        <v>107</v>
      </c>
      <c r="J30" s="12" t="str">
        <f>HYPERLINK("https://www.boe.es/gazeta/dias/1806/12/02/pdfs/GMD-1806-98.pdf#page=11","Abrir facsímil")</f>
        <v>Abrir facsímil</v>
      </c>
      <c r="K30" s="15" t="s">
        <v>22</v>
      </c>
    </row>
    <row r="31" spans="1:11" ht="42" customHeight="1">
      <c r="A31" s="4" t="s">
        <v>108</v>
      </c>
      <c r="B31" s="5" t="s">
        <v>109</v>
      </c>
      <c r="C31" s="5" t="s">
        <v>75</v>
      </c>
      <c r="D31" s="5" t="s">
        <v>43</v>
      </c>
      <c r="E31" s="5" t="s">
        <v>110</v>
      </c>
      <c r="F31" s="9">
        <v>55</v>
      </c>
      <c r="G31" s="9">
        <v>575</v>
      </c>
      <c r="H31" s="5" t="s">
        <v>20</v>
      </c>
      <c r="I31" s="5" t="s">
        <v>111</v>
      </c>
      <c r="J31" s="12" t="str">
        <f>HYPERLINK("https://www.boe.es/gazeta/dias/1806/07/04/pdfs/GMD-1806-55.pdf#page=11","Abrir facsímil")</f>
        <v>Abrir facsímil</v>
      </c>
      <c r="K31" s="15" t="s">
        <v>22</v>
      </c>
    </row>
    <row r="32" spans="1:11" ht="42" customHeight="1">
      <c r="A32" s="4" t="s">
        <v>112</v>
      </c>
      <c r="B32" s="5" t="s">
        <v>112</v>
      </c>
      <c r="C32" s="5" t="s">
        <v>31</v>
      </c>
      <c r="D32" s="5" t="s">
        <v>32</v>
      </c>
      <c r="E32" s="5" t="s">
        <v>113</v>
      </c>
      <c r="F32" s="9">
        <v>28</v>
      </c>
      <c r="G32" s="9">
        <v>280</v>
      </c>
      <c r="H32" s="5" t="s">
        <v>20</v>
      </c>
      <c r="I32" s="5" t="s">
        <v>114</v>
      </c>
      <c r="J32" s="12" t="str">
        <f>HYPERLINK("https://www.boe.es/gazeta/dias/1806/04/01/pdfs/GMD-1806-28.pdf#page=8","Abrir facsímil")</f>
        <v>Abrir facsímil</v>
      </c>
      <c r="K32" s="15" t="s">
        <v>22</v>
      </c>
    </row>
    <row r="33" spans="1:11" ht="42" customHeight="1">
      <c r="A33" s="4" t="s">
        <v>115</v>
      </c>
      <c r="B33" s="5" t="s">
        <v>115</v>
      </c>
      <c r="C33" s="5" t="s">
        <v>69</v>
      </c>
      <c r="D33" s="5" t="s">
        <v>70</v>
      </c>
      <c r="E33" s="5" t="s">
        <v>62</v>
      </c>
      <c r="F33" s="9">
        <v>45</v>
      </c>
      <c r="G33" s="9">
        <v>454</v>
      </c>
      <c r="H33" s="5" t="s">
        <v>20</v>
      </c>
      <c r="I33" s="5" t="s">
        <v>116</v>
      </c>
      <c r="J33" s="12" t="str">
        <f>HYPERLINK("https://www.boe.es/gazeta/dias/1806/05/30/pdfs/GMD-1806-45.pdf#page=6","Abrir facsímil")</f>
        <v>Abrir facsímil</v>
      </c>
      <c r="K33" s="15" t="s">
        <v>22</v>
      </c>
    </row>
    <row r="34" spans="1:11" ht="42" customHeight="1">
      <c r="A34" s="4" t="s">
        <v>117</v>
      </c>
      <c r="B34" s="5" t="s">
        <v>117</v>
      </c>
      <c r="C34" s="5" t="s">
        <v>31</v>
      </c>
      <c r="D34" s="5" t="s">
        <v>32</v>
      </c>
      <c r="E34" s="5" t="s">
        <v>118</v>
      </c>
      <c r="F34" s="9">
        <v>15</v>
      </c>
      <c r="G34" s="9">
        <v>134</v>
      </c>
      <c r="H34" s="5" t="s">
        <v>20</v>
      </c>
      <c r="I34" s="5" t="s">
        <v>119</v>
      </c>
      <c r="J34" s="12" t="str">
        <f>HYPERLINK("https://www.boe.es/gazeta/dias/1806/02/14/pdfs/GMD-1806-15.pdf#page=10","Abrir facsímil")</f>
        <v>Abrir facsímil</v>
      </c>
      <c r="K34" s="15" t="s">
        <v>22</v>
      </c>
    </row>
    <row r="35" spans="1:11" ht="42" customHeight="1">
      <c r="A35" s="4" t="s">
        <v>120</v>
      </c>
      <c r="B35" s="5" t="s">
        <v>120</v>
      </c>
      <c r="C35" s="5" t="s">
        <v>36</v>
      </c>
      <c r="D35" s="5" t="s">
        <v>37</v>
      </c>
      <c r="E35" s="5" t="s">
        <v>121</v>
      </c>
      <c r="F35" s="9">
        <v>19</v>
      </c>
      <c r="G35" s="9">
        <v>172</v>
      </c>
      <c r="H35" s="5" t="s">
        <v>20</v>
      </c>
      <c r="I35" s="5" t="s">
        <v>122</v>
      </c>
      <c r="J35" s="12" t="str">
        <f>HYPERLINK("https://www.boe.es/gazeta/dias/1806/02/28/pdfs/GMD-1806-19.pdf#page=8","Abrir facsímil")</f>
        <v>Abrir facsímil</v>
      </c>
      <c r="K35" s="15" t="s">
        <v>22</v>
      </c>
    </row>
    <row r="36" spans="1:11" ht="42" customHeight="1">
      <c r="A36" s="4" t="s">
        <v>123</v>
      </c>
      <c r="B36" s="5" t="s">
        <v>123</v>
      </c>
      <c r="C36" s="5" t="s">
        <v>31</v>
      </c>
      <c r="D36" s="5" t="s">
        <v>32</v>
      </c>
      <c r="E36" s="5" t="s">
        <v>124</v>
      </c>
      <c r="F36" s="9">
        <v>25</v>
      </c>
      <c r="G36" s="9">
        <v>244</v>
      </c>
      <c r="H36" s="5" t="s">
        <v>20</v>
      </c>
      <c r="I36" s="5" t="s">
        <v>125</v>
      </c>
      <c r="J36" s="12" t="str">
        <f>HYPERLINK("https://www.boe.es/gazeta/dias/1806/03/21/pdfs/GMD-1806-25.pdf#page=8","Abrir facsímil")</f>
        <v>Abrir facsímil</v>
      </c>
      <c r="K36" s="15" t="s">
        <v>22</v>
      </c>
    </row>
    <row r="37" spans="1:11" ht="42" customHeight="1">
      <c r="A37" s="4" t="s">
        <v>126</v>
      </c>
      <c r="B37" s="5" t="s">
        <v>126</v>
      </c>
      <c r="C37" s="5" t="s">
        <v>31</v>
      </c>
      <c r="D37" s="5" t="s">
        <v>32</v>
      </c>
      <c r="E37" s="5" t="s">
        <v>127</v>
      </c>
      <c r="F37" s="9">
        <v>81</v>
      </c>
      <c r="G37" s="9">
        <v>837</v>
      </c>
      <c r="H37" s="5" t="s">
        <v>20</v>
      </c>
      <c r="I37" s="5" t="s">
        <v>128</v>
      </c>
      <c r="J37" s="12" t="str">
        <f>HYPERLINK("https://www.boe.es/gazeta/dias/1806/10/03/pdfs/GMD-1806-81.pdf#page=5","Abrir facsímil")</f>
        <v>Abrir facsímil</v>
      </c>
      <c r="K37" s="15" t="s">
        <v>22</v>
      </c>
    </row>
    <row r="38" spans="1:11" ht="42" customHeight="1">
      <c r="A38" s="4" t="s">
        <v>129</v>
      </c>
      <c r="B38" s="5" t="s">
        <v>129</v>
      </c>
      <c r="C38" s="5" t="s">
        <v>17</v>
      </c>
      <c r="D38" s="5" t="s">
        <v>18</v>
      </c>
      <c r="E38" s="5" t="s">
        <v>130</v>
      </c>
      <c r="F38" s="9">
        <v>66</v>
      </c>
      <c r="G38" s="9">
        <v>690</v>
      </c>
      <c r="H38" s="5" t="s">
        <v>20</v>
      </c>
      <c r="I38" s="5" t="s">
        <v>131</v>
      </c>
      <c r="J38" s="12" t="str">
        <f>HYPERLINK("https://www.boe.es/gazeta/dias/1806/08/12/pdfs/GMD-1806-66.pdf#page=6","Abrir facsímil")</f>
        <v>Abrir facsímil</v>
      </c>
      <c r="K38" s="15" t="s">
        <v>22</v>
      </c>
    </row>
    <row r="39" spans="1:11" ht="42" customHeight="1">
      <c r="A39" s="4" t="s">
        <v>132</v>
      </c>
      <c r="B39" s="5" t="s">
        <v>133</v>
      </c>
      <c r="C39" s="5" t="s">
        <v>42</v>
      </c>
      <c r="D39" s="5" t="s">
        <v>43</v>
      </c>
      <c r="E39" s="5" t="s">
        <v>33</v>
      </c>
      <c r="F39" s="9">
        <v>82</v>
      </c>
      <c r="G39" s="9">
        <v>850</v>
      </c>
      <c r="H39" s="5" t="s">
        <v>20</v>
      </c>
      <c r="I39" s="5" t="s">
        <v>134</v>
      </c>
      <c r="J39" s="12" t="str">
        <f>HYPERLINK("https://www.boe.es/gazeta/dias/1806/10/07/pdfs/GMD-1806-82.pdf#page=10","Abrir facsímil")</f>
        <v>Abrir facsímil</v>
      </c>
      <c r="K39" s="15" t="s">
        <v>22</v>
      </c>
    </row>
    <row r="40" spans="1:11" ht="42" customHeight="1">
      <c r="A40" s="4" t="s">
        <v>135</v>
      </c>
      <c r="B40" s="5" t="s">
        <v>135</v>
      </c>
      <c r="C40" s="5" t="s">
        <v>17</v>
      </c>
      <c r="D40" s="5" t="s">
        <v>18</v>
      </c>
      <c r="E40" s="5" t="s">
        <v>136</v>
      </c>
      <c r="F40" s="9">
        <v>50</v>
      </c>
      <c r="G40" s="9">
        <v>514</v>
      </c>
      <c r="H40" s="5" t="s">
        <v>20</v>
      </c>
      <c r="I40" s="5" t="s">
        <v>137</v>
      </c>
      <c r="J40" s="12" t="str">
        <f>HYPERLINK("https://www.boe.es/gazeta/dias/1806/06/17/pdfs/GMD-1806-50.pdf#page=6","Abrir facsímil")</f>
        <v>Abrir facsímil</v>
      </c>
      <c r="K40" s="15" t="s">
        <v>22</v>
      </c>
    </row>
    <row r="41" spans="1:11" ht="42" customHeight="1">
      <c r="A41" s="4" t="s">
        <v>138</v>
      </c>
      <c r="B41" s="5" t="s">
        <v>139</v>
      </c>
      <c r="C41" s="5" t="s">
        <v>69</v>
      </c>
      <c r="D41" s="5" t="s">
        <v>70</v>
      </c>
      <c r="E41" s="5" t="s">
        <v>140</v>
      </c>
      <c r="F41" s="9">
        <v>83</v>
      </c>
      <c r="G41" s="9">
        <v>857</v>
      </c>
      <c r="H41" s="5" t="s">
        <v>20</v>
      </c>
      <c r="I41" s="5" t="s">
        <v>141</v>
      </c>
      <c r="J41" s="12" t="str">
        <f>HYPERLINK("https://www.boe.es/gazeta/dias/1806/10/10/pdfs/GMD-1806-83.pdf#page=5","Abrir facsímil")</f>
        <v>Abrir facsímil</v>
      </c>
      <c r="K41" s="15" t="s">
        <v>22</v>
      </c>
    </row>
    <row r="42" spans="1:11" ht="42" customHeight="1">
      <c r="A42" s="4" t="s">
        <v>142</v>
      </c>
      <c r="B42" s="5" t="s">
        <v>143</v>
      </c>
      <c r="C42" s="5" t="s">
        <v>31</v>
      </c>
      <c r="D42" s="5" t="s">
        <v>32</v>
      </c>
      <c r="E42" s="5" t="s">
        <v>144</v>
      </c>
      <c r="F42" s="9">
        <v>79</v>
      </c>
      <c r="G42" s="9">
        <v>818</v>
      </c>
      <c r="H42" s="5" t="s">
        <v>20</v>
      </c>
      <c r="I42" s="5" t="s">
        <v>145</v>
      </c>
      <c r="J42" s="12" t="str">
        <f>HYPERLINK("https://www.boe.es/gazeta/dias/1806/09/26/pdfs/GMD-1806-79.pdf#page=10","Abrir facsímil")</f>
        <v>Abrir facsímil</v>
      </c>
      <c r="K42" s="15" t="s">
        <v>22</v>
      </c>
    </row>
    <row r="43" spans="1:11" ht="42" customHeight="1">
      <c r="A43" s="4" t="s">
        <v>146</v>
      </c>
      <c r="B43" s="5" t="s">
        <v>147</v>
      </c>
      <c r="C43" s="5" t="s">
        <v>75</v>
      </c>
      <c r="D43" s="5" t="s">
        <v>43</v>
      </c>
      <c r="E43" s="5" t="s">
        <v>148</v>
      </c>
      <c r="F43" s="9">
        <v>78</v>
      </c>
      <c r="G43" s="9">
        <v>806</v>
      </c>
      <c r="H43" s="5" t="s">
        <v>20</v>
      </c>
      <c r="I43" s="5" t="s">
        <v>149</v>
      </c>
      <c r="J43" s="12" t="str">
        <f>HYPERLINK("https://www.boe.es/gazeta/dias/1806/09/23/pdfs/GMD-1806-78.pdf#page=10","Abrir facsímil")</f>
        <v>Abrir facsímil</v>
      </c>
      <c r="K43" s="15" t="s">
        <v>22</v>
      </c>
    </row>
    <row r="44" spans="1:11" ht="42" customHeight="1">
      <c r="A44" s="4" t="s">
        <v>150</v>
      </c>
      <c r="B44" s="5" t="s">
        <v>151</v>
      </c>
      <c r="C44" s="5" t="s">
        <v>31</v>
      </c>
      <c r="D44" s="5" t="s">
        <v>32</v>
      </c>
      <c r="E44" s="5" t="s">
        <v>44</v>
      </c>
      <c r="F44" s="9">
        <v>42</v>
      </c>
      <c r="G44" s="9">
        <v>421</v>
      </c>
      <c r="H44" s="5" t="s">
        <v>20</v>
      </c>
      <c r="I44" s="5" t="s">
        <v>152</v>
      </c>
      <c r="J44" s="12" t="str">
        <f>HYPERLINK("https://www.boe.es/gazeta/dias/1806/05/20/pdfs/GMD-1806-42.pdf#page=9","Abrir facsímil")</f>
        <v>Abrir facsímil</v>
      </c>
      <c r="K44" s="15" t="s">
        <v>22</v>
      </c>
    </row>
    <row r="45" spans="1:11" ht="42" customHeight="1">
      <c r="A45" s="4" t="s">
        <v>153</v>
      </c>
      <c r="B45" s="5" t="s">
        <v>154</v>
      </c>
      <c r="C45" s="5" t="s">
        <v>17</v>
      </c>
      <c r="D45" s="5" t="s">
        <v>18</v>
      </c>
      <c r="E45" s="5" t="s">
        <v>127</v>
      </c>
      <c r="F45" s="9">
        <v>81</v>
      </c>
      <c r="G45" s="9">
        <v>837</v>
      </c>
      <c r="H45" s="5" t="s">
        <v>20</v>
      </c>
      <c r="I45" s="5" t="s">
        <v>155</v>
      </c>
      <c r="J45" s="12" t="str">
        <f>HYPERLINK("https://www.boe.es/gazeta/dias/1806/10/03/pdfs/GMD-1806-81.pdf#page=5","Abrir facsímil")</f>
        <v>Abrir facsímil</v>
      </c>
      <c r="K45" s="15" t="s">
        <v>22</v>
      </c>
    </row>
    <row r="46" spans="1:11" ht="42" customHeight="1">
      <c r="A46" s="4" t="s">
        <v>156</v>
      </c>
      <c r="B46" s="5" t="s">
        <v>157</v>
      </c>
      <c r="C46" s="5" t="s">
        <v>31</v>
      </c>
      <c r="D46" s="5" t="s">
        <v>32</v>
      </c>
      <c r="E46" s="5" t="s">
        <v>90</v>
      </c>
      <c r="F46" s="9">
        <v>60</v>
      </c>
      <c r="G46" s="9">
        <v>623</v>
      </c>
      <c r="H46" s="5" t="s">
        <v>20</v>
      </c>
      <c r="I46" s="5" t="s">
        <v>158</v>
      </c>
      <c r="J46" s="12" t="str">
        <f>HYPERLINK("https://www.boe.es/gazeta/dias/1806/07/22/pdfs/GMD-1806-60.pdf#page=7","Abrir facsímil")</f>
        <v>Abrir facsímil</v>
      </c>
      <c r="K46" s="15" t="s">
        <v>22</v>
      </c>
    </row>
    <row r="47" spans="1:11" ht="42" customHeight="1">
      <c r="A47" s="4" t="s">
        <v>159</v>
      </c>
      <c r="B47" s="5" t="s">
        <v>160</v>
      </c>
      <c r="C47" s="5" t="s">
        <v>31</v>
      </c>
      <c r="D47" s="5" t="s">
        <v>32</v>
      </c>
      <c r="E47" s="5" t="s">
        <v>161</v>
      </c>
      <c r="F47" s="9">
        <v>11</v>
      </c>
      <c r="G47" s="9">
        <v>98</v>
      </c>
      <c r="H47" s="5" t="s">
        <v>20</v>
      </c>
      <c r="I47" s="5" t="s">
        <v>162</v>
      </c>
      <c r="J47" s="12" t="str">
        <f>HYPERLINK("https://www.boe.es/gazeta/dias/1806/01/31/pdfs/GMD-1806-11.pdf#page=6","Abrir facsímil")</f>
        <v>Abrir facsímil</v>
      </c>
      <c r="K47" s="15" t="s">
        <v>22</v>
      </c>
    </row>
    <row r="48" spans="1:11" ht="42" customHeight="1">
      <c r="A48" s="4" t="s">
        <v>163</v>
      </c>
      <c r="B48" s="5" t="s">
        <v>164</v>
      </c>
      <c r="C48" s="5" t="s">
        <v>31</v>
      </c>
      <c r="D48" s="5" t="s">
        <v>32</v>
      </c>
      <c r="E48" s="5" t="s">
        <v>165</v>
      </c>
      <c r="F48" s="9">
        <v>101</v>
      </c>
      <c r="G48" s="9">
        <v>1074</v>
      </c>
      <c r="H48" s="5" t="s">
        <v>20</v>
      </c>
      <c r="I48" s="5" t="s">
        <v>166</v>
      </c>
      <c r="J48" s="12" t="str">
        <f>HYPERLINK("https://www.boe.es/gazeta/dias/1806/12/12/pdfs/GMD-1806-101.pdf#page=6","Abrir facsímil")</f>
        <v>Abrir facsímil</v>
      </c>
      <c r="K48" s="15" t="s">
        <v>22</v>
      </c>
    </row>
    <row r="49" spans="1:11" ht="42" customHeight="1">
      <c r="A49" s="4" t="s">
        <v>167</v>
      </c>
      <c r="B49" s="5" t="s">
        <v>168</v>
      </c>
      <c r="C49" s="5" t="s">
        <v>17</v>
      </c>
      <c r="D49" s="5" t="s">
        <v>18</v>
      </c>
      <c r="E49" s="5" t="s">
        <v>55</v>
      </c>
      <c r="F49" s="9">
        <v>20</v>
      </c>
      <c r="G49" s="9">
        <v>184</v>
      </c>
      <c r="H49" s="5" t="s">
        <v>20</v>
      </c>
      <c r="I49" s="5" t="s">
        <v>169</v>
      </c>
      <c r="J49" s="12" t="str">
        <f>HYPERLINK("https://www.boe.es/gazeta/dias/1806/03/04/pdfs/GMD-1806-20.pdf#page=8","Abrir facsímil")</f>
        <v>Abrir facsímil</v>
      </c>
      <c r="K49" s="15" t="s">
        <v>22</v>
      </c>
    </row>
    <row r="50" spans="1:11" ht="42" customHeight="1">
      <c r="A50" s="4" t="s">
        <v>170</v>
      </c>
      <c r="B50" s="5" t="s">
        <v>171</v>
      </c>
      <c r="C50" s="5" t="s">
        <v>31</v>
      </c>
      <c r="D50" s="5" t="s">
        <v>32</v>
      </c>
      <c r="E50" s="5" t="s">
        <v>172</v>
      </c>
      <c r="F50" s="9">
        <v>17</v>
      </c>
      <c r="G50" s="9">
        <v>151</v>
      </c>
      <c r="H50" s="5" t="s">
        <v>20</v>
      </c>
      <c r="I50" s="5" t="s">
        <v>173</v>
      </c>
      <c r="J50" s="12" t="str">
        <f>HYPERLINK("https://www.boe.es/gazeta/dias/1806/02/21/pdfs/GMD-1806-17.pdf#page=7","Abrir facsímil")</f>
        <v>Abrir facsímil</v>
      </c>
      <c r="K50" s="15" t="s">
        <v>22</v>
      </c>
    </row>
    <row r="51" spans="1:11" ht="42" customHeight="1">
      <c r="A51" s="4" t="s">
        <v>174</v>
      </c>
      <c r="B51" s="5" t="s">
        <v>174</v>
      </c>
      <c r="C51" s="5" t="s">
        <v>31</v>
      </c>
      <c r="D51" s="5" t="s">
        <v>32</v>
      </c>
      <c r="E51" s="5" t="s">
        <v>175</v>
      </c>
      <c r="F51" s="9">
        <v>40</v>
      </c>
      <c r="G51" s="9">
        <v>394</v>
      </c>
      <c r="H51" s="5" t="s">
        <v>20</v>
      </c>
      <c r="I51" s="5" t="s">
        <v>176</v>
      </c>
      <c r="J51" s="12" t="str">
        <f>HYPERLINK("https://www.boe.es/gazeta/dias/1806/05/13/pdfs/GMD-1806-40.pdf#page=6","Abrir facsímil")</f>
        <v>Abrir facsímil</v>
      </c>
      <c r="K51" s="15" t="s">
        <v>22</v>
      </c>
    </row>
    <row r="52" spans="1:11" ht="42" customHeight="1">
      <c r="A52" s="4" t="s">
        <v>177</v>
      </c>
      <c r="B52" s="5" t="s">
        <v>177</v>
      </c>
      <c r="C52" s="5" t="s">
        <v>31</v>
      </c>
      <c r="D52" s="5" t="s">
        <v>32</v>
      </c>
      <c r="E52" s="5" t="s">
        <v>178</v>
      </c>
      <c r="F52" s="9">
        <v>36</v>
      </c>
      <c r="G52" s="9">
        <v>350</v>
      </c>
      <c r="H52" s="5" t="s">
        <v>20</v>
      </c>
      <c r="I52" s="5" t="s">
        <v>179</v>
      </c>
      <c r="J52" s="12" t="str">
        <f>HYPERLINK("https://www.boe.es/gazeta/dias/1806/04/29/pdfs/GMD-1806-36.pdf#page=6","Abrir facsímil")</f>
        <v>Abrir facsímil</v>
      </c>
      <c r="K52" s="15" t="s">
        <v>22</v>
      </c>
    </row>
    <row r="53" spans="1:11" ht="42" customHeight="1">
      <c r="A53" s="4" t="s">
        <v>180</v>
      </c>
      <c r="B53" s="5" t="s">
        <v>180</v>
      </c>
      <c r="C53" s="5" t="s">
        <v>31</v>
      </c>
      <c r="D53" s="5" t="s">
        <v>32</v>
      </c>
      <c r="E53" s="5" t="s">
        <v>181</v>
      </c>
      <c r="F53" s="9">
        <v>99</v>
      </c>
      <c r="G53" s="9">
        <v>1053</v>
      </c>
      <c r="H53" s="5" t="s">
        <v>20</v>
      </c>
      <c r="I53" s="5" t="s">
        <v>182</v>
      </c>
      <c r="J53" s="12" t="str">
        <f>HYPERLINK("https://www.boe.es/gazeta/dias/1806/12/05/pdfs/GMD-1806-99.pdf#page=9","Abrir facsímil")</f>
        <v>Abrir facsímil</v>
      </c>
      <c r="K53" s="15" t="s">
        <v>22</v>
      </c>
    </row>
    <row r="54" spans="1:11" ht="42" customHeight="1">
      <c r="A54" s="4" t="s">
        <v>183</v>
      </c>
      <c r="B54" s="5" t="s">
        <v>184</v>
      </c>
      <c r="C54" s="5" t="s">
        <v>31</v>
      </c>
      <c r="D54" s="5" t="s">
        <v>32</v>
      </c>
      <c r="E54" s="5" t="s">
        <v>185</v>
      </c>
      <c r="F54" s="9">
        <v>46</v>
      </c>
      <c r="G54" s="9">
        <v>469</v>
      </c>
      <c r="H54" s="5" t="s">
        <v>20</v>
      </c>
      <c r="I54" s="5" t="s">
        <v>186</v>
      </c>
      <c r="J54" s="12" t="str">
        <f>HYPERLINK("https://www.boe.es/gazeta/dias/1806/06/03/pdfs/GMD-1806-46.pdf#page=9","Abrir facsímil")</f>
        <v>Abrir facsímil</v>
      </c>
      <c r="K54" s="15" t="s">
        <v>22</v>
      </c>
    </row>
    <row r="55" spans="1:11" ht="42" customHeight="1">
      <c r="A55" s="4" t="s">
        <v>187</v>
      </c>
      <c r="B55" s="5" t="s">
        <v>187</v>
      </c>
      <c r="C55" s="5" t="s">
        <v>31</v>
      </c>
      <c r="D55" s="5" t="s">
        <v>32</v>
      </c>
      <c r="E55" s="5" t="s">
        <v>188</v>
      </c>
      <c r="F55" s="9">
        <v>2</v>
      </c>
      <c r="G55" s="9">
        <v>16</v>
      </c>
      <c r="H55" s="5" t="s">
        <v>20</v>
      </c>
      <c r="I55" s="5" t="s">
        <v>189</v>
      </c>
      <c r="J55" s="12" t="str">
        <f>HYPERLINK("https://www.boe.es/gazeta/dias/1806/01/07/pdfs/GMD-1806-2.pdf#page=4","Abrir facsímil")</f>
        <v>Abrir facsímil</v>
      </c>
      <c r="K55" s="15" t="s">
        <v>22</v>
      </c>
    </row>
    <row r="56" spans="1:11" ht="42" customHeight="1">
      <c r="A56" s="4" t="s">
        <v>190</v>
      </c>
      <c r="B56" s="5" t="s">
        <v>190</v>
      </c>
      <c r="C56" s="5" t="s">
        <v>36</v>
      </c>
      <c r="D56" s="5" t="s">
        <v>37</v>
      </c>
      <c r="E56" s="5" t="s">
        <v>191</v>
      </c>
      <c r="F56" s="9">
        <v>103</v>
      </c>
      <c r="G56" s="9">
        <v>1100</v>
      </c>
      <c r="H56" s="5" t="s">
        <v>20</v>
      </c>
      <c r="I56" s="5" t="s">
        <v>192</v>
      </c>
      <c r="J56" s="12" t="str">
        <f>HYPERLINK("https://www.boe.es/gazeta/dias/1806/12/19/pdfs/GMD-1806-103.pdf#page=12","Abrir facsímil")</f>
        <v>Abrir facsímil</v>
      </c>
      <c r="K56" s="15" t="s">
        <v>22</v>
      </c>
    </row>
    <row r="57" spans="1:11" ht="42" customHeight="1">
      <c r="A57" s="4" t="s">
        <v>193</v>
      </c>
      <c r="B57" s="5" t="s">
        <v>194</v>
      </c>
      <c r="C57" s="5" t="s">
        <v>31</v>
      </c>
      <c r="D57" s="5" t="s">
        <v>32</v>
      </c>
      <c r="E57" s="5" t="s">
        <v>195</v>
      </c>
      <c r="F57" s="9">
        <v>4</v>
      </c>
      <c r="G57" s="9">
        <v>35</v>
      </c>
      <c r="H57" s="5" t="s">
        <v>20</v>
      </c>
      <c r="I57" s="5" t="s">
        <v>196</v>
      </c>
      <c r="J57" s="12" t="str">
        <f>HYPERLINK("https://www.boe.es/gazeta/dias/1806/01/14/pdfs/GMD-1806-4.pdf#page=7","Abrir facsímil")</f>
        <v>Abrir facsímil</v>
      </c>
      <c r="K57" s="15" t="s">
        <v>22</v>
      </c>
    </row>
    <row r="58" spans="1:11" ht="42" customHeight="1">
      <c r="A58" s="4" t="s">
        <v>197</v>
      </c>
      <c r="B58" s="5" t="s">
        <v>198</v>
      </c>
      <c r="C58" s="5" t="s">
        <v>31</v>
      </c>
      <c r="D58" s="5" t="s">
        <v>32</v>
      </c>
      <c r="E58" s="5" t="s">
        <v>59</v>
      </c>
      <c r="F58" s="9">
        <v>21</v>
      </c>
      <c r="G58" s="9">
        <v>196</v>
      </c>
      <c r="H58" s="5" t="s">
        <v>20</v>
      </c>
      <c r="I58" s="5" t="s">
        <v>199</v>
      </c>
      <c r="J58" s="12" t="str">
        <f>HYPERLINK("https://www.boe.es/gazeta/dias/1806/03/07/pdfs/GMD-1806-21.pdf#page=8","Abrir facsímil")</f>
        <v>Abrir facsímil</v>
      </c>
      <c r="K58" s="15" t="s">
        <v>22</v>
      </c>
    </row>
    <row r="59" spans="1:11" ht="42" customHeight="1">
      <c r="A59" s="4" t="s">
        <v>200</v>
      </c>
      <c r="B59" s="5" t="s">
        <v>201</v>
      </c>
      <c r="C59" s="5" t="s">
        <v>31</v>
      </c>
      <c r="D59" s="5" t="s">
        <v>32</v>
      </c>
      <c r="E59" s="5" t="s">
        <v>202</v>
      </c>
      <c r="F59" s="9">
        <v>30</v>
      </c>
      <c r="G59" s="9">
        <v>295</v>
      </c>
      <c r="H59" s="5" t="s">
        <v>20</v>
      </c>
      <c r="I59" s="5" t="s">
        <v>203</v>
      </c>
      <c r="J59" s="12" t="str">
        <f>HYPERLINK("https://www.boe.es/gazeta/dias/1806/04/08/pdfs/GMD-1806-30.pdf#page=7","Abrir facsímil")</f>
        <v>Abrir facsímil</v>
      </c>
      <c r="K59" s="15" t="s">
        <v>22</v>
      </c>
    </row>
    <row r="60" spans="1:11" ht="42" customHeight="1">
      <c r="A60" s="4" t="s">
        <v>204</v>
      </c>
      <c r="B60" s="5" t="s">
        <v>204</v>
      </c>
      <c r="C60" s="5" t="s">
        <v>31</v>
      </c>
      <c r="D60" s="5" t="s">
        <v>32</v>
      </c>
      <c r="E60" s="5" t="s">
        <v>205</v>
      </c>
      <c r="F60" s="9">
        <v>57</v>
      </c>
      <c r="G60" s="9">
        <v>594</v>
      </c>
      <c r="H60" s="5" t="s">
        <v>20</v>
      </c>
      <c r="I60" s="5" t="s">
        <v>206</v>
      </c>
      <c r="J60" s="12" t="str">
        <f>HYPERLINK("https://www.boe.es/gazeta/dias/1806/07/11/pdfs/GMD-1806-57.pdf#page=6","Abrir facsímil")</f>
        <v>Abrir facsímil</v>
      </c>
      <c r="K60" s="15" t="s">
        <v>22</v>
      </c>
    </row>
    <row r="61" spans="1:11" ht="42" customHeight="1">
      <c r="A61" s="4" t="s">
        <v>207</v>
      </c>
      <c r="B61" s="5" t="s">
        <v>208</v>
      </c>
      <c r="C61" s="5" t="s">
        <v>17</v>
      </c>
      <c r="D61" s="5" t="s">
        <v>18</v>
      </c>
      <c r="E61" s="5" t="s">
        <v>209</v>
      </c>
      <c r="F61" s="9">
        <v>95</v>
      </c>
      <c r="G61" s="9">
        <v>1001</v>
      </c>
      <c r="H61" s="5" t="s">
        <v>20</v>
      </c>
      <c r="I61" s="5" t="s">
        <v>210</v>
      </c>
      <c r="J61" s="12" t="str">
        <f>HYPERLINK("https://www.boe.es/gazeta/dias/1806/11/21/pdfs/GMD-1806-95.pdf#page=9","Abrir facsímil")</f>
        <v>Abrir facsímil</v>
      </c>
      <c r="K61" s="15" t="s">
        <v>22</v>
      </c>
    </row>
    <row r="62" spans="1:11" ht="42" customHeight="1">
      <c r="A62" s="4" t="s">
        <v>211</v>
      </c>
      <c r="B62" s="5" t="s">
        <v>212</v>
      </c>
      <c r="C62" s="5" t="s">
        <v>17</v>
      </c>
      <c r="D62" s="5" t="s">
        <v>18</v>
      </c>
      <c r="E62" s="5" t="s">
        <v>213</v>
      </c>
      <c r="F62" s="9">
        <v>73</v>
      </c>
      <c r="G62" s="9">
        <v>757</v>
      </c>
      <c r="H62" s="5" t="s">
        <v>20</v>
      </c>
      <c r="I62" s="5" t="s">
        <v>214</v>
      </c>
      <c r="J62" s="12" t="str">
        <f>HYPERLINK("https://www.boe.es/gazeta/dias/1806/09/05/pdfs/GMD-1806-73.pdf#page=5","Abrir facsímil")</f>
        <v>Abrir facsímil</v>
      </c>
      <c r="K62" s="15" t="s">
        <v>22</v>
      </c>
    </row>
    <row r="63" spans="1:11" ht="42" customHeight="1">
      <c r="A63" s="4" t="s">
        <v>215</v>
      </c>
      <c r="B63" s="5" t="s">
        <v>216</v>
      </c>
      <c r="C63" s="5" t="s">
        <v>36</v>
      </c>
      <c r="D63" s="5" t="s">
        <v>37</v>
      </c>
      <c r="E63" s="5" t="s">
        <v>181</v>
      </c>
      <c r="F63" s="9">
        <v>99</v>
      </c>
      <c r="G63" s="9">
        <v>1055</v>
      </c>
      <c r="H63" s="5" t="s">
        <v>20</v>
      </c>
      <c r="I63" s="5" t="s">
        <v>217</v>
      </c>
      <c r="J63" s="12" t="str">
        <f>HYPERLINK("https://www.boe.es/gazeta/dias/1806/12/05/pdfs/GMD-1806-99.pdf#page=11","Abrir facsímil")</f>
        <v>Abrir facsímil</v>
      </c>
      <c r="K63" s="15" t="s">
        <v>22</v>
      </c>
    </row>
    <row r="64" spans="1:11" ht="42" customHeight="1">
      <c r="A64" s="4" t="s">
        <v>218</v>
      </c>
      <c r="B64" s="5" t="s">
        <v>219</v>
      </c>
      <c r="C64" s="5" t="s">
        <v>17</v>
      </c>
      <c r="D64" s="5" t="s">
        <v>18</v>
      </c>
      <c r="E64" s="5" t="s">
        <v>220</v>
      </c>
      <c r="F64" s="9">
        <v>24</v>
      </c>
      <c r="G64" s="9">
        <v>232</v>
      </c>
      <c r="H64" s="5" t="s">
        <v>20</v>
      </c>
      <c r="I64" s="5" t="s">
        <v>221</v>
      </c>
      <c r="J64" s="12" t="str">
        <f>HYPERLINK("https://www.boe.es/gazeta/dias/1806/03/18/pdfs/GMD-1806-24.pdf#page=8","Abrir facsímil")</f>
        <v>Abrir facsímil</v>
      </c>
      <c r="K64" s="15" t="s">
        <v>22</v>
      </c>
    </row>
    <row r="65" spans="1:11" ht="42" customHeight="1">
      <c r="A65" s="4" t="s">
        <v>222</v>
      </c>
      <c r="B65" s="5" t="s">
        <v>223</v>
      </c>
      <c r="C65" s="5" t="s">
        <v>42</v>
      </c>
      <c r="D65" s="5" t="s">
        <v>43</v>
      </c>
      <c r="E65" s="5" t="s">
        <v>28</v>
      </c>
      <c r="F65" s="9">
        <v>102</v>
      </c>
      <c r="G65" s="9">
        <v>1087</v>
      </c>
      <c r="H65" s="5" t="s">
        <v>20</v>
      </c>
      <c r="I65" s="5" t="s">
        <v>224</v>
      </c>
      <c r="J65" s="12" t="str">
        <f>HYPERLINK("https://www.boe.es/gazeta/dias/1806/12/16/pdfs/GMD-1806-102.pdf#page=11","Abrir facsímil")</f>
        <v>Abrir facsímil</v>
      </c>
      <c r="K65" s="15" t="s">
        <v>22</v>
      </c>
    </row>
    <row r="66" spans="1:11" ht="42" customHeight="1">
      <c r="A66" s="4" t="s">
        <v>225</v>
      </c>
      <c r="B66" s="5" t="s">
        <v>226</v>
      </c>
      <c r="C66" s="5" t="s">
        <v>31</v>
      </c>
      <c r="D66" s="5" t="s">
        <v>32</v>
      </c>
      <c r="E66" s="5" t="s">
        <v>227</v>
      </c>
      <c r="F66" s="9">
        <v>27</v>
      </c>
      <c r="G66" s="9">
        <v>269</v>
      </c>
      <c r="H66" s="5" t="s">
        <v>20</v>
      </c>
      <c r="I66" s="5" t="s">
        <v>228</v>
      </c>
      <c r="J66" s="12" t="str">
        <f>HYPERLINK("https://www.boe.es/gazeta/dias/1806/03/28/pdfs/GMD-1806-27.pdf#page=9","Abrir facsímil")</f>
        <v>Abrir facsímil</v>
      </c>
      <c r="K66" s="15" t="s">
        <v>22</v>
      </c>
    </row>
    <row r="67" spans="1:11" ht="42" customHeight="1">
      <c r="A67" s="4" t="s">
        <v>229</v>
      </c>
      <c r="B67" s="5" t="s">
        <v>230</v>
      </c>
      <c r="C67" s="5" t="s">
        <v>42</v>
      </c>
      <c r="D67" s="5" t="s">
        <v>43</v>
      </c>
      <c r="E67" s="5" t="s">
        <v>231</v>
      </c>
      <c r="F67" s="9">
        <v>89</v>
      </c>
      <c r="G67" s="9">
        <v>921</v>
      </c>
      <c r="H67" s="5" t="s">
        <v>20</v>
      </c>
      <c r="I67" s="5" t="s">
        <v>232</v>
      </c>
      <c r="J67" s="12" t="str">
        <f>HYPERLINK("https://www.boe.es/gazeta/dias/1806/10/31/pdfs/GMD-1806-89.pdf#page=9","Abrir facsímil")</f>
        <v>Abrir facsímil</v>
      </c>
      <c r="K67" s="15" t="s">
        <v>22</v>
      </c>
    </row>
    <row r="68" spans="1:11" ht="42" customHeight="1">
      <c r="A68" s="4" t="s">
        <v>233</v>
      </c>
      <c r="B68" s="5" t="s">
        <v>234</v>
      </c>
      <c r="C68" s="5" t="s">
        <v>42</v>
      </c>
      <c r="D68" s="5" t="s">
        <v>43</v>
      </c>
      <c r="E68" s="5" t="s">
        <v>44</v>
      </c>
      <c r="F68" s="9">
        <v>42</v>
      </c>
      <c r="G68" s="9">
        <v>421</v>
      </c>
      <c r="H68" s="5" t="s">
        <v>20</v>
      </c>
      <c r="I68" s="5" t="s">
        <v>235</v>
      </c>
      <c r="J68" s="12" t="str">
        <f>HYPERLINK("https://www.boe.es/gazeta/dias/1806/05/20/pdfs/GMD-1806-42.pdf#page=9","Abrir facsímil")</f>
        <v>Abrir facsímil</v>
      </c>
      <c r="K68" s="15" t="s">
        <v>22</v>
      </c>
    </row>
    <row r="69" spans="1:11" ht="42" customHeight="1">
      <c r="A69" s="4" t="s">
        <v>236</v>
      </c>
      <c r="B69" s="5" t="s">
        <v>237</v>
      </c>
      <c r="C69" s="5" t="s">
        <v>17</v>
      </c>
      <c r="D69" s="5" t="s">
        <v>18</v>
      </c>
      <c r="E69" s="5" t="s">
        <v>238</v>
      </c>
      <c r="F69" s="9">
        <v>18</v>
      </c>
      <c r="G69" s="9">
        <v>160</v>
      </c>
      <c r="H69" s="5" t="s">
        <v>20</v>
      </c>
      <c r="I69" s="5" t="s">
        <v>239</v>
      </c>
      <c r="J69" s="12" t="str">
        <f>HYPERLINK("https://www.boe.es/gazeta/dias/1806/02/25/pdfs/GMD-1806-18.pdf#page=8","Abrir facsímil")</f>
        <v>Abrir facsímil</v>
      </c>
      <c r="K69" s="15" t="s">
        <v>22</v>
      </c>
    </row>
    <row r="70" spans="1:11" ht="42" customHeight="1">
      <c r="A70" s="4" t="s">
        <v>240</v>
      </c>
      <c r="B70" s="5" t="s">
        <v>241</v>
      </c>
      <c r="C70" s="5" t="s">
        <v>17</v>
      </c>
      <c r="D70" s="5" t="s">
        <v>18</v>
      </c>
      <c r="E70" s="5" t="s">
        <v>238</v>
      </c>
      <c r="F70" s="9">
        <v>18</v>
      </c>
      <c r="G70" s="9">
        <v>160</v>
      </c>
      <c r="H70" s="5" t="s">
        <v>20</v>
      </c>
      <c r="I70" s="5" t="s">
        <v>242</v>
      </c>
      <c r="J70" s="12" t="str">
        <f>HYPERLINK("https://www.boe.es/gazeta/dias/1806/02/25/pdfs/GMD-1806-18.pdf#page=8","Abrir facsímil")</f>
        <v>Abrir facsímil</v>
      </c>
      <c r="K70" s="15" t="s">
        <v>22</v>
      </c>
    </row>
    <row r="71" spans="1:11" ht="42" customHeight="1">
      <c r="A71" s="4" t="s">
        <v>243</v>
      </c>
      <c r="B71" s="5" t="s">
        <v>244</v>
      </c>
      <c r="C71" s="5" t="s">
        <v>17</v>
      </c>
      <c r="D71" s="5" t="s">
        <v>18</v>
      </c>
      <c r="E71" s="5" t="s">
        <v>245</v>
      </c>
      <c r="F71" s="9">
        <v>106</v>
      </c>
      <c r="G71" s="9">
        <v>1124</v>
      </c>
      <c r="H71" s="5" t="s">
        <v>20</v>
      </c>
      <c r="I71" s="5" t="s">
        <v>246</v>
      </c>
      <c r="J71" s="12" t="str">
        <f>HYPERLINK("https://www.boe.es/gazeta/dias/1806/12/26/pdfs/GMD-1806-106.pdf#page=8","Abrir facsímil")</f>
        <v>Abrir facsímil</v>
      </c>
      <c r="K71" s="15" t="s">
        <v>22</v>
      </c>
    </row>
    <row r="72" spans="1:11" ht="42" customHeight="1">
      <c r="A72" s="4" t="s">
        <v>247</v>
      </c>
      <c r="B72" s="5" t="s">
        <v>248</v>
      </c>
      <c r="C72" s="5" t="s">
        <v>31</v>
      </c>
      <c r="D72" s="5" t="s">
        <v>32</v>
      </c>
      <c r="E72" s="5" t="s">
        <v>82</v>
      </c>
      <c r="F72" s="9">
        <v>48</v>
      </c>
      <c r="G72" s="9">
        <v>496</v>
      </c>
      <c r="H72" s="5" t="s">
        <v>20</v>
      </c>
      <c r="I72" s="5" t="s">
        <v>249</v>
      </c>
      <c r="J72" s="12" t="str">
        <f>HYPERLINK("https://www.boe.es/gazeta/dias/1806/06/10/pdfs/GMD-1806-48.pdf#page=8","Abrir facsímil")</f>
        <v>Abrir facsímil</v>
      </c>
      <c r="K72" s="15" t="s">
        <v>22</v>
      </c>
    </row>
    <row r="73" spans="1:11" ht="42" customHeight="1">
      <c r="A73" s="4" t="s">
        <v>250</v>
      </c>
      <c r="B73" s="5" t="s">
        <v>250</v>
      </c>
      <c r="C73" s="5" t="s">
        <v>31</v>
      </c>
      <c r="D73" s="5" t="s">
        <v>32</v>
      </c>
      <c r="E73" s="5" t="s">
        <v>220</v>
      </c>
      <c r="F73" s="9">
        <v>24</v>
      </c>
      <c r="G73" s="9">
        <v>231</v>
      </c>
      <c r="H73" s="5" t="s">
        <v>20</v>
      </c>
      <c r="I73" s="5" t="s">
        <v>251</v>
      </c>
      <c r="J73" s="12" t="str">
        <f>HYPERLINK("https://www.boe.es/gazeta/dias/1806/03/18/pdfs/GMD-1806-24.pdf#page=7","Abrir facsímil")</f>
        <v>Abrir facsímil</v>
      </c>
      <c r="K73" s="15" t="s">
        <v>22</v>
      </c>
    </row>
    <row r="74" spans="1:11" ht="42" customHeight="1">
      <c r="A74" s="4" t="s">
        <v>252</v>
      </c>
      <c r="B74" s="5" t="s">
        <v>253</v>
      </c>
      <c r="C74" s="5" t="s">
        <v>31</v>
      </c>
      <c r="D74" s="5" t="s">
        <v>32</v>
      </c>
      <c r="E74" s="5" t="s">
        <v>48</v>
      </c>
      <c r="F74" s="9">
        <v>67</v>
      </c>
      <c r="G74" s="9">
        <v>693</v>
      </c>
      <c r="H74" s="5" t="s">
        <v>20</v>
      </c>
      <c r="I74" s="5" t="s">
        <v>254</v>
      </c>
      <c r="J74" s="12" t="str">
        <f>HYPERLINK("https://www.boe.es/gazeta/dias/1806/08/15/pdfs/GMD-1806-67.pdf#page=1","Abrir facsímil")</f>
        <v>Abrir facsímil</v>
      </c>
      <c r="K74" s="15" t="s">
        <v>22</v>
      </c>
    </row>
    <row r="75" spans="1:11" ht="42" customHeight="1">
      <c r="A75" s="4" t="s">
        <v>255</v>
      </c>
      <c r="B75" s="5" t="s">
        <v>255</v>
      </c>
      <c r="C75" s="5" t="s">
        <v>31</v>
      </c>
      <c r="D75" s="5" t="s">
        <v>32</v>
      </c>
      <c r="E75" s="5" t="s">
        <v>256</v>
      </c>
      <c r="F75" s="9">
        <v>9</v>
      </c>
      <c r="G75" s="9">
        <v>79</v>
      </c>
      <c r="H75" s="5" t="s">
        <v>20</v>
      </c>
      <c r="I75" s="5" t="s">
        <v>257</v>
      </c>
      <c r="J75" s="12" t="str">
        <f>HYPERLINK("https://www.boe.es/gazeta/dias/1806/01/25/pdfs/GMD-1806-9.pdf#page=3","Abrir facsímil")</f>
        <v>Abrir facsímil</v>
      </c>
      <c r="K75" s="15" t="s">
        <v>22</v>
      </c>
    </row>
    <row r="76" spans="1:11" ht="42" customHeight="1">
      <c r="A76" s="4" t="s">
        <v>258</v>
      </c>
      <c r="B76" s="5" t="s">
        <v>258</v>
      </c>
      <c r="C76" s="5" t="s">
        <v>69</v>
      </c>
      <c r="D76" s="5" t="s">
        <v>70</v>
      </c>
      <c r="E76" s="5" t="s">
        <v>259</v>
      </c>
      <c r="F76" s="9">
        <v>34</v>
      </c>
      <c r="G76" s="9">
        <v>331</v>
      </c>
      <c r="H76" s="5" t="s">
        <v>20</v>
      </c>
      <c r="I76" s="5" t="s">
        <v>260</v>
      </c>
      <c r="J76" s="12" t="str">
        <f>HYPERLINK("https://www.boe.es/gazeta/dias/1806/04/22/pdfs/GMD-1806-34.pdf#page=3","Abrir facsímil")</f>
        <v>Abrir facsímil</v>
      </c>
      <c r="K76" s="15" t="s">
        <v>22</v>
      </c>
    </row>
    <row r="77" spans="1:11" ht="42" customHeight="1">
      <c r="A77" s="4" t="s">
        <v>261</v>
      </c>
      <c r="B77" s="5" t="s">
        <v>262</v>
      </c>
      <c r="C77" s="5" t="s">
        <v>69</v>
      </c>
      <c r="D77" s="5" t="s">
        <v>70</v>
      </c>
      <c r="E77" s="5" t="s">
        <v>140</v>
      </c>
      <c r="F77" s="9">
        <v>83</v>
      </c>
      <c r="G77" s="9">
        <v>854</v>
      </c>
      <c r="H77" s="5" t="s">
        <v>20</v>
      </c>
      <c r="I77" s="5" t="s">
        <v>263</v>
      </c>
      <c r="J77" s="12" t="str">
        <f>HYPERLINK("https://www.boe.es/gazeta/dias/1806/10/10/pdfs/GMD-1806-83.pdf#page=2","Abrir facsímil")</f>
        <v>Abrir facsímil</v>
      </c>
      <c r="K77" s="15" t="s">
        <v>22</v>
      </c>
    </row>
    <row r="78" spans="1:11" ht="42" customHeight="1">
      <c r="A78" s="4" t="s">
        <v>264</v>
      </c>
      <c r="B78" s="5" t="s">
        <v>265</v>
      </c>
      <c r="C78" s="5" t="s">
        <v>17</v>
      </c>
      <c r="D78" s="5" t="s">
        <v>18</v>
      </c>
      <c r="E78" s="5" t="s">
        <v>209</v>
      </c>
      <c r="F78" s="9">
        <v>95</v>
      </c>
      <c r="G78" s="9">
        <v>995</v>
      </c>
      <c r="H78" s="5" t="s">
        <v>20</v>
      </c>
      <c r="I78" s="5" t="s">
        <v>266</v>
      </c>
      <c r="J78" s="12" t="str">
        <f>HYPERLINK("https://www.boe.es/gazeta/dias/1806/11/21/pdfs/GMD-1806-95.pdf#page=3","Abrir facsímil")</f>
        <v>Abrir facsímil</v>
      </c>
      <c r="K78" s="15" t="s">
        <v>22</v>
      </c>
    </row>
    <row r="79" spans="1:11" ht="42" customHeight="1">
      <c r="A79" s="4" t="s">
        <v>267</v>
      </c>
      <c r="B79" s="5" t="s">
        <v>268</v>
      </c>
      <c r="C79" s="5" t="s">
        <v>42</v>
      </c>
      <c r="D79" s="5" t="s">
        <v>43</v>
      </c>
      <c r="E79" s="5" t="s">
        <v>124</v>
      </c>
      <c r="F79" s="9">
        <v>25</v>
      </c>
      <c r="G79" s="9">
        <v>245</v>
      </c>
      <c r="H79" s="5" t="s">
        <v>20</v>
      </c>
      <c r="I79" s="5" t="s">
        <v>269</v>
      </c>
      <c r="J79" s="12" t="str">
        <f>HYPERLINK("https://www.boe.es/gazeta/dias/1806/03/21/pdfs/GMD-1806-25.pdf#page=9","Abrir facsímil")</f>
        <v>Abrir facsímil</v>
      </c>
      <c r="K79" s="15" t="s">
        <v>22</v>
      </c>
    </row>
    <row r="80" spans="1:11" ht="42" customHeight="1">
      <c r="A80" s="4" t="s">
        <v>270</v>
      </c>
      <c r="B80" s="5" t="s">
        <v>270</v>
      </c>
      <c r="C80" s="5" t="s">
        <v>36</v>
      </c>
      <c r="D80" s="5" t="s">
        <v>37</v>
      </c>
      <c r="E80" s="5" t="s">
        <v>271</v>
      </c>
      <c r="F80" s="9">
        <v>6</v>
      </c>
      <c r="G80" s="9">
        <v>56</v>
      </c>
      <c r="H80" s="5" t="s">
        <v>20</v>
      </c>
      <c r="I80" s="5" t="s">
        <v>272</v>
      </c>
      <c r="J80" s="12" t="str">
        <f>HYPERLINK("https://www.boe.es/gazeta/dias/1806/01/17/pdfs/GMD-1806-6.pdf#page=12","Abrir facsímil")</f>
        <v>Abrir facsímil</v>
      </c>
      <c r="K80" s="15" t="s">
        <v>22</v>
      </c>
    </row>
    <row r="81" spans="1:11" ht="42" customHeight="1">
      <c r="A81" s="4" t="s">
        <v>273</v>
      </c>
      <c r="B81" s="5" t="s">
        <v>273</v>
      </c>
      <c r="C81" s="5" t="s">
        <v>31</v>
      </c>
      <c r="D81" s="5" t="s">
        <v>32</v>
      </c>
      <c r="E81" s="5" t="s">
        <v>185</v>
      </c>
      <c r="F81" s="9">
        <v>46</v>
      </c>
      <c r="G81" s="9">
        <v>472</v>
      </c>
      <c r="H81" s="5" t="s">
        <v>20</v>
      </c>
      <c r="I81" s="5" t="s">
        <v>274</v>
      </c>
      <c r="J81" s="12" t="str">
        <f>HYPERLINK("https://www.boe.es/gazeta/dias/1806/06/03/pdfs/GMD-1806-46.pdf#page=12","Abrir facsímil")</f>
        <v>Abrir facsímil</v>
      </c>
      <c r="K81" s="15" t="s">
        <v>22</v>
      </c>
    </row>
    <row r="82" spans="1:11" ht="42" customHeight="1">
      <c r="A82" s="4" t="s">
        <v>275</v>
      </c>
      <c r="B82" s="5" t="s">
        <v>275</v>
      </c>
      <c r="C82" s="5" t="s">
        <v>75</v>
      </c>
      <c r="D82" s="5" t="s">
        <v>43</v>
      </c>
      <c r="E82" s="5" t="s">
        <v>82</v>
      </c>
      <c r="F82" s="9">
        <v>48</v>
      </c>
      <c r="G82" s="9">
        <v>499</v>
      </c>
      <c r="H82" s="5" t="s">
        <v>20</v>
      </c>
      <c r="I82" s="5" t="s">
        <v>276</v>
      </c>
      <c r="J82" s="12" t="str">
        <f>HYPERLINK("https://www.boe.es/gazeta/dias/1806/06/10/pdfs/GMD-1806-48.pdf#page=11","Abrir facsímil")</f>
        <v>Abrir facsímil</v>
      </c>
      <c r="K82" s="15" t="s">
        <v>22</v>
      </c>
    </row>
    <row r="83" spans="1:11" ht="42" customHeight="1">
      <c r="A83" s="4" t="s">
        <v>275</v>
      </c>
      <c r="B83" s="5" t="s">
        <v>275</v>
      </c>
      <c r="C83" s="5" t="s">
        <v>75</v>
      </c>
      <c r="D83" s="5" t="s">
        <v>43</v>
      </c>
      <c r="E83" s="5" t="s">
        <v>103</v>
      </c>
      <c r="F83" s="9">
        <v>61</v>
      </c>
      <c r="G83" s="9">
        <v>639</v>
      </c>
      <c r="H83" s="5" t="s">
        <v>20</v>
      </c>
      <c r="I83" s="5" t="s">
        <v>277</v>
      </c>
      <c r="J83" s="12" t="str">
        <f>HYPERLINK("https://www.boe.es/gazeta/dias/1806/07/25/pdfs/GMD-1806-61.pdf#page=11","Abrir facsímil")</f>
        <v>Abrir facsímil</v>
      </c>
      <c r="K83" s="15" t="s">
        <v>22</v>
      </c>
    </row>
    <row r="84" spans="1:11" ht="42" customHeight="1">
      <c r="A84" s="4" t="s">
        <v>278</v>
      </c>
      <c r="B84" s="5" t="s">
        <v>278</v>
      </c>
      <c r="C84" s="5" t="s">
        <v>17</v>
      </c>
      <c r="D84" s="5" t="s">
        <v>18</v>
      </c>
      <c r="E84" s="5" t="s">
        <v>279</v>
      </c>
      <c r="F84" s="9">
        <v>52</v>
      </c>
      <c r="G84" s="9">
        <v>543</v>
      </c>
      <c r="H84" s="5" t="s">
        <v>20</v>
      </c>
      <c r="I84" s="5" t="s">
        <v>280</v>
      </c>
      <c r="J84" s="12" t="str">
        <f>HYPERLINK("https://www.boe.es/gazeta/dias/1806/06/24/pdfs/GMD-1806-52.pdf#page=11","Abrir facsímil")</f>
        <v>Abrir facsímil</v>
      </c>
      <c r="K84" s="15" t="s">
        <v>22</v>
      </c>
    </row>
    <row r="85" spans="1:11" ht="42" customHeight="1">
      <c r="A85" s="4" t="s">
        <v>281</v>
      </c>
      <c r="B85" s="5" t="s">
        <v>281</v>
      </c>
      <c r="C85" s="5" t="s">
        <v>36</v>
      </c>
      <c r="D85" s="5" t="s">
        <v>37</v>
      </c>
      <c r="E85" s="5" t="s">
        <v>82</v>
      </c>
      <c r="F85" s="9">
        <v>48</v>
      </c>
      <c r="G85" s="9">
        <v>498</v>
      </c>
      <c r="H85" s="5" t="s">
        <v>20</v>
      </c>
      <c r="I85" s="5" t="s">
        <v>282</v>
      </c>
      <c r="J85" s="12" t="str">
        <f>HYPERLINK("https://www.boe.es/gazeta/dias/1806/06/10/pdfs/GMD-1806-48.pdf#page=10","Abrir facsímil")</f>
        <v>Abrir facsímil</v>
      </c>
      <c r="K85" s="15" t="s">
        <v>22</v>
      </c>
    </row>
    <row r="86" spans="1:11" ht="42" customHeight="1">
      <c r="A86" s="4" t="s">
        <v>281</v>
      </c>
      <c r="B86" s="5" t="s">
        <v>281</v>
      </c>
      <c r="C86" s="5" t="s">
        <v>42</v>
      </c>
      <c r="D86" s="5" t="s">
        <v>43</v>
      </c>
      <c r="E86" s="5" t="s">
        <v>110</v>
      </c>
      <c r="F86" s="9">
        <v>55</v>
      </c>
      <c r="G86" s="9">
        <v>574</v>
      </c>
      <c r="H86" s="5" t="s">
        <v>20</v>
      </c>
      <c r="I86" s="5" t="s">
        <v>283</v>
      </c>
      <c r="J86" s="12" t="str">
        <f>HYPERLINK("https://www.boe.es/gazeta/dias/1806/07/04/pdfs/GMD-1806-55.pdf#page=10","Abrir facsímil")</f>
        <v>Abrir facsímil</v>
      </c>
      <c r="K86" s="15" t="s">
        <v>22</v>
      </c>
    </row>
    <row r="87" spans="1:11" ht="42" customHeight="1">
      <c r="A87" s="4" t="s">
        <v>284</v>
      </c>
      <c r="B87" s="5" t="s">
        <v>284</v>
      </c>
      <c r="C87" s="5" t="s">
        <v>31</v>
      </c>
      <c r="D87" s="5" t="s">
        <v>32</v>
      </c>
      <c r="E87" s="5" t="s">
        <v>285</v>
      </c>
      <c r="F87" s="9">
        <v>13</v>
      </c>
      <c r="G87" s="9">
        <v>115</v>
      </c>
      <c r="H87" s="5" t="s">
        <v>20</v>
      </c>
      <c r="I87" s="5" t="s">
        <v>286</v>
      </c>
      <c r="J87" s="12" t="str">
        <f>HYPERLINK("https://www.boe.es/gazeta/dias/1806/02/07/pdfs/GMD-1806-13.pdf#page=7","Abrir facsímil")</f>
        <v>Abrir facsímil</v>
      </c>
      <c r="K87" s="15" t="s">
        <v>22</v>
      </c>
    </row>
    <row r="88" spans="1:11" ht="42" customHeight="1">
      <c r="A88" s="4" t="s">
        <v>287</v>
      </c>
      <c r="B88" s="5" t="s">
        <v>287</v>
      </c>
      <c r="C88" s="5" t="s">
        <v>31</v>
      </c>
      <c r="D88" s="5" t="s">
        <v>32</v>
      </c>
      <c r="E88" s="5" t="s">
        <v>44</v>
      </c>
      <c r="F88" s="9">
        <v>42</v>
      </c>
      <c r="G88" s="9">
        <v>421</v>
      </c>
      <c r="H88" s="5" t="s">
        <v>20</v>
      </c>
      <c r="I88" s="5" t="s">
        <v>288</v>
      </c>
      <c r="J88" s="12" t="str">
        <f>HYPERLINK("https://www.boe.es/gazeta/dias/1806/05/20/pdfs/GMD-1806-42.pdf#page=9","Abrir facsímil")</f>
        <v>Abrir facsímil</v>
      </c>
      <c r="K88" s="15" t="s">
        <v>22</v>
      </c>
    </row>
    <row r="89" spans="1:11" ht="42" customHeight="1">
      <c r="A89" s="4" t="s">
        <v>289</v>
      </c>
      <c r="B89" s="5" t="s">
        <v>289</v>
      </c>
      <c r="C89" s="5" t="s">
        <v>31</v>
      </c>
      <c r="D89" s="5" t="s">
        <v>32</v>
      </c>
      <c r="E89" s="5" t="s">
        <v>290</v>
      </c>
      <c r="F89" s="9">
        <v>1</v>
      </c>
      <c r="G89" s="9">
        <v>9</v>
      </c>
      <c r="H89" s="5" t="s">
        <v>20</v>
      </c>
      <c r="I89" s="5" t="s">
        <v>291</v>
      </c>
      <c r="J89" s="12" t="str">
        <f>HYPERLINK("https://www.boe.es/gazeta/dias/1806/01/03/pdfs/GMD-1806-1.pdf#page=9","Abrir facsímil")</f>
        <v>Abrir facsímil</v>
      </c>
      <c r="K89" s="15" t="s">
        <v>22</v>
      </c>
    </row>
    <row r="90" spans="1:11" ht="42" customHeight="1">
      <c r="A90" s="4" t="s">
        <v>292</v>
      </c>
      <c r="B90" s="5" t="s">
        <v>293</v>
      </c>
      <c r="C90" s="5" t="s">
        <v>31</v>
      </c>
      <c r="D90" s="5" t="s">
        <v>32</v>
      </c>
      <c r="E90" s="5" t="s">
        <v>220</v>
      </c>
      <c r="F90" s="9">
        <v>24</v>
      </c>
      <c r="G90" s="9">
        <v>232</v>
      </c>
      <c r="H90" s="5" t="s">
        <v>20</v>
      </c>
      <c r="I90" s="5" t="s">
        <v>294</v>
      </c>
      <c r="J90" s="12" t="str">
        <f>HYPERLINK("https://www.boe.es/gazeta/dias/1806/03/18/pdfs/GMD-1806-24.pdf#page=8","Abrir facsímil")</f>
        <v>Abrir facsímil</v>
      </c>
      <c r="K90" s="15" t="s">
        <v>22</v>
      </c>
    </row>
    <row r="91" spans="1:11" ht="42" customHeight="1">
      <c r="A91" s="4" t="s">
        <v>295</v>
      </c>
      <c r="B91" s="5" t="s">
        <v>296</v>
      </c>
      <c r="C91" s="5" t="s">
        <v>31</v>
      </c>
      <c r="D91" s="5" t="s">
        <v>32</v>
      </c>
      <c r="E91" s="5" t="s">
        <v>297</v>
      </c>
      <c r="F91" s="9">
        <v>94</v>
      </c>
      <c r="G91" s="9">
        <v>989</v>
      </c>
      <c r="H91" s="5" t="s">
        <v>20</v>
      </c>
      <c r="I91" s="5" t="s">
        <v>298</v>
      </c>
      <c r="J91" s="12" t="str">
        <f>HYPERLINK("https://www.boe.es/gazeta/dias/1806/11/18/pdfs/GMD-1806-94.pdf#page=9","Abrir facsímil")</f>
        <v>Abrir facsímil</v>
      </c>
      <c r="K91" s="15" t="s">
        <v>22</v>
      </c>
    </row>
    <row r="92" spans="1:11" ht="42" customHeight="1">
      <c r="A92" s="4" t="s">
        <v>299</v>
      </c>
      <c r="B92" s="5" t="s">
        <v>300</v>
      </c>
      <c r="C92" s="5" t="s">
        <v>42</v>
      </c>
      <c r="D92" s="5" t="s">
        <v>43</v>
      </c>
      <c r="E92" s="5" t="s">
        <v>301</v>
      </c>
      <c r="F92" s="9">
        <v>75</v>
      </c>
      <c r="G92" s="9">
        <v>776</v>
      </c>
      <c r="H92" s="5" t="s">
        <v>20</v>
      </c>
      <c r="I92" s="5" t="s">
        <v>302</v>
      </c>
      <c r="J92" s="12" t="str">
        <f>HYPERLINK("https://www.boe.es/gazeta/dias/1806/09/12/pdfs/GMD-1806-75.pdf#page=8","Abrir facsímil")</f>
        <v>Abrir facsímil</v>
      </c>
      <c r="K92" s="15" t="s">
        <v>22</v>
      </c>
    </row>
    <row r="93" spans="1:11" ht="42" customHeight="1">
      <c r="A93" s="4" t="s">
        <v>303</v>
      </c>
      <c r="B93" s="5" t="s">
        <v>303</v>
      </c>
      <c r="C93" s="5" t="s">
        <v>69</v>
      </c>
      <c r="D93" s="5" t="s">
        <v>70</v>
      </c>
      <c r="E93" s="5" t="s">
        <v>304</v>
      </c>
      <c r="F93" s="9">
        <v>47</v>
      </c>
      <c r="G93" s="9">
        <v>473</v>
      </c>
      <c r="H93" s="5" t="s">
        <v>20</v>
      </c>
      <c r="I93" s="5" t="s">
        <v>305</v>
      </c>
      <c r="J93" s="12" t="str">
        <f>HYPERLINK("https://www.boe.es/gazeta/dias/1806/06/06/pdfs/GMD-1806-47.pdf#page=1","Abrir facsímil")</f>
        <v>Abrir facsímil</v>
      </c>
      <c r="K93" s="15" t="s">
        <v>22</v>
      </c>
    </row>
    <row r="94" spans="1:11" ht="42" customHeight="1">
      <c r="A94" s="4" t="s">
        <v>303</v>
      </c>
      <c r="B94" s="5" t="s">
        <v>303</v>
      </c>
      <c r="C94" s="5" t="s">
        <v>69</v>
      </c>
      <c r="D94" s="5" t="s">
        <v>70</v>
      </c>
      <c r="E94" s="5" t="s">
        <v>306</v>
      </c>
      <c r="F94" s="9">
        <v>59</v>
      </c>
      <c r="G94" s="9">
        <v>607</v>
      </c>
      <c r="H94" s="5" t="s">
        <v>20</v>
      </c>
      <c r="I94" s="5" t="s">
        <v>307</v>
      </c>
      <c r="J94" s="12" t="str">
        <f>HYPERLINK("https://www.boe.es/gazeta/dias/1806/07/18/pdfs/GMD-1806-59.pdf#page=3","Abrir facsímil")</f>
        <v>Abrir facsímil</v>
      </c>
      <c r="K94" s="15" t="s">
        <v>22</v>
      </c>
    </row>
    <row r="95" spans="1:11" ht="42" customHeight="1">
      <c r="A95" s="4" t="s">
        <v>308</v>
      </c>
      <c r="B95" s="5" t="s">
        <v>308</v>
      </c>
      <c r="C95" s="5" t="s">
        <v>17</v>
      </c>
      <c r="D95" s="5" t="s">
        <v>18</v>
      </c>
      <c r="E95" s="5" t="s">
        <v>309</v>
      </c>
      <c r="F95" s="9">
        <v>41</v>
      </c>
      <c r="G95" s="9">
        <v>406</v>
      </c>
      <c r="H95" s="5" t="s">
        <v>20</v>
      </c>
      <c r="I95" s="5" t="s">
        <v>310</v>
      </c>
      <c r="J95" s="12" t="str">
        <f>HYPERLINK("https://www.boe.es/gazeta/dias/1806/05/16/pdfs/GMD-1806-41.pdf#page=6","Abrir facsímil")</f>
        <v>Abrir facsímil</v>
      </c>
      <c r="K95" s="15" t="s">
        <v>22</v>
      </c>
    </row>
    <row r="96" spans="1:11" ht="42" customHeight="1">
      <c r="A96" s="4" t="s">
        <v>311</v>
      </c>
      <c r="B96" s="5" t="s">
        <v>311</v>
      </c>
      <c r="C96" s="5" t="s">
        <v>42</v>
      </c>
      <c r="D96" s="5" t="s">
        <v>43</v>
      </c>
      <c r="E96" s="5" t="s">
        <v>312</v>
      </c>
      <c r="F96" s="9">
        <v>100</v>
      </c>
      <c r="G96" s="9">
        <v>1067</v>
      </c>
      <c r="H96" s="5" t="s">
        <v>20</v>
      </c>
      <c r="I96" s="5" t="s">
        <v>313</v>
      </c>
      <c r="J96" s="12" t="str">
        <f>HYPERLINK("https://www.boe.es/gazeta/dias/1806/12/09/pdfs/GMD-1806-100.pdf#page=11","Abrir facsímil")</f>
        <v>Abrir facsímil</v>
      </c>
      <c r="K96" s="15" t="s">
        <v>22</v>
      </c>
    </row>
    <row r="97" spans="1:11" ht="42" customHeight="1">
      <c r="A97" s="4" t="s">
        <v>314</v>
      </c>
      <c r="B97" s="5" t="s">
        <v>315</v>
      </c>
      <c r="C97" s="5" t="s">
        <v>17</v>
      </c>
      <c r="D97" s="5" t="s">
        <v>18</v>
      </c>
      <c r="E97" s="5" t="s">
        <v>55</v>
      </c>
      <c r="F97" s="9">
        <v>20</v>
      </c>
      <c r="G97" s="9">
        <v>183</v>
      </c>
      <c r="H97" s="5" t="s">
        <v>20</v>
      </c>
      <c r="I97" s="5" t="s">
        <v>316</v>
      </c>
      <c r="J97" s="12" t="str">
        <f>HYPERLINK("https://www.boe.es/gazeta/dias/1806/03/04/pdfs/GMD-1806-20.pdf#page=7","Abrir facsímil")</f>
        <v>Abrir facsímil</v>
      </c>
      <c r="K97" s="15" t="s">
        <v>22</v>
      </c>
    </row>
    <row r="98" spans="1:11" ht="42" customHeight="1">
      <c r="A98" s="4" t="s">
        <v>314</v>
      </c>
      <c r="B98" s="5" t="s">
        <v>315</v>
      </c>
      <c r="C98" s="5" t="s">
        <v>17</v>
      </c>
      <c r="D98" s="5" t="s">
        <v>18</v>
      </c>
      <c r="E98" s="5" t="s">
        <v>55</v>
      </c>
      <c r="F98" s="9">
        <v>20</v>
      </c>
      <c r="G98" s="9">
        <v>184</v>
      </c>
      <c r="H98" s="5" t="s">
        <v>20</v>
      </c>
      <c r="I98" s="5" t="s">
        <v>317</v>
      </c>
      <c r="J98" s="12" t="str">
        <f>HYPERLINK("https://www.boe.es/gazeta/dias/1806/03/04/pdfs/GMD-1806-20.pdf#page=8","Abrir facsímil")</f>
        <v>Abrir facsímil</v>
      </c>
      <c r="K98" s="15" t="s">
        <v>22</v>
      </c>
    </row>
    <row r="99" spans="1:11" ht="42" customHeight="1">
      <c r="A99" s="4" t="s">
        <v>314</v>
      </c>
      <c r="B99" s="5" t="s">
        <v>315</v>
      </c>
      <c r="C99" s="5" t="s">
        <v>17</v>
      </c>
      <c r="D99" s="5" t="s">
        <v>18</v>
      </c>
      <c r="E99" s="5" t="s">
        <v>213</v>
      </c>
      <c r="F99" s="9">
        <v>73</v>
      </c>
      <c r="G99" s="9">
        <v>757</v>
      </c>
      <c r="H99" s="5" t="s">
        <v>20</v>
      </c>
      <c r="I99" s="5" t="s">
        <v>318</v>
      </c>
      <c r="J99" s="12" t="str">
        <f>HYPERLINK("https://www.boe.es/gazeta/dias/1806/09/05/pdfs/GMD-1806-73.pdf#page=5","Abrir facsímil")</f>
        <v>Abrir facsímil</v>
      </c>
      <c r="K99" s="15" t="s">
        <v>22</v>
      </c>
    </row>
    <row r="100" spans="1:11" ht="42" customHeight="1">
      <c r="A100" s="4" t="s">
        <v>319</v>
      </c>
      <c r="B100" s="5" t="s">
        <v>320</v>
      </c>
      <c r="C100" s="5" t="s">
        <v>31</v>
      </c>
      <c r="D100" s="5" t="s">
        <v>32</v>
      </c>
      <c r="E100" s="5" t="s">
        <v>96</v>
      </c>
      <c r="F100" s="9">
        <v>62</v>
      </c>
      <c r="G100" s="9">
        <v>649</v>
      </c>
      <c r="H100" s="5" t="s">
        <v>20</v>
      </c>
      <c r="I100" s="5" t="s">
        <v>321</v>
      </c>
      <c r="J100" s="12" t="str">
        <f>HYPERLINK("https://www.boe.es/gazeta/dias/1806/07/29/pdfs/GMD-1806-62.pdf#page=9","Abrir facsímil")</f>
        <v>Abrir facsímil</v>
      </c>
      <c r="K100" s="15" t="s">
        <v>22</v>
      </c>
    </row>
    <row r="101" spans="1:11" ht="42" customHeight="1">
      <c r="A101" s="4" t="s">
        <v>322</v>
      </c>
      <c r="B101" s="5" t="s">
        <v>323</v>
      </c>
      <c r="C101" s="5" t="s">
        <v>31</v>
      </c>
      <c r="D101" s="5" t="s">
        <v>32</v>
      </c>
      <c r="E101" s="5" t="s">
        <v>136</v>
      </c>
      <c r="F101" s="9">
        <v>50</v>
      </c>
      <c r="G101" s="9">
        <v>515</v>
      </c>
      <c r="H101" s="5" t="s">
        <v>20</v>
      </c>
      <c r="I101" s="5" t="s">
        <v>324</v>
      </c>
      <c r="J101" s="12" t="str">
        <f>HYPERLINK("https://www.boe.es/gazeta/dias/1806/06/17/pdfs/GMD-1806-50.pdf#page=7","Abrir facsímil")</f>
        <v>Abrir facsímil</v>
      </c>
      <c r="K101" s="15" t="s">
        <v>22</v>
      </c>
    </row>
    <row r="102" spans="1:11" ht="42" customHeight="1">
      <c r="A102" s="4" t="s">
        <v>325</v>
      </c>
      <c r="B102" s="5" t="s">
        <v>326</v>
      </c>
      <c r="C102" s="5" t="s">
        <v>42</v>
      </c>
      <c r="D102" s="5" t="s">
        <v>43</v>
      </c>
      <c r="E102" s="5" t="s">
        <v>327</v>
      </c>
      <c r="F102" s="9">
        <v>104</v>
      </c>
      <c r="G102" s="9">
        <v>1110</v>
      </c>
      <c r="H102" s="5" t="s">
        <v>20</v>
      </c>
      <c r="I102" s="5" t="s">
        <v>328</v>
      </c>
      <c r="J102" s="12" t="str">
        <f>HYPERLINK("https://www.boe.es/gazeta/dias/1806/12/23/pdfs/GMD-1806-104.pdf#page=10","Abrir facsímil")</f>
        <v>Abrir facsímil</v>
      </c>
      <c r="K102" s="15" t="s">
        <v>22</v>
      </c>
    </row>
    <row r="103" spans="1:11" ht="42" customHeight="1">
      <c r="A103" s="4" t="s">
        <v>329</v>
      </c>
      <c r="B103" s="5" t="s">
        <v>330</v>
      </c>
      <c r="C103" s="5" t="s">
        <v>42</v>
      </c>
      <c r="D103" s="5" t="s">
        <v>43</v>
      </c>
      <c r="E103" s="5" t="s">
        <v>28</v>
      </c>
      <c r="F103" s="9">
        <v>102</v>
      </c>
      <c r="G103" s="9">
        <v>1084</v>
      </c>
      <c r="H103" s="5" t="s">
        <v>20</v>
      </c>
      <c r="I103" s="5" t="s">
        <v>331</v>
      </c>
      <c r="J103" s="12" t="str">
        <f>HYPERLINK("https://www.boe.es/gazeta/dias/1806/12/16/pdfs/GMD-1806-102.pdf#page=8","Abrir facsímil")</f>
        <v>Abrir facsímil</v>
      </c>
      <c r="K103" s="15" t="s">
        <v>22</v>
      </c>
    </row>
    <row r="104" spans="1:11" ht="42" customHeight="1">
      <c r="A104" s="4" t="s">
        <v>332</v>
      </c>
      <c r="B104" s="5" t="s">
        <v>333</v>
      </c>
      <c r="C104" s="5" t="s">
        <v>75</v>
      </c>
      <c r="D104" s="5" t="s">
        <v>43</v>
      </c>
      <c r="E104" s="5" t="s">
        <v>306</v>
      </c>
      <c r="F104" s="9">
        <v>59</v>
      </c>
      <c r="G104" s="9">
        <v>613</v>
      </c>
      <c r="H104" s="5" t="s">
        <v>20</v>
      </c>
      <c r="I104" s="5" t="s">
        <v>334</v>
      </c>
      <c r="J104" s="12" t="str">
        <f>HYPERLINK("https://www.boe.es/gazeta/dias/1806/07/18/pdfs/GMD-1806-59.pdf#page=9","Abrir facsímil")</f>
        <v>Abrir facsímil</v>
      </c>
      <c r="K104" s="15" t="s">
        <v>22</v>
      </c>
    </row>
    <row r="105" spans="1:11" ht="42" customHeight="1">
      <c r="A105" s="4" t="s">
        <v>335</v>
      </c>
      <c r="B105" s="5" t="s">
        <v>336</v>
      </c>
      <c r="C105" s="5" t="s">
        <v>36</v>
      </c>
      <c r="D105" s="5" t="s">
        <v>37</v>
      </c>
      <c r="E105" s="5" t="s">
        <v>96</v>
      </c>
      <c r="F105" s="9">
        <v>62</v>
      </c>
      <c r="G105" s="9">
        <v>652</v>
      </c>
      <c r="H105" s="5" t="s">
        <v>20</v>
      </c>
      <c r="I105" s="5" t="s">
        <v>337</v>
      </c>
      <c r="J105" s="12" t="str">
        <f>HYPERLINK("https://www.boe.es/gazeta/dias/1806/07/29/pdfs/GMD-1806-62.pdf#page=12","Abrir facsímil")</f>
        <v>Abrir facsímil</v>
      </c>
      <c r="K105" s="15" t="s">
        <v>22</v>
      </c>
    </row>
    <row r="106" spans="1:11" ht="42" customHeight="1">
      <c r="A106" s="4" t="s">
        <v>338</v>
      </c>
      <c r="B106" s="5" t="s">
        <v>339</v>
      </c>
      <c r="C106" s="5" t="s">
        <v>17</v>
      </c>
      <c r="D106" s="5" t="s">
        <v>18</v>
      </c>
      <c r="E106" s="5" t="s">
        <v>340</v>
      </c>
      <c r="F106" s="9">
        <v>31</v>
      </c>
      <c r="G106" s="9">
        <v>305</v>
      </c>
      <c r="H106" s="5" t="s">
        <v>20</v>
      </c>
      <c r="I106" s="5" t="s">
        <v>341</v>
      </c>
      <c r="J106" s="12" t="str">
        <f>HYPERLINK("https://www.boe.es/gazeta/dias/1806/04/11/pdfs/GMD-1806-31.pdf#page=9","Abrir facsímil")</f>
        <v>Abrir facsímil</v>
      </c>
      <c r="K106" s="15" t="s">
        <v>22</v>
      </c>
    </row>
    <row r="107" spans="1:11" ht="42" customHeight="1">
      <c r="A107" s="4" t="s">
        <v>342</v>
      </c>
      <c r="B107" s="5" t="s">
        <v>343</v>
      </c>
      <c r="C107" s="5" t="s">
        <v>36</v>
      </c>
      <c r="D107" s="5" t="s">
        <v>37</v>
      </c>
      <c r="E107" s="5" t="s">
        <v>297</v>
      </c>
      <c r="F107" s="9">
        <v>94</v>
      </c>
      <c r="G107" s="9">
        <v>992</v>
      </c>
      <c r="H107" s="5" t="s">
        <v>20</v>
      </c>
      <c r="I107" s="5" t="s">
        <v>344</v>
      </c>
      <c r="J107" s="12" t="str">
        <f>HYPERLINK("https://www.boe.es/gazeta/dias/1806/11/18/pdfs/GMD-1806-94.pdf#page=12","Abrir facsímil")</f>
        <v>Abrir facsímil</v>
      </c>
      <c r="K107" s="15" t="s">
        <v>22</v>
      </c>
    </row>
    <row r="108" spans="1:11" ht="42" customHeight="1">
      <c r="A108" s="4" t="s">
        <v>345</v>
      </c>
      <c r="B108" s="5" t="s">
        <v>346</v>
      </c>
      <c r="C108" s="5" t="s">
        <v>17</v>
      </c>
      <c r="D108" s="5" t="s">
        <v>18</v>
      </c>
      <c r="E108" s="5" t="s">
        <v>33</v>
      </c>
      <c r="F108" s="9">
        <v>82</v>
      </c>
      <c r="G108" s="9">
        <v>849</v>
      </c>
      <c r="H108" s="5" t="s">
        <v>20</v>
      </c>
      <c r="I108" s="5" t="s">
        <v>347</v>
      </c>
      <c r="J108" s="12" t="str">
        <f>HYPERLINK("https://www.boe.es/gazeta/dias/1806/10/07/pdfs/GMD-1806-82.pdf#page=9","Abrir facsímil")</f>
        <v>Abrir facsímil</v>
      </c>
      <c r="K108" s="15" t="s">
        <v>22</v>
      </c>
    </row>
    <row r="109" spans="1:11" ht="42" customHeight="1">
      <c r="A109" s="4" t="s">
        <v>345</v>
      </c>
      <c r="B109" s="5" t="s">
        <v>346</v>
      </c>
      <c r="C109" s="5" t="s">
        <v>31</v>
      </c>
      <c r="D109" s="5" t="s">
        <v>32</v>
      </c>
      <c r="E109" s="5" t="s">
        <v>348</v>
      </c>
      <c r="F109" s="9">
        <v>88</v>
      </c>
      <c r="G109" s="9">
        <v>910</v>
      </c>
      <c r="H109" s="5" t="s">
        <v>20</v>
      </c>
      <c r="I109" s="5" t="s">
        <v>349</v>
      </c>
      <c r="J109" s="12" t="str">
        <f>HYPERLINK("https://www.boe.es/gazeta/dias/1806/10/28/pdfs/GMD-1806-88.pdf#page=6","Abrir facsímil")</f>
        <v>Abrir facsímil</v>
      </c>
      <c r="K109" s="15" t="s">
        <v>22</v>
      </c>
    </row>
    <row r="110" spans="1:11" ht="42" customHeight="1">
      <c r="A110" s="4" t="s">
        <v>350</v>
      </c>
      <c r="B110" s="5" t="s">
        <v>350</v>
      </c>
      <c r="C110" s="5" t="s">
        <v>31</v>
      </c>
      <c r="D110" s="5" t="s">
        <v>32</v>
      </c>
      <c r="E110" s="5" t="s">
        <v>271</v>
      </c>
      <c r="F110" s="9">
        <v>6</v>
      </c>
      <c r="G110" s="9">
        <v>54</v>
      </c>
      <c r="H110" s="5" t="s">
        <v>20</v>
      </c>
      <c r="I110" s="5" t="s">
        <v>351</v>
      </c>
      <c r="J110" s="12" t="str">
        <f>HYPERLINK("https://www.boe.es/gazeta/dias/1806/01/17/pdfs/GMD-1806-6.pdf#page=10","Abrir facsímil")</f>
        <v>Abrir facsímil</v>
      </c>
      <c r="K110" s="15" t="s">
        <v>22</v>
      </c>
    </row>
    <row r="111" spans="1:11" ht="42" customHeight="1">
      <c r="A111" s="4" t="s">
        <v>352</v>
      </c>
      <c r="B111" s="5" t="s">
        <v>352</v>
      </c>
      <c r="C111" s="5" t="s">
        <v>42</v>
      </c>
      <c r="D111" s="5" t="s">
        <v>43</v>
      </c>
      <c r="E111" s="5" t="s">
        <v>28</v>
      </c>
      <c r="F111" s="9">
        <v>102</v>
      </c>
      <c r="G111" s="9">
        <v>1087</v>
      </c>
      <c r="H111" s="5" t="s">
        <v>20</v>
      </c>
      <c r="I111" s="5" t="s">
        <v>353</v>
      </c>
      <c r="J111" s="12" t="str">
        <f>HYPERLINK("https://www.boe.es/gazeta/dias/1806/12/16/pdfs/GMD-1806-102.pdf#page=11","Abrir facsímil")</f>
        <v>Abrir facsímil</v>
      </c>
      <c r="K111" s="15" t="s">
        <v>22</v>
      </c>
    </row>
    <row r="112" spans="1:11" ht="42" customHeight="1">
      <c r="A112" s="4" t="s">
        <v>354</v>
      </c>
      <c r="B112" s="5" t="s">
        <v>354</v>
      </c>
      <c r="C112" s="5" t="s">
        <v>75</v>
      </c>
      <c r="D112" s="5" t="s">
        <v>43</v>
      </c>
      <c r="E112" s="5" t="s">
        <v>90</v>
      </c>
      <c r="F112" s="9">
        <v>60</v>
      </c>
      <c r="G112" s="9">
        <v>626</v>
      </c>
      <c r="H112" s="5" t="s">
        <v>20</v>
      </c>
      <c r="I112" s="5" t="s">
        <v>355</v>
      </c>
      <c r="J112" s="12" t="str">
        <f>HYPERLINK("https://www.boe.es/gazeta/dias/1806/07/22/pdfs/GMD-1806-60.pdf#page=10","Abrir facsímil")</f>
        <v>Abrir facsímil</v>
      </c>
      <c r="K112" s="15" t="s">
        <v>22</v>
      </c>
    </row>
    <row r="113" spans="1:11" ht="42" customHeight="1">
      <c r="A113" s="4" t="s">
        <v>356</v>
      </c>
      <c r="B113" s="5" t="s">
        <v>356</v>
      </c>
      <c r="C113" s="5" t="s">
        <v>75</v>
      </c>
      <c r="D113" s="5" t="s">
        <v>43</v>
      </c>
      <c r="E113" s="5" t="s">
        <v>297</v>
      </c>
      <c r="F113" s="9">
        <v>94</v>
      </c>
      <c r="G113" s="9">
        <v>992</v>
      </c>
      <c r="H113" s="5" t="s">
        <v>20</v>
      </c>
      <c r="I113" s="5" t="s">
        <v>357</v>
      </c>
      <c r="J113" s="12" t="str">
        <f>HYPERLINK("https://www.boe.es/gazeta/dias/1806/11/18/pdfs/GMD-1806-94.pdf#page=12","Abrir facsímil")</f>
        <v>Abrir facsímil</v>
      </c>
      <c r="K113" s="15" t="s">
        <v>22</v>
      </c>
    </row>
    <row r="114" spans="1:11" ht="42" customHeight="1">
      <c r="A114" s="4" t="s">
        <v>358</v>
      </c>
      <c r="B114" s="5" t="s">
        <v>359</v>
      </c>
      <c r="C114" s="5" t="s">
        <v>17</v>
      </c>
      <c r="D114" s="5" t="s">
        <v>18</v>
      </c>
      <c r="E114" s="5" t="s">
        <v>188</v>
      </c>
      <c r="F114" s="9">
        <v>2</v>
      </c>
      <c r="G114" s="9">
        <v>18</v>
      </c>
      <c r="H114" s="5" t="s">
        <v>20</v>
      </c>
      <c r="I114" s="5" t="s">
        <v>360</v>
      </c>
      <c r="J114" s="12" t="str">
        <f>HYPERLINK("https://www.boe.es/gazeta/dias/1806/01/07/pdfs/GMD-1806-2.pdf#page=6","Abrir facsímil")</f>
        <v>Abrir facsímil</v>
      </c>
      <c r="K114" s="15" t="s">
        <v>22</v>
      </c>
    </row>
    <row r="115" spans="1:11" ht="42" customHeight="1">
      <c r="A115" s="4" t="s">
        <v>361</v>
      </c>
      <c r="B115" s="5" t="s">
        <v>362</v>
      </c>
      <c r="C115" s="5" t="s">
        <v>17</v>
      </c>
      <c r="D115" s="5" t="s">
        <v>18</v>
      </c>
      <c r="E115" s="5" t="s">
        <v>363</v>
      </c>
      <c r="F115" s="9">
        <v>8</v>
      </c>
      <c r="G115" s="9">
        <v>76</v>
      </c>
      <c r="H115" s="5" t="s">
        <v>20</v>
      </c>
      <c r="I115" s="5" t="s">
        <v>364</v>
      </c>
      <c r="J115" s="12" t="str">
        <f>HYPERLINK("https://www.boe.es/gazeta/dias/1806/01/24/pdfs/GMD-1806-8.pdf#page=8","Abrir facsímil")</f>
        <v>Abrir facsímil</v>
      </c>
      <c r="K115" s="15" t="s">
        <v>22</v>
      </c>
    </row>
    <row r="116" spans="1:11" ht="42" customHeight="1">
      <c r="A116" s="4" t="s">
        <v>365</v>
      </c>
      <c r="B116" s="5" t="s">
        <v>366</v>
      </c>
      <c r="C116" s="5" t="s">
        <v>69</v>
      </c>
      <c r="D116" s="5" t="s">
        <v>70</v>
      </c>
      <c r="E116" s="5" t="s">
        <v>367</v>
      </c>
      <c r="F116" s="9">
        <v>87</v>
      </c>
      <c r="G116" s="9">
        <v>896</v>
      </c>
      <c r="H116" s="5" t="s">
        <v>20</v>
      </c>
      <c r="I116" s="5" t="s">
        <v>368</v>
      </c>
      <c r="J116" s="12" t="str">
        <f>HYPERLINK("https://www.boe.es/gazeta/dias/1806/10/24/pdfs/GMD-1806-87.pdf#page=4","Abrir facsímil")</f>
        <v>Abrir facsímil</v>
      </c>
      <c r="K116" s="15" t="s">
        <v>22</v>
      </c>
    </row>
    <row r="117" spans="1:11" ht="42" customHeight="1">
      <c r="A117" s="4" t="s">
        <v>369</v>
      </c>
      <c r="B117" s="5" t="s">
        <v>370</v>
      </c>
      <c r="C117" s="5" t="s">
        <v>31</v>
      </c>
      <c r="D117" s="5" t="s">
        <v>32</v>
      </c>
      <c r="E117" s="5" t="s">
        <v>209</v>
      </c>
      <c r="F117" s="9">
        <v>95</v>
      </c>
      <c r="G117" s="9">
        <v>1005</v>
      </c>
      <c r="H117" s="5" t="s">
        <v>20</v>
      </c>
      <c r="I117" s="5" t="s">
        <v>371</v>
      </c>
      <c r="J117" s="12" t="str">
        <f>HYPERLINK("https://www.boe.es/gazeta/dias/1806/11/21/pdfs/GMD-1806-95.pdf#page=13","Abrir facsímil")</f>
        <v>Abrir facsímil</v>
      </c>
      <c r="K117" s="15" t="s">
        <v>22</v>
      </c>
    </row>
    <row r="118" spans="1:11" ht="42" customHeight="1">
      <c r="A118" s="4" t="s">
        <v>372</v>
      </c>
      <c r="B118" s="5" t="s">
        <v>373</v>
      </c>
      <c r="C118" s="5" t="s">
        <v>31</v>
      </c>
      <c r="D118" s="5" t="s">
        <v>32</v>
      </c>
      <c r="E118" s="5" t="s">
        <v>185</v>
      </c>
      <c r="F118" s="9">
        <v>46</v>
      </c>
      <c r="G118" s="9">
        <v>469</v>
      </c>
      <c r="H118" s="5" t="s">
        <v>20</v>
      </c>
      <c r="I118" s="5" t="s">
        <v>374</v>
      </c>
      <c r="J118" s="12" t="str">
        <f>HYPERLINK("https://www.boe.es/gazeta/dias/1806/06/03/pdfs/GMD-1806-46.pdf#page=9","Abrir facsímil")</f>
        <v>Abrir facsímil</v>
      </c>
      <c r="K118" s="15" t="s">
        <v>22</v>
      </c>
    </row>
    <row r="119" spans="1:11" ht="42" customHeight="1">
      <c r="A119" s="4" t="s">
        <v>375</v>
      </c>
      <c r="B119" s="5" t="s">
        <v>376</v>
      </c>
      <c r="C119" s="5" t="s">
        <v>31</v>
      </c>
      <c r="D119" s="5" t="s">
        <v>32</v>
      </c>
      <c r="E119" s="5" t="s">
        <v>285</v>
      </c>
      <c r="F119" s="9">
        <v>13</v>
      </c>
      <c r="G119" s="9">
        <v>114</v>
      </c>
      <c r="H119" s="5" t="s">
        <v>20</v>
      </c>
      <c r="I119" s="5" t="s">
        <v>377</v>
      </c>
      <c r="J119" s="12" t="str">
        <f>HYPERLINK("https://www.boe.es/gazeta/dias/1806/02/07/pdfs/GMD-1806-13.pdf#page=6","Abrir facsímil")</f>
        <v>Abrir facsímil</v>
      </c>
      <c r="K119" s="15" t="s">
        <v>22</v>
      </c>
    </row>
    <row r="120" spans="1:11" ht="42" customHeight="1">
      <c r="A120" s="4" t="s">
        <v>378</v>
      </c>
      <c r="B120" s="5" t="s">
        <v>379</v>
      </c>
      <c r="C120" s="5" t="s">
        <v>69</v>
      </c>
      <c r="D120" s="5" t="s">
        <v>70</v>
      </c>
      <c r="E120" s="5" t="s">
        <v>309</v>
      </c>
      <c r="F120" s="9">
        <v>41</v>
      </c>
      <c r="G120" s="9">
        <v>405</v>
      </c>
      <c r="H120" s="5" t="s">
        <v>20</v>
      </c>
      <c r="I120" s="5" t="s">
        <v>380</v>
      </c>
      <c r="J120" s="12" t="str">
        <f>HYPERLINK("https://www.boe.es/gazeta/dias/1806/05/16/pdfs/GMD-1806-41.pdf#page=5","Abrir facsímil")</f>
        <v>Abrir facsímil</v>
      </c>
      <c r="K120" s="15" t="s">
        <v>22</v>
      </c>
    </row>
    <row r="121" spans="1:11" ht="42" customHeight="1">
      <c r="A121" s="4" t="s">
        <v>381</v>
      </c>
      <c r="B121" s="5" t="s">
        <v>382</v>
      </c>
      <c r="C121" s="5" t="s">
        <v>69</v>
      </c>
      <c r="D121" s="5" t="s">
        <v>70</v>
      </c>
      <c r="E121" s="5" t="s">
        <v>383</v>
      </c>
      <c r="F121" s="9">
        <v>54</v>
      </c>
      <c r="G121" s="9">
        <v>560</v>
      </c>
      <c r="H121" s="5" t="s">
        <v>20</v>
      </c>
      <c r="I121" s="5" t="s">
        <v>384</v>
      </c>
      <c r="J121" s="12" t="str">
        <f>HYPERLINK("https://www.boe.es/gazeta/dias/1806/07/01/pdfs/GMD-1806-54.pdf#page=4","Abrir facsímil")</f>
        <v>Abrir facsímil</v>
      </c>
      <c r="K121" s="15" t="s">
        <v>22</v>
      </c>
    </row>
    <row r="122" spans="1:11" ht="42" customHeight="1">
      <c r="A122" s="4" t="s">
        <v>385</v>
      </c>
      <c r="B122" s="5" t="s">
        <v>385</v>
      </c>
      <c r="C122" s="5" t="s">
        <v>69</v>
      </c>
      <c r="D122" s="5" t="s">
        <v>70</v>
      </c>
      <c r="E122" s="5" t="s">
        <v>227</v>
      </c>
      <c r="F122" s="9">
        <v>27</v>
      </c>
      <c r="G122" s="9">
        <v>261</v>
      </c>
      <c r="H122" s="5" t="s">
        <v>20</v>
      </c>
      <c r="I122" s="5" t="s">
        <v>386</v>
      </c>
      <c r="J122" s="12" t="str">
        <f>HYPERLINK("https://www.boe.es/gazeta/dias/1806/03/28/pdfs/GMD-1806-27.pdf#page=1","Abrir facsímil")</f>
        <v>Abrir facsímil</v>
      </c>
      <c r="K122" s="15" t="s">
        <v>22</v>
      </c>
    </row>
    <row r="123" spans="1:11" ht="42" customHeight="1">
      <c r="A123" s="4" t="s">
        <v>385</v>
      </c>
      <c r="B123" s="5" t="s">
        <v>385</v>
      </c>
      <c r="C123" s="5" t="s">
        <v>69</v>
      </c>
      <c r="D123" s="5" t="s">
        <v>70</v>
      </c>
      <c r="E123" s="5" t="s">
        <v>227</v>
      </c>
      <c r="F123" s="9">
        <v>27</v>
      </c>
      <c r="G123" s="9">
        <v>265</v>
      </c>
      <c r="H123" s="5" t="s">
        <v>20</v>
      </c>
      <c r="I123" s="5" t="s">
        <v>387</v>
      </c>
      <c r="J123" s="12" t="str">
        <f>HYPERLINK("https://www.boe.es/gazeta/dias/1806/03/28/pdfs/GMD-1806-27.pdf#page=5","Abrir facsímil")</f>
        <v>Abrir facsímil</v>
      </c>
      <c r="K123" s="15" t="s">
        <v>22</v>
      </c>
    </row>
    <row r="124" spans="1:11" ht="42" customHeight="1">
      <c r="A124" s="4" t="s">
        <v>388</v>
      </c>
      <c r="B124" s="5" t="s">
        <v>389</v>
      </c>
      <c r="C124" s="5" t="s">
        <v>36</v>
      </c>
      <c r="D124" s="5" t="s">
        <v>37</v>
      </c>
      <c r="E124" s="5" t="s">
        <v>59</v>
      </c>
      <c r="F124" s="9">
        <v>21</v>
      </c>
      <c r="G124" s="9">
        <v>200</v>
      </c>
      <c r="H124" s="5" t="s">
        <v>20</v>
      </c>
      <c r="I124" s="5" t="s">
        <v>390</v>
      </c>
      <c r="J124" s="12" t="str">
        <f>HYPERLINK("https://www.boe.es/gazeta/dias/1806/03/07/pdfs/GMD-1806-21.pdf#page=12","Abrir facsímil")</f>
        <v>Abrir facsímil</v>
      </c>
      <c r="K124" s="15" t="s">
        <v>22</v>
      </c>
    </row>
    <row r="125" spans="1:11" ht="42" customHeight="1">
      <c r="A125" s="4" t="s">
        <v>391</v>
      </c>
      <c r="B125" s="5" t="s">
        <v>392</v>
      </c>
      <c r="C125" s="5" t="s">
        <v>31</v>
      </c>
      <c r="D125" s="5" t="s">
        <v>32</v>
      </c>
      <c r="E125" s="5" t="s">
        <v>110</v>
      </c>
      <c r="F125" s="9">
        <v>55</v>
      </c>
      <c r="G125" s="9">
        <v>572</v>
      </c>
      <c r="H125" s="5" t="s">
        <v>20</v>
      </c>
      <c r="I125" s="5" t="s">
        <v>393</v>
      </c>
      <c r="J125" s="12" t="str">
        <f>HYPERLINK("https://www.boe.es/gazeta/dias/1806/07/04/pdfs/GMD-1806-55.pdf#page=8","Abrir facsímil")</f>
        <v>Abrir facsímil</v>
      </c>
      <c r="K125" s="15" t="s">
        <v>22</v>
      </c>
    </row>
    <row r="126" spans="1:11" ht="42" customHeight="1">
      <c r="A126" s="4" t="s">
        <v>394</v>
      </c>
      <c r="B126" s="5" t="s">
        <v>395</v>
      </c>
      <c r="C126" s="5" t="s">
        <v>17</v>
      </c>
      <c r="D126" s="5" t="s">
        <v>18</v>
      </c>
      <c r="E126" s="5" t="s">
        <v>396</v>
      </c>
      <c r="F126" s="9">
        <v>91</v>
      </c>
      <c r="G126" s="9">
        <v>945</v>
      </c>
      <c r="H126" s="5" t="s">
        <v>20</v>
      </c>
      <c r="I126" s="5" t="s">
        <v>397</v>
      </c>
      <c r="J126" s="12" t="str">
        <f>HYPERLINK("https://www.boe.es/gazeta/dias/1806/11/07/pdfs/GMD-1806-91.pdf#page=9","Abrir facsímil")</f>
        <v>Abrir facsímil</v>
      </c>
      <c r="K126" s="15" t="s">
        <v>22</v>
      </c>
    </row>
    <row r="127" spans="1:11" ht="42" customHeight="1">
      <c r="A127" s="4" t="s">
        <v>398</v>
      </c>
      <c r="B127" s="5" t="s">
        <v>399</v>
      </c>
      <c r="C127" s="5" t="s">
        <v>31</v>
      </c>
      <c r="D127" s="5" t="s">
        <v>32</v>
      </c>
      <c r="E127" s="5" t="s">
        <v>400</v>
      </c>
      <c r="F127" s="9">
        <v>22</v>
      </c>
      <c r="G127" s="9">
        <v>207</v>
      </c>
      <c r="H127" s="5" t="s">
        <v>20</v>
      </c>
      <c r="I127" s="5" t="s">
        <v>401</v>
      </c>
      <c r="J127" s="12" t="str">
        <f>HYPERLINK("https://www.boe.es/gazeta/dias/1806/03/11/pdfs/GMD-1806-22.pdf#page=7","Abrir facsímil")</f>
        <v>Abrir facsímil</v>
      </c>
      <c r="K127" s="15" t="s">
        <v>22</v>
      </c>
    </row>
    <row r="128" spans="1:11" ht="42" customHeight="1">
      <c r="A128" s="4" t="s">
        <v>402</v>
      </c>
      <c r="B128" s="5" t="s">
        <v>402</v>
      </c>
      <c r="C128" s="5" t="s">
        <v>36</v>
      </c>
      <c r="D128" s="5" t="s">
        <v>37</v>
      </c>
      <c r="E128" s="5" t="s">
        <v>304</v>
      </c>
      <c r="F128" s="9">
        <v>47</v>
      </c>
      <c r="G128" s="9">
        <v>480</v>
      </c>
      <c r="H128" s="5" t="s">
        <v>20</v>
      </c>
      <c r="I128" s="5" t="s">
        <v>403</v>
      </c>
      <c r="J128" s="12" t="str">
        <f>HYPERLINK("https://www.boe.es/gazeta/dias/1806/06/06/pdfs/GMD-1806-47.pdf#page=8","Abrir facsímil")</f>
        <v>Abrir facsímil</v>
      </c>
      <c r="K128" s="15" t="s">
        <v>22</v>
      </c>
    </row>
    <row r="129" spans="1:11" ht="42" customHeight="1">
      <c r="A129" s="4" t="s">
        <v>404</v>
      </c>
      <c r="B129" s="5" t="s">
        <v>404</v>
      </c>
      <c r="C129" s="5" t="s">
        <v>69</v>
      </c>
      <c r="D129" s="5" t="s">
        <v>70</v>
      </c>
      <c r="E129" s="5" t="s">
        <v>405</v>
      </c>
      <c r="F129" s="9">
        <v>80</v>
      </c>
      <c r="G129" s="9">
        <v>825</v>
      </c>
      <c r="H129" s="5" t="s">
        <v>20</v>
      </c>
      <c r="I129" s="5" t="s">
        <v>406</v>
      </c>
      <c r="J129" s="12" t="str">
        <f>HYPERLINK("https://www.boe.es/gazeta/dias/1806/09/30/pdfs/GMD-1806-80.pdf#page=5","Abrir facsímil")</f>
        <v>Abrir facsímil</v>
      </c>
      <c r="K129" s="15" t="s">
        <v>22</v>
      </c>
    </row>
    <row r="130" spans="1:11" ht="42" customHeight="1">
      <c r="A130" s="4" t="s">
        <v>407</v>
      </c>
      <c r="B130" s="5" t="s">
        <v>408</v>
      </c>
      <c r="C130" s="5" t="s">
        <v>31</v>
      </c>
      <c r="D130" s="5" t="s">
        <v>32</v>
      </c>
      <c r="E130" s="5" t="s">
        <v>285</v>
      </c>
      <c r="F130" s="9">
        <v>13</v>
      </c>
      <c r="G130" s="9">
        <v>114</v>
      </c>
      <c r="H130" s="5" t="s">
        <v>20</v>
      </c>
      <c r="I130" s="5" t="s">
        <v>409</v>
      </c>
      <c r="J130" s="12" t="str">
        <f>HYPERLINK("https://www.boe.es/gazeta/dias/1806/02/07/pdfs/GMD-1806-13.pdf#page=6","Abrir facsímil")</f>
        <v>Abrir facsímil</v>
      </c>
      <c r="K130" s="15" t="s">
        <v>22</v>
      </c>
    </row>
    <row r="131" spans="1:11" ht="42" customHeight="1">
      <c r="A131" s="4" t="s">
        <v>410</v>
      </c>
      <c r="B131" s="5" t="s">
        <v>411</v>
      </c>
      <c r="C131" s="5" t="s">
        <v>31</v>
      </c>
      <c r="D131" s="5" t="s">
        <v>32</v>
      </c>
      <c r="E131" s="5" t="s">
        <v>227</v>
      </c>
      <c r="F131" s="9">
        <v>27</v>
      </c>
      <c r="G131" s="9">
        <v>269</v>
      </c>
      <c r="H131" s="5" t="s">
        <v>20</v>
      </c>
      <c r="I131" s="5" t="s">
        <v>412</v>
      </c>
      <c r="J131" s="12" t="str">
        <f>HYPERLINK("https://www.boe.es/gazeta/dias/1806/03/28/pdfs/GMD-1806-27.pdf#page=9","Abrir facsímil")</f>
        <v>Abrir facsímil</v>
      </c>
      <c r="K131" s="15" t="s">
        <v>22</v>
      </c>
    </row>
    <row r="132" spans="1:11" ht="42" customHeight="1">
      <c r="A132" s="4" t="s">
        <v>413</v>
      </c>
      <c r="B132" s="5" t="s">
        <v>414</v>
      </c>
      <c r="C132" s="5" t="s">
        <v>42</v>
      </c>
      <c r="D132" s="5" t="s">
        <v>43</v>
      </c>
      <c r="E132" s="5" t="s">
        <v>213</v>
      </c>
      <c r="F132" s="9">
        <v>73</v>
      </c>
      <c r="G132" s="9">
        <v>758</v>
      </c>
      <c r="H132" s="5" t="s">
        <v>20</v>
      </c>
      <c r="I132" s="5" t="s">
        <v>415</v>
      </c>
      <c r="J132" s="12" t="str">
        <f>HYPERLINK("https://www.boe.es/gazeta/dias/1806/09/05/pdfs/GMD-1806-73.pdf#page=6","Abrir facsímil")</f>
        <v>Abrir facsímil</v>
      </c>
      <c r="K132" s="15" t="s">
        <v>22</v>
      </c>
    </row>
    <row r="133" spans="1:11" ht="42" customHeight="1">
      <c r="A133" s="4" t="s">
        <v>416</v>
      </c>
      <c r="B133" s="5" t="s">
        <v>417</v>
      </c>
      <c r="C133" s="5" t="s">
        <v>17</v>
      </c>
      <c r="D133" s="5" t="s">
        <v>18</v>
      </c>
      <c r="E133" s="5" t="s">
        <v>297</v>
      </c>
      <c r="F133" s="9">
        <v>94</v>
      </c>
      <c r="G133" s="9">
        <v>988</v>
      </c>
      <c r="H133" s="5" t="s">
        <v>20</v>
      </c>
      <c r="I133" s="5" t="s">
        <v>418</v>
      </c>
      <c r="J133" s="12" t="str">
        <f>HYPERLINK("https://www.boe.es/gazeta/dias/1806/11/18/pdfs/GMD-1806-94.pdf#page=8","Abrir facsímil")</f>
        <v>Abrir facsímil</v>
      </c>
      <c r="K133" s="15" t="s">
        <v>22</v>
      </c>
    </row>
    <row r="134" spans="1:11" ht="42" customHeight="1">
      <c r="A134" s="4" t="s">
        <v>419</v>
      </c>
      <c r="B134" s="5" t="s">
        <v>420</v>
      </c>
      <c r="C134" s="5" t="s">
        <v>31</v>
      </c>
      <c r="D134" s="5" t="s">
        <v>32</v>
      </c>
      <c r="E134" s="5" t="s">
        <v>185</v>
      </c>
      <c r="F134" s="9">
        <v>46</v>
      </c>
      <c r="G134" s="9">
        <v>462</v>
      </c>
      <c r="H134" s="5" t="s">
        <v>20</v>
      </c>
      <c r="I134" s="5" t="s">
        <v>421</v>
      </c>
      <c r="J134" s="12" t="str">
        <f>HYPERLINK("https://www.boe.es/gazeta/dias/1806/06/03/pdfs/GMD-1806-46.pdf#page=2","Abrir facsímil")</f>
        <v>Abrir facsímil</v>
      </c>
      <c r="K134" s="15" t="s">
        <v>22</v>
      </c>
    </row>
    <row r="135" spans="1:11" ht="42" customHeight="1">
      <c r="A135" s="4" t="s">
        <v>419</v>
      </c>
      <c r="B135" s="5" t="s">
        <v>420</v>
      </c>
      <c r="C135" s="5" t="s">
        <v>69</v>
      </c>
      <c r="D135" s="5" t="s">
        <v>70</v>
      </c>
      <c r="E135" s="5" t="s">
        <v>191</v>
      </c>
      <c r="F135" s="9">
        <v>103</v>
      </c>
      <c r="G135" s="9">
        <v>1092</v>
      </c>
      <c r="H135" s="5" t="s">
        <v>20</v>
      </c>
      <c r="I135" s="5" t="s">
        <v>422</v>
      </c>
      <c r="J135" s="12" t="str">
        <f>HYPERLINK("https://www.boe.es/gazeta/dias/1806/12/19/pdfs/GMD-1806-103.pdf#page=4","Abrir facsímil")</f>
        <v>Abrir facsímil</v>
      </c>
      <c r="K135" s="15" t="s">
        <v>22</v>
      </c>
    </row>
    <row r="136" spans="1:11" ht="42" customHeight="1">
      <c r="A136" s="4" t="s">
        <v>423</v>
      </c>
      <c r="B136" s="5" t="s">
        <v>424</v>
      </c>
      <c r="C136" s="5" t="s">
        <v>31</v>
      </c>
      <c r="D136" s="5" t="s">
        <v>32</v>
      </c>
      <c r="E136" s="5" t="s">
        <v>202</v>
      </c>
      <c r="F136" s="9">
        <v>30</v>
      </c>
      <c r="G136" s="9">
        <v>290</v>
      </c>
      <c r="H136" s="5" t="s">
        <v>20</v>
      </c>
      <c r="I136" s="5" t="s">
        <v>425</v>
      </c>
      <c r="J136" s="12" t="str">
        <f>HYPERLINK("https://www.boe.es/gazeta/dias/1806/04/08/pdfs/GMD-1806-30.pdf#page=2","Abrir facsímil")</f>
        <v>Abrir facsímil</v>
      </c>
      <c r="K136" s="15" t="s">
        <v>22</v>
      </c>
    </row>
    <row r="137" spans="1:11" ht="42" customHeight="1">
      <c r="A137" s="4" t="s">
        <v>423</v>
      </c>
      <c r="B137" s="5" t="s">
        <v>424</v>
      </c>
      <c r="C137" s="5" t="s">
        <v>69</v>
      </c>
      <c r="D137" s="5" t="s">
        <v>70</v>
      </c>
      <c r="E137" s="5" t="s">
        <v>96</v>
      </c>
      <c r="F137" s="9">
        <v>62</v>
      </c>
      <c r="G137" s="9">
        <v>645</v>
      </c>
      <c r="H137" s="5" t="s">
        <v>20</v>
      </c>
      <c r="I137" s="5" t="s">
        <v>426</v>
      </c>
      <c r="J137" s="12" t="str">
        <f>HYPERLINK("https://www.boe.es/gazeta/dias/1806/07/29/pdfs/GMD-1806-62.pdf#page=5","Abrir facsímil")</f>
        <v>Abrir facsímil</v>
      </c>
      <c r="K137" s="15" t="s">
        <v>22</v>
      </c>
    </row>
    <row r="138" spans="1:11" ht="42" customHeight="1">
      <c r="A138" s="4" t="s">
        <v>423</v>
      </c>
      <c r="B138" s="5" t="s">
        <v>424</v>
      </c>
      <c r="C138" s="5" t="s">
        <v>69</v>
      </c>
      <c r="D138" s="5" t="s">
        <v>70</v>
      </c>
      <c r="E138" s="5" t="s">
        <v>26</v>
      </c>
      <c r="F138" s="9">
        <v>65</v>
      </c>
      <c r="G138" s="9">
        <v>675</v>
      </c>
      <c r="H138" s="5" t="s">
        <v>20</v>
      </c>
      <c r="I138" s="5" t="s">
        <v>427</v>
      </c>
      <c r="J138" s="12" t="str">
        <f>HYPERLINK("https://www.boe.es/gazeta/dias/1806/08/08/pdfs/GMD-1806-65.pdf#page=3","Abrir facsímil")</f>
        <v>Abrir facsímil</v>
      </c>
      <c r="K138" s="15" t="s">
        <v>22</v>
      </c>
    </row>
    <row r="139" spans="1:11" ht="42" customHeight="1">
      <c r="A139" s="4" t="s">
        <v>428</v>
      </c>
      <c r="B139" s="5" t="s">
        <v>429</v>
      </c>
      <c r="C139" s="5" t="s">
        <v>36</v>
      </c>
      <c r="D139" s="5" t="s">
        <v>37</v>
      </c>
      <c r="E139" s="5" t="s">
        <v>430</v>
      </c>
      <c r="F139" s="9">
        <v>12</v>
      </c>
      <c r="G139" s="9">
        <v>105</v>
      </c>
      <c r="H139" s="5" t="s">
        <v>20</v>
      </c>
      <c r="I139" s="5" t="s">
        <v>431</v>
      </c>
      <c r="J139" s="12" t="str">
        <f>HYPERLINK("https://www.boe.es/gazeta/dias/1806/02/04/pdfs/GMD-1806-12.pdf#page=5","Abrir facsímil")</f>
        <v>Abrir facsímil</v>
      </c>
      <c r="K139" s="15" t="s">
        <v>22</v>
      </c>
    </row>
    <row r="140" spans="1:11" ht="42" customHeight="1">
      <c r="A140" s="4" t="s">
        <v>432</v>
      </c>
      <c r="B140" s="5" t="s">
        <v>433</v>
      </c>
      <c r="C140" s="5" t="s">
        <v>31</v>
      </c>
      <c r="D140" s="5" t="s">
        <v>32</v>
      </c>
      <c r="E140" s="5" t="s">
        <v>434</v>
      </c>
      <c r="F140" s="9">
        <v>74</v>
      </c>
      <c r="G140" s="9">
        <v>766</v>
      </c>
      <c r="H140" s="5" t="s">
        <v>20</v>
      </c>
      <c r="I140" s="5" t="s">
        <v>435</v>
      </c>
      <c r="J140" s="12" t="str">
        <f>HYPERLINK("https://www.boe.es/gazeta/dias/1806/09/09/pdfs/GMD-1806-74.pdf#page=6","Abrir facsímil")</f>
        <v>Abrir facsímil</v>
      </c>
      <c r="K140" s="15" t="s">
        <v>22</v>
      </c>
    </row>
    <row r="141" spans="1:11" ht="42" customHeight="1">
      <c r="A141" s="4" t="s">
        <v>436</v>
      </c>
      <c r="B141" s="5" t="s">
        <v>437</v>
      </c>
      <c r="C141" s="5" t="s">
        <v>17</v>
      </c>
      <c r="D141" s="5" t="s">
        <v>18</v>
      </c>
      <c r="E141" s="5" t="s">
        <v>438</v>
      </c>
      <c r="F141" s="9">
        <v>70</v>
      </c>
      <c r="G141" s="9">
        <v>729</v>
      </c>
      <c r="H141" s="5" t="s">
        <v>20</v>
      </c>
      <c r="I141" s="5" t="s">
        <v>439</v>
      </c>
      <c r="J141" s="12" t="str">
        <f>HYPERLINK("https://www.boe.es/gazeta/dias/1806/08/26/pdfs/GMD-1806-70.pdf#page=5","Abrir facsímil")</f>
        <v>Abrir facsímil</v>
      </c>
      <c r="K141" s="15" t="s">
        <v>22</v>
      </c>
    </row>
    <row r="142" spans="1:11" ht="42" customHeight="1">
      <c r="A142" s="4" t="s">
        <v>440</v>
      </c>
      <c r="B142" s="5" t="s">
        <v>440</v>
      </c>
      <c r="C142" s="5" t="s">
        <v>17</v>
      </c>
      <c r="D142" s="5" t="s">
        <v>18</v>
      </c>
      <c r="E142" s="5" t="s">
        <v>438</v>
      </c>
      <c r="F142" s="9">
        <v>70</v>
      </c>
      <c r="G142" s="9">
        <v>730</v>
      </c>
      <c r="H142" s="5" t="s">
        <v>20</v>
      </c>
      <c r="I142" s="5" t="s">
        <v>441</v>
      </c>
      <c r="J142" s="12" t="str">
        <f>HYPERLINK("https://www.boe.es/gazeta/dias/1806/08/26/pdfs/GMD-1806-70.pdf#page=6","Abrir facsímil")</f>
        <v>Abrir facsímil</v>
      </c>
      <c r="K142" s="15" t="s">
        <v>22</v>
      </c>
    </row>
    <row r="143" spans="1:11" ht="42" customHeight="1">
      <c r="A143" s="4" t="s">
        <v>442</v>
      </c>
      <c r="B143" s="5" t="s">
        <v>443</v>
      </c>
      <c r="C143" s="5" t="s">
        <v>42</v>
      </c>
      <c r="D143" s="5" t="s">
        <v>43</v>
      </c>
      <c r="E143" s="5" t="s">
        <v>33</v>
      </c>
      <c r="F143" s="9">
        <v>82</v>
      </c>
      <c r="G143" s="9">
        <v>849</v>
      </c>
      <c r="H143" s="5" t="s">
        <v>20</v>
      </c>
      <c r="I143" s="5" t="s">
        <v>444</v>
      </c>
      <c r="J143" s="12" t="str">
        <f>HYPERLINK("https://www.boe.es/gazeta/dias/1806/10/07/pdfs/GMD-1806-82.pdf#page=9","Abrir facsímil")</f>
        <v>Abrir facsímil</v>
      </c>
      <c r="K143" s="15" t="s">
        <v>22</v>
      </c>
    </row>
    <row r="144" spans="1:11" ht="42" customHeight="1">
      <c r="A144" s="4" t="s">
        <v>445</v>
      </c>
      <c r="B144" s="5" t="s">
        <v>446</v>
      </c>
      <c r="C144" s="5" t="s">
        <v>447</v>
      </c>
      <c r="D144" s="5" t="s">
        <v>448</v>
      </c>
      <c r="E144" s="5" t="s">
        <v>304</v>
      </c>
      <c r="F144" s="9">
        <v>47</v>
      </c>
      <c r="G144" s="9">
        <v>483</v>
      </c>
      <c r="H144" s="5" t="s">
        <v>20</v>
      </c>
      <c r="I144" s="5" t="s">
        <v>449</v>
      </c>
      <c r="J144" s="12" t="str">
        <f>HYPERLINK("https://www.boe.es/gazeta/dias/1806/06/06/pdfs/GMD-C-1806-47.pdf#page=3","Abrir facsímil")</f>
        <v>Abrir facsímil</v>
      </c>
      <c r="K144" s="15" t="s">
        <v>22</v>
      </c>
    </row>
    <row r="145" spans="1:11" ht="42" customHeight="1">
      <c r="A145" s="4" t="s">
        <v>450</v>
      </c>
      <c r="B145" s="5" t="s">
        <v>451</v>
      </c>
      <c r="C145" s="5" t="s">
        <v>17</v>
      </c>
      <c r="D145" s="5" t="s">
        <v>18</v>
      </c>
      <c r="E145" s="5" t="s">
        <v>195</v>
      </c>
      <c r="F145" s="9">
        <v>4</v>
      </c>
      <c r="G145" s="9">
        <v>35</v>
      </c>
      <c r="H145" s="5" t="s">
        <v>20</v>
      </c>
      <c r="I145" s="5" t="s">
        <v>452</v>
      </c>
      <c r="J145" s="12" t="str">
        <f>HYPERLINK("https://www.boe.es/gazeta/dias/1806/01/14/pdfs/GMD-1806-4.pdf#page=7","Abrir facsímil")</f>
        <v>Abrir facsímil</v>
      </c>
      <c r="K145" s="15" t="s">
        <v>22</v>
      </c>
    </row>
    <row r="146" spans="1:11" ht="42" customHeight="1">
      <c r="A146" s="4" t="s">
        <v>453</v>
      </c>
      <c r="B146" s="5" t="s">
        <v>454</v>
      </c>
      <c r="C146" s="5" t="s">
        <v>31</v>
      </c>
      <c r="D146" s="5" t="s">
        <v>32</v>
      </c>
      <c r="E146" s="5" t="s">
        <v>455</v>
      </c>
      <c r="F146" s="9">
        <v>85</v>
      </c>
      <c r="G146" s="9">
        <v>881</v>
      </c>
      <c r="H146" s="5" t="s">
        <v>20</v>
      </c>
      <c r="I146" s="5" t="s">
        <v>456</v>
      </c>
      <c r="J146" s="12" t="str">
        <f>HYPERLINK("https://www.boe.es/gazeta/dias/1806/10/17/pdfs/GMD-1806-85.pdf#page=9","Abrir facsímil")</f>
        <v>Abrir facsímil</v>
      </c>
      <c r="K146" s="15" t="s">
        <v>22</v>
      </c>
    </row>
    <row r="147" spans="1:11" ht="42" customHeight="1">
      <c r="A147" s="4" t="s">
        <v>457</v>
      </c>
      <c r="B147" s="5" t="s">
        <v>457</v>
      </c>
      <c r="C147" s="5" t="s">
        <v>31</v>
      </c>
      <c r="D147" s="5" t="s">
        <v>32</v>
      </c>
      <c r="E147" s="5" t="s">
        <v>238</v>
      </c>
      <c r="F147" s="9">
        <v>18</v>
      </c>
      <c r="G147" s="9">
        <v>164</v>
      </c>
      <c r="H147" s="5" t="s">
        <v>20</v>
      </c>
      <c r="I147" s="5" t="s">
        <v>458</v>
      </c>
      <c r="J147" s="12" t="str">
        <f>HYPERLINK("https://www.boe.es/gazeta/dias/1806/02/25/pdfs/GMD-1806-18.pdf#page=12","Abrir facsímil")</f>
        <v>Abrir facsímil</v>
      </c>
      <c r="K147" s="15" t="s">
        <v>22</v>
      </c>
    </row>
    <row r="148" spans="1:11" ht="42" customHeight="1">
      <c r="A148" s="4" t="s">
        <v>459</v>
      </c>
      <c r="B148" s="5" t="s">
        <v>460</v>
      </c>
      <c r="C148" s="5" t="s">
        <v>31</v>
      </c>
      <c r="D148" s="5" t="s">
        <v>32</v>
      </c>
      <c r="E148" s="5" t="s">
        <v>130</v>
      </c>
      <c r="F148" s="9">
        <v>66</v>
      </c>
      <c r="G148" s="9">
        <v>690</v>
      </c>
      <c r="H148" s="5" t="s">
        <v>20</v>
      </c>
      <c r="I148" s="5" t="s">
        <v>461</v>
      </c>
      <c r="J148" s="12" t="str">
        <f>HYPERLINK("https://www.boe.es/gazeta/dias/1806/08/12/pdfs/GMD-1806-66.pdf#page=6","Abrir facsímil")</f>
        <v>Abrir facsímil</v>
      </c>
      <c r="K148" s="15" t="s">
        <v>22</v>
      </c>
    </row>
    <row r="149" spans="1:11" ht="42" customHeight="1">
      <c r="A149" s="4" t="s">
        <v>462</v>
      </c>
      <c r="B149" s="5" t="s">
        <v>462</v>
      </c>
      <c r="C149" s="5" t="s">
        <v>17</v>
      </c>
      <c r="D149" s="5" t="s">
        <v>18</v>
      </c>
      <c r="E149" s="5" t="s">
        <v>306</v>
      </c>
      <c r="F149" s="9">
        <v>59</v>
      </c>
      <c r="G149" s="9">
        <v>615</v>
      </c>
      <c r="H149" s="5" t="s">
        <v>20</v>
      </c>
      <c r="I149" s="5" t="s">
        <v>463</v>
      </c>
      <c r="J149" s="12" t="str">
        <f>HYPERLINK("https://www.boe.es/gazeta/dias/1806/07/18/pdfs/GMD-1806-59.pdf#page=11","Abrir facsímil")</f>
        <v>Abrir facsímil</v>
      </c>
      <c r="K149" s="15" t="s">
        <v>22</v>
      </c>
    </row>
    <row r="150" spans="1:11" ht="42" customHeight="1">
      <c r="A150" s="4" t="s">
        <v>464</v>
      </c>
      <c r="B150" s="5" t="s">
        <v>464</v>
      </c>
      <c r="C150" s="5" t="s">
        <v>31</v>
      </c>
      <c r="D150" s="5" t="s">
        <v>32</v>
      </c>
      <c r="E150" s="5" t="s">
        <v>205</v>
      </c>
      <c r="F150" s="9">
        <v>57</v>
      </c>
      <c r="G150" s="9">
        <v>595</v>
      </c>
      <c r="H150" s="5" t="s">
        <v>20</v>
      </c>
      <c r="I150" s="5" t="s">
        <v>465</v>
      </c>
      <c r="J150" s="12" t="str">
        <f>HYPERLINK("https://www.boe.es/gazeta/dias/1806/07/11/pdfs/GMD-1806-57.pdf#page=7","Abrir facsímil")</f>
        <v>Abrir facsímil</v>
      </c>
      <c r="K150" s="15" t="s">
        <v>22</v>
      </c>
    </row>
    <row r="151" spans="1:11" ht="42" customHeight="1">
      <c r="A151" s="4" t="s">
        <v>466</v>
      </c>
      <c r="B151" s="5" t="s">
        <v>467</v>
      </c>
      <c r="C151" s="5" t="s">
        <v>447</v>
      </c>
      <c r="D151" s="5" t="s">
        <v>448</v>
      </c>
      <c r="E151" s="5" t="s">
        <v>304</v>
      </c>
      <c r="F151" s="9">
        <v>47</v>
      </c>
      <c r="G151" s="9">
        <v>482</v>
      </c>
      <c r="H151" s="5" t="s">
        <v>20</v>
      </c>
      <c r="I151" s="5" t="s">
        <v>468</v>
      </c>
      <c r="J151" s="12" t="str">
        <f>HYPERLINK("https://www.boe.es/gazeta/dias/1806/06/06/pdfs/GMD-C-1806-47.pdf#page=2","Abrir facsímil")</f>
        <v>Abrir facsímil</v>
      </c>
      <c r="K151" s="15" t="s">
        <v>22</v>
      </c>
    </row>
    <row r="152" spans="1:11" ht="42" customHeight="1">
      <c r="A152" s="4" t="s">
        <v>469</v>
      </c>
      <c r="B152" s="5" t="s">
        <v>469</v>
      </c>
      <c r="C152" s="5" t="s">
        <v>42</v>
      </c>
      <c r="D152" s="5" t="s">
        <v>43</v>
      </c>
      <c r="E152" s="5" t="s">
        <v>28</v>
      </c>
      <c r="F152" s="9">
        <v>102</v>
      </c>
      <c r="G152" s="9">
        <v>1087</v>
      </c>
      <c r="H152" s="5" t="s">
        <v>20</v>
      </c>
      <c r="I152" s="5" t="s">
        <v>470</v>
      </c>
      <c r="J152" s="12" t="str">
        <f>HYPERLINK("https://www.boe.es/gazeta/dias/1806/12/16/pdfs/GMD-1806-102.pdf#page=11","Abrir facsímil")</f>
        <v>Abrir facsímil</v>
      </c>
      <c r="K152" s="15" t="s">
        <v>22</v>
      </c>
    </row>
    <row r="153" spans="1:11" ht="42" customHeight="1">
      <c r="A153" s="4" t="s">
        <v>471</v>
      </c>
      <c r="B153" s="5" t="s">
        <v>471</v>
      </c>
      <c r="C153" s="5" t="s">
        <v>17</v>
      </c>
      <c r="D153" s="5" t="s">
        <v>18</v>
      </c>
      <c r="E153" s="5" t="s">
        <v>367</v>
      </c>
      <c r="F153" s="9">
        <v>87</v>
      </c>
      <c r="G153" s="9">
        <v>903</v>
      </c>
      <c r="H153" s="5" t="s">
        <v>20</v>
      </c>
      <c r="I153" s="5" t="s">
        <v>472</v>
      </c>
      <c r="J153" s="12" t="str">
        <f>HYPERLINK("https://www.boe.es/gazeta/dias/1806/10/24/pdfs/GMD-1806-87.pdf#page=11","Abrir facsímil")</f>
        <v>Abrir facsímil</v>
      </c>
      <c r="K153" s="15" t="s">
        <v>22</v>
      </c>
    </row>
    <row r="154" spans="1:11" ht="42" customHeight="1">
      <c r="A154" s="4" t="s">
        <v>473</v>
      </c>
      <c r="B154" s="5" t="s">
        <v>473</v>
      </c>
      <c r="C154" s="5" t="s">
        <v>42</v>
      </c>
      <c r="D154" s="5" t="s">
        <v>43</v>
      </c>
      <c r="E154" s="5" t="s">
        <v>474</v>
      </c>
      <c r="F154" s="9">
        <v>10</v>
      </c>
      <c r="G154" s="9">
        <v>92</v>
      </c>
      <c r="H154" s="5" t="s">
        <v>20</v>
      </c>
      <c r="I154" s="5" t="s">
        <v>475</v>
      </c>
      <c r="J154" s="12" t="str">
        <f>HYPERLINK("https://www.boe.es/gazeta/dias/1806/01/28/pdfs/GMD-1806-10.pdf#page=8","Abrir facsímil")</f>
        <v>Abrir facsímil</v>
      </c>
      <c r="K154" s="15" t="s">
        <v>22</v>
      </c>
    </row>
    <row r="155" spans="1:11" ht="42" customHeight="1">
      <c r="A155" s="4" t="s">
        <v>476</v>
      </c>
      <c r="B155" s="5" t="s">
        <v>477</v>
      </c>
      <c r="C155" s="5" t="s">
        <v>447</v>
      </c>
      <c r="D155" s="5" t="s">
        <v>448</v>
      </c>
      <c r="E155" s="5" t="s">
        <v>304</v>
      </c>
      <c r="F155" s="9">
        <v>47</v>
      </c>
      <c r="G155" s="9">
        <v>487</v>
      </c>
      <c r="H155" s="5" t="s">
        <v>20</v>
      </c>
      <c r="I155" s="5" t="s">
        <v>478</v>
      </c>
      <c r="J155" s="12" t="str">
        <f>HYPERLINK("https://www.boe.es/gazeta/dias/1806/06/06/pdfs/GMD-C-1806-47.pdf#page=7","Abrir facsímil")</f>
        <v>Abrir facsímil</v>
      </c>
      <c r="K155" s="15" t="s">
        <v>22</v>
      </c>
    </row>
    <row r="156" spans="1:11" ht="42" customHeight="1">
      <c r="A156" s="4" t="s">
        <v>479</v>
      </c>
      <c r="B156" s="5" t="s">
        <v>480</v>
      </c>
      <c r="C156" s="5" t="s">
        <v>17</v>
      </c>
      <c r="D156" s="5" t="s">
        <v>18</v>
      </c>
      <c r="E156" s="5" t="s">
        <v>51</v>
      </c>
      <c r="F156" s="9">
        <v>44</v>
      </c>
      <c r="G156" s="9">
        <v>446</v>
      </c>
      <c r="H156" s="5" t="s">
        <v>20</v>
      </c>
      <c r="I156" s="5" t="s">
        <v>481</v>
      </c>
      <c r="J156" s="12" t="str">
        <f>HYPERLINK("https://www.boe.es/gazeta/dias/1806/05/27/pdfs/GMD-1806-44.pdf#page=10","Abrir facsímil")</f>
        <v>Abrir facsímil</v>
      </c>
      <c r="K156" s="15" t="s">
        <v>22</v>
      </c>
    </row>
    <row r="157" spans="1:11" ht="42" customHeight="1">
      <c r="A157" s="4" t="s">
        <v>482</v>
      </c>
      <c r="B157" s="5" t="s">
        <v>482</v>
      </c>
      <c r="C157" s="5" t="s">
        <v>42</v>
      </c>
      <c r="D157" s="5" t="s">
        <v>43</v>
      </c>
      <c r="E157" s="5" t="s">
        <v>483</v>
      </c>
      <c r="F157" s="9">
        <v>58</v>
      </c>
      <c r="G157" s="9">
        <v>602</v>
      </c>
      <c r="H157" s="5" t="s">
        <v>20</v>
      </c>
      <c r="I157" s="5" t="s">
        <v>484</v>
      </c>
      <c r="J157" s="12" t="str">
        <f>HYPERLINK("https://www.boe.es/gazeta/dias/1806/07/15/pdfs/GMD-1806-58.pdf#page=6","Abrir facsímil")</f>
        <v>Abrir facsímil</v>
      </c>
      <c r="K157" s="15" t="s">
        <v>22</v>
      </c>
    </row>
    <row r="158" spans="1:11" ht="42" customHeight="1">
      <c r="A158" s="4" t="s">
        <v>485</v>
      </c>
      <c r="B158" s="5" t="s">
        <v>485</v>
      </c>
      <c r="C158" s="5" t="s">
        <v>31</v>
      </c>
      <c r="D158" s="5" t="s">
        <v>32</v>
      </c>
      <c r="E158" s="5" t="s">
        <v>82</v>
      </c>
      <c r="F158" s="9">
        <v>48</v>
      </c>
      <c r="G158" s="9">
        <v>496</v>
      </c>
      <c r="H158" s="5" t="s">
        <v>20</v>
      </c>
      <c r="I158" s="5" t="s">
        <v>486</v>
      </c>
      <c r="J158" s="12" t="str">
        <f>HYPERLINK("https://www.boe.es/gazeta/dias/1806/06/10/pdfs/GMD-1806-48.pdf#page=8","Abrir facsímil")</f>
        <v>Abrir facsímil</v>
      </c>
      <c r="K158" s="15" t="s">
        <v>22</v>
      </c>
    </row>
    <row r="159" spans="1:11" ht="42" customHeight="1">
      <c r="A159" s="4" t="s">
        <v>487</v>
      </c>
      <c r="B159" s="5" t="s">
        <v>488</v>
      </c>
      <c r="C159" s="5" t="s">
        <v>69</v>
      </c>
      <c r="D159" s="5" t="s">
        <v>70</v>
      </c>
      <c r="E159" s="5" t="s">
        <v>271</v>
      </c>
      <c r="F159" s="9">
        <v>6</v>
      </c>
      <c r="G159" s="9">
        <v>47</v>
      </c>
      <c r="H159" s="5" t="s">
        <v>20</v>
      </c>
      <c r="I159" s="5" t="s">
        <v>489</v>
      </c>
      <c r="J159" s="12" t="str">
        <f>HYPERLINK("https://www.boe.es/gazeta/dias/1806/01/17/pdfs/GMD-1806-6.pdf#page=3","Abrir facsímil")</f>
        <v>Abrir facsímil</v>
      </c>
      <c r="K159" s="15" t="s">
        <v>22</v>
      </c>
    </row>
    <row r="160" spans="1:11" ht="42" customHeight="1">
      <c r="A160" s="4" t="s">
        <v>490</v>
      </c>
      <c r="B160" s="5" t="s">
        <v>491</v>
      </c>
      <c r="C160" s="5" t="s">
        <v>36</v>
      </c>
      <c r="D160" s="5" t="s">
        <v>37</v>
      </c>
      <c r="E160" s="5" t="s">
        <v>231</v>
      </c>
      <c r="F160" s="9">
        <v>89</v>
      </c>
      <c r="G160" s="9">
        <v>923</v>
      </c>
      <c r="H160" s="5" t="s">
        <v>20</v>
      </c>
      <c r="I160" s="5" t="s">
        <v>492</v>
      </c>
      <c r="J160" s="12" t="str">
        <f>HYPERLINK("https://www.boe.es/gazeta/dias/1806/10/31/pdfs/GMD-1806-89.pdf#page=11","Abrir facsímil")</f>
        <v>Abrir facsímil</v>
      </c>
      <c r="K160" s="15" t="s">
        <v>22</v>
      </c>
    </row>
    <row r="161" spans="1:11" ht="42" customHeight="1">
      <c r="A161" s="4" t="s">
        <v>493</v>
      </c>
      <c r="B161" s="5" t="s">
        <v>493</v>
      </c>
      <c r="C161" s="5" t="s">
        <v>17</v>
      </c>
      <c r="D161" s="5" t="s">
        <v>18</v>
      </c>
      <c r="E161" s="5" t="s">
        <v>494</v>
      </c>
      <c r="F161" s="9">
        <v>69</v>
      </c>
      <c r="G161" s="9">
        <v>721</v>
      </c>
      <c r="H161" s="5" t="s">
        <v>20</v>
      </c>
      <c r="I161" s="5" t="s">
        <v>495</v>
      </c>
      <c r="J161" s="12" t="str">
        <f>HYPERLINK("https://www.boe.es/gazeta/dias/1806/08/22/pdfs/GMD-1806-69.pdf#page=9","Abrir facsímil")</f>
        <v>Abrir facsímil</v>
      </c>
      <c r="K161" s="15" t="s">
        <v>22</v>
      </c>
    </row>
    <row r="162" spans="1:11" ht="42" customHeight="1">
      <c r="A162" s="4" t="s">
        <v>496</v>
      </c>
      <c r="B162" s="5" t="s">
        <v>496</v>
      </c>
      <c r="C162" s="5" t="s">
        <v>69</v>
      </c>
      <c r="D162" s="5" t="s">
        <v>70</v>
      </c>
      <c r="E162" s="5" t="s">
        <v>304</v>
      </c>
      <c r="F162" s="9">
        <v>47</v>
      </c>
      <c r="G162" s="9">
        <v>475</v>
      </c>
      <c r="H162" s="5" t="s">
        <v>20</v>
      </c>
      <c r="I162" s="5" t="s">
        <v>497</v>
      </c>
      <c r="J162" s="12" t="str">
        <f>HYPERLINK("https://www.boe.es/gazeta/dias/1806/06/06/pdfs/GMD-1806-47.pdf#page=3","Abrir facsímil")</f>
        <v>Abrir facsímil</v>
      </c>
      <c r="K162" s="15" t="s">
        <v>22</v>
      </c>
    </row>
    <row r="163" spans="1:11" ht="42" customHeight="1">
      <c r="A163" s="4" t="s">
        <v>498</v>
      </c>
      <c r="B163" s="5" t="s">
        <v>498</v>
      </c>
      <c r="C163" s="5" t="s">
        <v>31</v>
      </c>
      <c r="D163" s="5" t="s">
        <v>32</v>
      </c>
      <c r="E163" s="5" t="s">
        <v>86</v>
      </c>
      <c r="F163" s="9">
        <v>53</v>
      </c>
      <c r="G163" s="9">
        <v>553</v>
      </c>
      <c r="H163" s="5" t="s">
        <v>20</v>
      </c>
      <c r="I163" s="5" t="s">
        <v>499</v>
      </c>
      <c r="J163" s="12" t="str">
        <f>HYPERLINK("https://www.boe.es/gazeta/dias/1806/06/27/pdfs/GMD-1806-53.pdf#page=9","Abrir facsímil")</f>
        <v>Abrir facsímil</v>
      </c>
      <c r="K163" s="15" t="s">
        <v>22</v>
      </c>
    </row>
    <row r="164" spans="1:11" ht="42" customHeight="1">
      <c r="A164" s="4" t="s">
        <v>500</v>
      </c>
      <c r="B164" s="5" t="s">
        <v>500</v>
      </c>
      <c r="C164" s="5" t="s">
        <v>69</v>
      </c>
      <c r="D164" s="5" t="s">
        <v>70</v>
      </c>
      <c r="E164" s="5" t="s">
        <v>501</v>
      </c>
      <c r="F164" s="9">
        <v>39</v>
      </c>
      <c r="G164" s="9">
        <v>382</v>
      </c>
      <c r="H164" s="5" t="s">
        <v>20</v>
      </c>
      <c r="I164" s="5" t="s">
        <v>502</v>
      </c>
      <c r="J164" s="12" t="str">
        <f>HYPERLINK("https://www.boe.es/gazeta/dias/1806/05/09/pdfs/GMD-1806-39.pdf#page=6","Abrir facsímil")</f>
        <v>Abrir facsímil</v>
      </c>
      <c r="K164" s="15" t="s">
        <v>22</v>
      </c>
    </row>
    <row r="165" spans="1:11" ht="42" customHeight="1">
      <c r="A165" s="4" t="s">
        <v>503</v>
      </c>
      <c r="B165" s="5" t="s">
        <v>504</v>
      </c>
      <c r="C165" s="5" t="s">
        <v>31</v>
      </c>
      <c r="D165" s="5" t="s">
        <v>32</v>
      </c>
      <c r="E165" s="5" t="s">
        <v>118</v>
      </c>
      <c r="F165" s="9">
        <v>15</v>
      </c>
      <c r="G165" s="9">
        <v>134</v>
      </c>
      <c r="H165" s="5" t="s">
        <v>20</v>
      </c>
      <c r="I165" s="5" t="s">
        <v>505</v>
      </c>
      <c r="J165" s="12" t="str">
        <f>HYPERLINK("https://www.boe.es/gazeta/dias/1806/02/14/pdfs/GMD-1806-15.pdf#page=10","Abrir facsímil")</f>
        <v>Abrir facsímil</v>
      </c>
      <c r="K165" s="15" t="s">
        <v>22</v>
      </c>
    </row>
    <row r="166" spans="1:11" ht="42" customHeight="1">
      <c r="A166" s="4" t="s">
        <v>506</v>
      </c>
      <c r="B166" s="5" t="s">
        <v>507</v>
      </c>
      <c r="C166" s="5" t="s">
        <v>17</v>
      </c>
      <c r="D166" s="5" t="s">
        <v>18</v>
      </c>
      <c r="E166" s="5" t="s">
        <v>238</v>
      </c>
      <c r="F166" s="9">
        <v>18</v>
      </c>
      <c r="G166" s="9">
        <v>160</v>
      </c>
      <c r="H166" s="5" t="s">
        <v>20</v>
      </c>
      <c r="I166" s="5" t="s">
        <v>508</v>
      </c>
      <c r="J166" s="12" t="str">
        <f>HYPERLINK("https://www.boe.es/gazeta/dias/1806/02/25/pdfs/GMD-1806-18.pdf#page=8","Abrir facsímil")</f>
        <v>Abrir facsímil</v>
      </c>
      <c r="K166" s="15" t="s">
        <v>22</v>
      </c>
    </row>
    <row r="167" spans="1:11" ht="42" customHeight="1">
      <c r="A167" s="4" t="s">
        <v>509</v>
      </c>
      <c r="B167" s="5" t="s">
        <v>510</v>
      </c>
      <c r="C167" s="5" t="s">
        <v>17</v>
      </c>
      <c r="D167" s="5" t="s">
        <v>18</v>
      </c>
      <c r="E167" s="5" t="s">
        <v>26</v>
      </c>
      <c r="F167" s="9">
        <v>65</v>
      </c>
      <c r="G167" s="9">
        <v>681</v>
      </c>
      <c r="H167" s="5" t="s">
        <v>20</v>
      </c>
      <c r="I167" s="5" t="s">
        <v>511</v>
      </c>
      <c r="J167" s="12" t="str">
        <f>HYPERLINK("https://www.boe.es/gazeta/dias/1806/08/08/pdfs/GMD-1806-65.pdf#page=9","Abrir facsímil")</f>
        <v>Abrir facsímil</v>
      </c>
      <c r="K167" s="15" t="s">
        <v>22</v>
      </c>
    </row>
    <row r="168" spans="1:11" ht="42" customHeight="1">
      <c r="A168" s="4" t="s">
        <v>512</v>
      </c>
      <c r="B168" s="5" t="s">
        <v>513</v>
      </c>
      <c r="C168" s="5" t="s">
        <v>31</v>
      </c>
      <c r="D168" s="5" t="s">
        <v>32</v>
      </c>
      <c r="E168" s="5" t="s">
        <v>76</v>
      </c>
      <c r="F168" s="9">
        <v>98</v>
      </c>
      <c r="G168" s="9">
        <v>1043</v>
      </c>
      <c r="H168" s="5" t="s">
        <v>20</v>
      </c>
      <c r="I168" s="5" t="s">
        <v>514</v>
      </c>
      <c r="J168" s="12" t="str">
        <f>HYPERLINK("https://www.boe.es/gazeta/dias/1806/12/02/pdfs/GMD-1806-98.pdf#page=11","Abrir facsímil")</f>
        <v>Abrir facsímil</v>
      </c>
      <c r="K168" s="15" t="s">
        <v>22</v>
      </c>
    </row>
    <row r="169" spans="1:11" ht="42" customHeight="1">
      <c r="A169" s="4" t="s">
        <v>515</v>
      </c>
      <c r="B169" s="5" t="s">
        <v>516</v>
      </c>
      <c r="C169" s="5" t="s">
        <v>75</v>
      </c>
      <c r="D169" s="5" t="s">
        <v>43</v>
      </c>
      <c r="E169" s="5" t="s">
        <v>195</v>
      </c>
      <c r="F169" s="9">
        <v>4</v>
      </c>
      <c r="G169" s="9">
        <v>34</v>
      </c>
      <c r="H169" s="5" t="s">
        <v>20</v>
      </c>
      <c r="I169" s="5" t="s">
        <v>517</v>
      </c>
      <c r="J169" s="12" t="str">
        <f>HYPERLINK("https://www.boe.es/gazeta/dias/1806/01/14/pdfs/GMD-1806-4.pdf#page=6","Abrir facsímil")</f>
        <v>Abrir facsímil</v>
      </c>
      <c r="K169" s="15" t="s">
        <v>22</v>
      </c>
    </row>
    <row r="170" spans="1:11" ht="42" customHeight="1">
      <c r="A170" s="4" t="s">
        <v>518</v>
      </c>
      <c r="B170" s="5" t="s">
        <v>519</v>
      </c>
      <c r="C170" s="5" t="s">
        <v>31</v>
      </c>
      <c r="D170" s="5" t="s">
        <v>32</v>
      </c>
      <c r="E170" s="5" t="s">
        <v>348</v>
      </c>
      <c r="F170" s="9">
        <v>88</v>
      </c>
      <c r="G170" s="9">
        <v>910</v>
      </c>
      <c r="H170" s="5" t="s">
        <v>20</v>
      </c>
      <c r="I170" s="5" t="s">
        <v>520</v>
      </c>
      <c r="J170" s="12" t="str">
        <f>HYPERLINK("https://www.boe.es/gazeta/dias/1806/10/28/pdfs/GMD-1806-88.pdf#page=6","Abrir facsímil")</f>
        <v>Abrir facsímil</v>
      </c>
      <c r="K170" s="15" t="s">
        <v>22</v>
      </c>
    </row>
    <row r="171" spans="1:11" ht="42" customHeight="1">
      <c r="A171" s="4" t="s">
        <v>521</v>
      </c>
      <c r="B171" s="5" t="s">
        <v>522</v>
      </c>
      <c r="C171" s="5" t="s">
        <v>31</v>
      </c>
      <c r="D171" s="5" t="s">
        <v>32</v>
      </c>
      <c r="E171" s="5" t="s">
        <v>127</v>
      </c>
      <c r="F171" s="9">
        <v>81</v>
      </c>
      <c r="G171" s="9">
        <v>837</v>
      </c>
      <c r="H171" s="5" t="s">
        <v>20</v>
      </c>
      <c r="I171" s="5" t="s">
        <v>523</v>
      </c>
      <c r="J171" s="12" t="str">
        <f>HYPERLINK("https://www.boe.es/gazeta/dias/1806/10/03/pdfs/GMD-1806-81.pdf#page=5","Abrir facsímil")</f>
        <v>Abrir facsímil</v>
      </c>
      <c r="K171" s="15" t="s">
        <v>22</v>
      </c>
    </row>
    <row r="172" spans="1:11" ht="42" customHeight="1">
      <c r="A172" s="4" t="s">
        <v>524</v>
      </c>
      <c r="B172" s="5" t="s">
        <v>525</v>
      </c>
      <c r="C172" s="5" t="s">
        <v>31</v>
      </c>
      <c r="D172" s="5" t="s">
        <v>32</v>
      </c>
      <c r="E172" s="5" t="s">
        <v>121</v>
      </c>
      <c r="F172" s="9">
        <v>19</v>
      </c>
      <c r="G172" s="9">
        <v>172</v>
      </c>
      <c r="H172" s="5" t="s">
        <v>20</v>
      </c>
      <c r="I172" s="5" t="s">
        <v>526</v>
      </c>
      <c r="J172" s="12" t="str">
        <f>HYPERLINK("https://www.boe.es/gazeta/dias/1806/02/28/pdfs/GMD-1806-19.pdf#page=8","Abrir facsímil")</f>
        <v>Abrir facsímil</v>
      </c>
      <c r="K172" s="15" t="s">
        <v>22</v>
      </c>
    </row>
    <row r="173" spans="1:11" ht="42" customHeight="1">
      <c r="A173" s="4" t="s">
        <v>527</v>
      </c>
      <c r="B173" s="5" t="s">
        <v>528</v>
      </c>
      <c r="C173" s="5" t="s">
        <v>31</v>
      </c>
      <c r="D173" s="5" t="s">
        <v>32</v>
      </c>
      <c r="E173" s="5" t="s">
        <v>271</v>
      </c>
      <c r="F173" s="9">
        <v>6</v>
      </c>
      <c r="G173" s="9">
        <v>54</v>
      </c>
      <c r="H173" s="5" t="s">
        <v>20</v>
      </c>
      <c r="I173" s="5" t="s">
        <v>529</v>
      </c>
      <c r="J173" s="12" t="str">
        <f>HYPERLINK("https://www.boe.es/gazeta/dias/1806/01/17/pdfs/GMD-1806-6.pdf#page=10","Abrir facsímil")</f>
        <v>Abrir facsímil</v>
      </c>
      <c r="K173" s="15" t="s">
        <v>22</v>
      </c>
    </row>
    <row r="174" spans="1:11" ht="42" customHeight="1">
      <c r="A174" s="4" t="s">
        <v>530</v>
      </c>
      <c r="B174" s="5" t="s">
        <v>531</v>
      </c>
      <c r="C174" s="5" t="s">
        <v>31</v>
      </c>
      <c r="D174" s="5" t="s">
        <v>32</v>
      </c>
      <c r="E174" s="5" t="s">
        <v>383</v>
      </c>
      <c r="F174" s="9">
        <v>54</v>
      </c>
      <c r="G174" s="9">
        <v>558</v>
      </c>
      <c r="H174" s="5" t="s">
        <v>20</v>
      </c>
      <c r="I174" s="5" t="s">
        <v>532</v>
      </c>
      <c r="J174" s="12" t="str">
        <f>HYPERLINK("https://www.boe.es/gazeta/dias/1806/07/01/pdfs/GMD-1806-54.pdf#page=2","Abrir facsímil")</f>
        <v>Abrir facsímil</v>
      </c>
      <c r="K174" s="15" t="s">
        <v>22</v>
      </c>
    </row>
    <row r="175" spans="1:11" ht="42" customHeight="1">
      <c r="A175" s="4" t="s">
        <v>533</v>
      </c>
      <c r="B175" s="5" t="s">
        <v>533</v>
      </c>
      <c r="C175" s="5" t="s">
        <v>31</v>
      </c>
      <c r="D175" s="5" t="s">
        <v>32</v>
      </c>
      <c r="E175" s="5" t="s">
        <v>136</v>
      </c>
      <c r="F175" s="9">
        <v>50</v>
      </c>
      <c r="G175" s="9">
        <v>509</v>
      </c>
      <c r="H175" s="5" t="s">
        <v>20</v>
      </c>
      <c r="I175" s="5" t="s">
        <v>534</v>
      </c>
      <c r="J175" s="12" t="str">
        <f>HYPERLINK("https://www.boe.es/gazeta/dias/1806/06/17/pdfs/GMD-1806-50.pdf#page=1","Abrir facsímil")</f>
        <v>Abrir facsímil</v>
      </c>
      <c r="K175" s="15" t="s">
        <v>22</v>
      </c>
    </row>
    <row r="176" spans="1:11" ht="42" customHeight="1">
      <c r="A176" s="4" t="s">
        <v>535</v>
      </c>
      <c r="B176" s="5" t="s">
        <v>536</v>
      </c>
      <c r="C176" s="5" t="s">
        <v>31</v>
      </c>
      <c r="D176" s="5" t="s">
        <v>32</v>
      </c>
      <c r="E176" s="5" t="s">
        <v>290</v>
      </c>
      <c r="F176" s="9">
        <v>1</v>
      </c>
      <c r="G176" s="9">
        <v>9</v>
      </c>
      <c r="H176" s="5" t="s">
        <v>20</v>
      </c>
      <c r="I176" s="5" t="s">
        <v>537</v>
      </c>
      <c r="J176" s="12" t="str">
        <f>HYPERLINK("https://www.boe.es/gazeta/dias/1806/01/03/pdfs/GMD-1806-1.pdf#page=9","Abrir facsímil")</f>
        <v>Abrir facsímil</v>
      </c>
      <c r="K176" s="15" t="s">
        <v>22</v>
      </c>
    </row>
    <row r="177" spans="1:11" ht="42" customHeight="1">
      <c r="A177" s="4" t="s">
        <v>538</v>
      </c>
      <c r="B177" s="5" t="s">
        <v>539</v>
      </c>
      <c r="C177" s="5" t="s">
        <v>31</v>
      </c>
      <c r="D177" s="5" t="s">
        <v>32</v>
      </c>
      <c r="E177" s="5" t="s">
        <v>540</v>
      </c>
      <c r="F177" s="9">
        <v>51</v>
      </c>
      <c r="G177" s="9">
        <v>529</v>
      </c>
      <c r="H177" s="5" t="s">
        <v>20</v>
      </c>
      <c r="I177" s="5" t="s">
        <v>541</v>
      </c>
      <c r="J177" s="12" t="str">
        <f>HYPERLINK("https://www.boe.es/gazeta/dias/1806/06/20/pdfs/GMD-1806-51.pdf#page=9","Abrir facsímil")</f>
        <v>Abrir facsímil</v>
      </c>
      <c r="K177" s="15" t="s">
        <v>22</v>
      </c>
    </row>
    <row r="178" spans="1:11" ht="42" customHeight="1">
      <c r="A178" s="4" t="s">
        <v>542</v>
      </c>
      <c r="B178" s="5" t="s">
        <v>543</v>
      </c>
      <c r="C178" s="5" t="s">
        <v>17</v>
      </c>
      <c r="D178" s="5" t="s">
        <v>18</v>
      </c>
      <c r="E178" s="5" t="s">
        <v>178</v>
      </c>
      <c r="F178" s="9">
        <v>36</v>
      </c>
      <c r="G178" s="9">
        <v>349</v>
      </c>
      <c r="H178" s="5" t="s">
        <v>20</v>
      </c>
      <c r="I178" s="5" t="s">
        <v>544</v>
      </c>
      <c r="J178" s="12" t="str">
        <f>HYPERLINK("https://www.boe.es/gazeta/dias/1806/04/29/pdfs/GMD-1806-36.pdf#page=5","Abrir facsímil")</f>
        <v>Abrir facsímil</v>
      </c>
      <c r="K178" s="15" t="s">
        <v>22</v>
      </c>
    </row>
    <row r="179" spans="1:11" ht="42" customHeight="1">
      <c r="A179" s="4" t="s">
        <v>545</v>
      </c>
      <c r="B179" s="5" t="s">
        <v>546</v>
      </c>
      <c r="C179" s="5" t="s">
        <v>31</v>
      </c>
      <c r="D179" s="5" t="s">
        <v>32</v>
      </c>
      <c r="E179" s="5" t="s">
        <v>540</v>
      </c>
      <c r="F179" s="9">
        <v>51</v>
      </c>
      <c r="G179" s="9">
        <v>529</v>
      </c>
      <c r="H179" s="5" t="s">
        <v>20</v>
      </c>
      <c r="I179" s="5" t="s">
        <v>547</v>
      </c>
      <c r="J179" s="12" t="str">
        <f>HYPERLINK("https://www.boe.es/gazeta/dias/1806/06/20/pdfs/GMD-1806-51.pdf#page=9","Abrir facsímil")</f>
        <v>Abrir facsímil</v>
      </c>
      <c r="K179" s="15" t="s">
        <v>22</v>
      </c>
    </row>
    <row r="180" spans="1:11" ht="42" customHeight="1">
      <c r="A180" s="4" t="s">
        <v>548</v>
      </c>
      <c r="B180" s="5" t="s">
        <v>549</v>
      </c>
      <c r="C180" s="5" t="s">
        <v>69</v>
      </c>
      <c r="D180" s="5" t="s">
        <v>70</v>
      </c>
      <c r="E180" s="5" t="s">
        <v>256</v>
      </c>
      <c r="F180" s="9">
        <v>9</v>
      </c>
      <c r="G180" s="9">
        <v>77</v>
      </c>
      <c r="H180" s="5" t="s">
        <v>20</v>
      </c>
      <c r="I180" s="5" t="s">
        <v>550</v>
      </c>
      <c r="J180" s="12" t="str">
        <f>HYPERLINK("https://www.boe.es/gazeta/dias/1806/01/25/pdfs/GMD-1806-9.pdf#page=1","Abrir facsímil")</f>
        <v>Abrir facsímil</v>
      </c>
      <c r="K180" s="15" t="s">
        <v>22</v>
      </c>
    </row>
    <row r="181" spans="1:11" ht="42" customHeight="1">
      <c r="A181" s="4" t="s">
        <v>551</v>
      </c>
      <c r="B181" s="5" t="s">
        <v>552</v>
      </c>
      <c r="C181" s="5" t="s">
        <v>17</v>
      </c>
      <c r="D181" s="5" t="s">
        <v>18</v>
      </c>
      <c r="E181" s="5" t="s">
        <v>304</v>
      </c>
      <c r="F181" s="9">
        <v>47</v>
      </c>
      <c r="G181" s="9">
        <v>477</v>
      </c>
      <c r="H181" s="5" t="s">
        <v>20</v>
      </c>
      <c r="I181" s="5" t="s">
        <v>553</v>
      </c>
      <c r="J181" s="12" t="str">
        <f>HYPERLINK("https://www.boe.es/gazeta/dias/1806/06/06/pdfs/GMD-1806-47.pdf#page=5","Abrir facsímil")</f>
        <v>Abrir facsímil</v>
      </c>
      <c r="K181" s="15" t="s">
        <v>22</v>
      </c>
    </row>
    <row r="182" spans="1:11" ht="42" customHeight="1">
      <c r="A182" s="4" t="s">
        <v>551</v>
      </c>
      <c r="B182" s="5" t="s">
        <v>552</v>
      </c>
      <c r="C182" s="5" t="s">
        <v>69</v>
      </c>
      <c r="D182" s="5" t="s">
        <v>70</v>
      </c>
      <c r="E182" s="5" t="s">
        <v>554</v>
      </c>
      <c r="F182" s="9">
        <v>90</v>
      </c>
      <c r="G182" s="9">
        <v>932</v>
      </c>
      <c r="H182" s="5" t="s">
        <v>20</v>
      </c>
      <c r="I182" s="5" t="s">
        <v>555</v>
      </c>
      <c r="J182" s="12" t="str">
        <f>HYPERLINK("https://www.boe.es/gazeta/dias/1806/11/04/pdfs/GMD-1806-90.pdf#page=8","Abrir facsímil")</f>
        <v>Abrir facsímil</v>
      </c>
      <c r="K182" s="15" t="s">
        <v>22</v>
      </c>
    </row>
    <row r="183" spans="1:11" ht="42" customHeight="1">
      <c r="A183" s="4" t="s">
        <v>556</v>
      </c>
      <c r="B183" s="5" t="s">
        <v>557</v>
      </c>
      <c r="C183" s="5" t="s">
        <v>31</v>
      </c>
      <c r="D183" s="5" t="s">
        <v>32</v>
      </c>
      <c r="E183" s="5" t="s">
        <v>82</v>
      </c>
      <c r="F183" s="9">
        <v>48</v>
      </c>
      <c r="G183" s="9">
        <v>495</v>
      </c>
      <c r="H183" s="5" t="s">
        <v>20</v>
      </c>
      <c r="I183" s="5" t="s">
        <v>558</v>
      </c>
      <c r="J183" s="12" t="str">
        <f>HYPERLINK("https://www.boe.es/gazeta/dias/1806/06/10/pdfs/GMD-1806-48.pdf#page=7","Abrir facsímil")</f>
        <v>Abrir facsímil</v>
      </c>
      <c r="K183" s="15" t="s">
        <v>22</v>
      </c>
    </row>
    <row r="184" spans="1:11" ht="42" customHeight="1">
      <c r="A184" s="4" t="s">
        <v>559</v>
      </c>
      <c r="B184" s="5" t="s">
        <v>560</v>
      </c>
      <c r="C184" s="5" t="s">
        <v>31</v>
      </c>
      <c r="D184" s="5" t="s">
        <v>32</v>
      </c>
      <c r="E184" s="5" t="s">
        <v>51</v>
      </c>
      <c r="F184" s="9">
        <v>44</v>
      </c>
      <c r="G184" s="9">
        <v>442</v>
      </c>
      <c r="H184" s="5" t="s">
        <v>20</v>
      </c>
      <c r="I184" s="5" t="s">
        <v>561</v>
      </c>
      <c r="J184" s="12" t="str">
        <f>HYPERLINK("https://www.boe.es/gazeta/dias/1806/05/27/pdfs/GMD-1806-44.pdf#page=6","Abrir facsímil")</f>
        <v>Abrir facsímil</v>
      </c>
      <c r="K184" s="15" t="s">
        <v>22</v>
      </c>
    </row>
    <row r="185" spans="1:11" ht="42" customHeight="1">
      <c r="A185" s="4" t="s">
        <v>562</v>
      </c>
      <c r="B185" s="5" t="s">
        <v>563</v>
      </c>
      <c r="C185" s="5" t="s">
        <v>69</v>
      </c>
      <c r="D185" s="5" t="s">
        <v>70</v>
      </c>
      <c r="E185" s="5" t="s">
        <v>231</v>
      </c>
      <c r="F185" s="9">
        <v>89</v>
      </c>
      <c r="G185" s="9">
        <v>920</v>
      </c>
      <c r="H185" s="5" t="s">
        <v>20</v>
      </c>
      <c r="I185" s="5" t="s">
        <v>564</v>
      </c>
      <c r="J185" s="12" t="str">
        <f>HYPERLINK("https://www.boe.es/gazeta/dias/1806/10/31/pdfs/GMD-1806-89.pdf#page=8","Abrir facsímil")</f>
        <v>Abrir facsímil</v>
      </c>
      <c r="K185" s="15" t="s">
        <v>22</v>
      </c>
    </row>
    <row r="186" spans="1:11" ht="42" customHeight="1">
      <c r="A186" s="4" t="s">
        <v>565</v>
      </c>
      <c r="B186" s="5" t="s">
        <v>566</v>
      </c>
      <c r="C186" s="5" t="s">
        <v>75</v>
      </c>
      <c r="D186" s="5" t="s">
        <v>43</v>
      </c>
      <c r="E186" s="5" t="s">
        <v>55</v>
      </c>
      <c r="F186" s="9">
        <v>20</v>
      </c>
      <c r="G186" s="9">
        <v>183</v>
      </c>
      <c r="H186" s="5" t="s">
        <v>20</v>
      </c>
      <c r="I186" s="5" t="s">
        <v>567</v>
      </c>
      <c r="J186" s="12" t="str">
        <f>HYPERLINK("https://www.boe.es/gazeta/dias/1806/03/04/pdfs/GMD-1806-20.pdf#page=7","Abrir facsímil")</f>
        <v>Abrir facsímil</v>
      </c>
      <c r="K186" s="15" t="s">
        <v>22</v>
      </c>
    </row>
    <row r="187" spans="1:11" ht="42" customHeight="1">
      <c r="A187" s="4" t="s">
        <v>568</v>
      </c>
      <c r="B187" s="5" t="s">
        <v>569</v>
      </c>
      <c r="C187" s="5" t="s">
        <v>42</v>
      </c>
      <c r="D187" s="5" t="s">
        <v>43</v>
      </c>
      <c r="E187" s="5" t="s">
        <v>570</v>
      </c>
      <c r="F187" s="9">
        <v>93</v>
      </c>
      <c r="G187" s="9">
        <v>978</v>
      </c>
      <c r="H187" s="5" t="s">
        <v>20</v>
      </c>
      <c r="I187" s="5" t="s">
        <v>571</v>
      </c>
      <c r="J187" s="12" t="str">
        <f>HYPERLINK("https://www.boe.es/gazeta/dias/1806/11/14/pdfs/GMD-1806-93.pdf#page=14","Abrir facsímil")</f>
        <v>Abrir facsímil</v>
      </c>
      <c r="K187" s="15" t="s">
        <v>22</v>
      </c>
    </row>
    <row r="188" spans="1:11" ht="42" customHeight="1">
      <c r="A188" s="4" t="s">
        <v>572</v>
      </c>
      <c r="B188" s="5" t="s">
        <v>573</v>
      </c>
      <c r="C188" s="5" t="s">
        <v>75</v>
      </c>
      <c r="D188" s="5" t="s">
        <v>43</v>
      </c>
      <c r="E188" s="5" t="s">
        <v>301</v>
      </c>
      <c r="F188" s="9">
        <v>75</v>
      </c>
      <c r="G188" s="9">
        <v>777</v>
      </c>
      <c r="H188" s="5" t="s">
        <v>20</v>
      </c>
      <c r="I188" s="5" t="s">
        <v>574</v>
      </c>
      <c r="J188" s="12" t="str">
        <f>HYPERLINK("https://www.boe.es/gazeta/dias/1806/09/12/pdfs/GMD-1806-75.pdf#page=9","Abrir facsímil")</f>
        <v>Abrir facsímil</v>
      </c>
      <c r="K188" s="15" t="s">
        <v>22</v>
      </c>
    </row>
    <row r="189" spans="1:11" ht="42" customHeight="1">
      <c r="A189" s="4" t="s">
        <v>575</v>
      </c>
      <c r="B189" s="5" t="s">
        <v>576</v>
      </c>
      <c r="C189" s="5" t="s">
        <v>42</v>
      </c>
      <c r="D189" s="5" t="s">
        <v>43</v>
      </c>
      <c r="E189" s="5" t="s">
        <v>205</v>
      </c>
      <c r="F189" s="9">
        <v>57</v>
      </c>
      <c r="G189" s="9">
        <v>594</v>
      </c>
      <c r="H189" s="5" t="s">
        <v>20</v>
      </c>
      <c r="I189" s="5" t="s">
        <v>577</v>
      </c>
      <c r="J189" s="12" t="str">
        <f>HYPERLINK("https://www.boe.es/gazeta/dias/1806/07/11/pdfs/GMD-1806-57.pdf#page=6","Abrir facsímil")</f>
        <v>Abrir facsímil</v>
      </c>
      <c r="K189" s="15" t="s">
        <v>22</v>
      </c>
    </row>
    <row r="190" spans="1:11" ht="42" customHeight="1">
      <c r="A190" s="4" t="s">
        <v>578</v>
      </c>
      <c r="B190" s="5" t="s">
        <v>579</v>
      </c>
      <c r="C190" s="5" t="s">
        <v>17</v>
      </c>
      <c r="D190" s="5" t="s">
        <v>18</v>
      </c>
      <c r="E190" s="5" t="s">
        <v>580</v>
      </c>
      <c r="F190" s="9">
        <v>23</v>
      </c>
      <c r="G190" s="9">
        <v>219</v>
      </c>
      <c r="H190" s="5" t="s">
        <v>20</v>
      </c>
      <c r="I190" s="5" t="s">
        <v>581</v>
      </c>
      <c r="J190" s="12" t="str">
        <f>HYPERLINK("https://www.boe.es/gazeta/dias/1806/03/14/pdfs/GMD-1806-23.pdf#page=7","Abrir facsímil")</f>
        <v>Abrir facsímil</v>
      </c>
      <c r="K190" s="15" t="s">
        <v>22</v>
      </c>
    </row>
    <row r="191" spans="1:11" ht="42" customHeight="1">
      <c r="A191" s="4" t="s">
        <v>582</v>
      </c>
      <c r="B191" s="5" t="s">
        <v>583</v>
      </c>
      <c r="C191" s="5" t="s">
        <v>31</v>
      </c>
      <c r="D191" s="5" t="s">
        <v>32</v>
      </c>
      <c r="E191" s="5" t="s">
        <v>118</v>
      </c>
      <c r="F191" s="9">
        <v>15</v>
      </c>
      <c r="G191" s="9">
        <v>134</v>
      </c>
      <c r="H191" s="5" t="s">
        <v>20</v>
      </c>
      <c r="I191" s="5" t="s">
        <v>584</v>
      </c>
      <c r="J191" s="12" t="str">
        <f>HYPERLINK("https://www.boe.es/gazeta/dias/1806/02/14/pdfs/GMD-1806-15.pdf#page=10","Abrir facsímil")</f>
        <v>Abrir facsímil</v>
      </c>
      <c r="K191" s="15" t="s">
        <v>22</v>
      </c>
    </row>
    <row r="192" spans="1:11" ht="42" customHeight="1">
      <c r="A192" s="4" t="s">
        <v>585</v>
      </c>
      <c r="B192" s="5" t="s">
        <v>586</v>
      </c>
      <c r="C192" s="5" t="s">
        <v>31</v>
      </c>
      <c r="D192" s="5" t="s">
        <v>32</v>
      </c>
      <c r="E192" s="5" t="s">
        <v>202</v>
      </c>
      <c r="F192" s="9">
        <v>30</v>
      </c>
      <c r="G192" s="9">
        <v>295</v>
      </c>
      <c r="H192" s="5" t="s">
        <v>20</v>
      </c>
      <c r="I192" s="5" t="s">
        <v>587</v>
      </c>
      <c r="J192" s="12" t="str">
        <f>HYPERLINK("https://www.boe.es/gazeta/dias/1806/04/08/pdfs/GMD-1806-30.pdf#page=7","Abrir facsímil")</f>
        <v>Abrir facsímil</v>
      </c>
      <c r="K192" s="15" t="s">
        <v>22</v>
      </c>
    </row>
    <row r="193" spans="1:11" ht="42" customHeight="1">
      <c r="A193" s="4" t="s">
        <v>588</v>
      </c>
      <c r="B193" s="5" t="s">
        <v>589</v>
      </c>
      <c r="C193" s="5" t="s">
        <v>31</v>
      </c>
      <c r="D193" s="5" t="s">
        <v>32</v>
      </c>
      <c r="E193" s="5" t="s">
        <v>118</v>
      </c>
      <c r="F193" s="9">
        <v>15</v>
      </c>
      <c r="G193" s="9">
        <v>134</v>
      </c>
      <c r="H193" s="5" t="s">
        <v>20</v>
      </c>
      <c r="I193" s="5" t="s">
        <v>590</v>
      </c>
      <c r="J193" s="12" t="str">
        <f>HYPERLINK("https://www.boe.es/gazeta/dias/1806/02/14/pdfs/GMD-1806-15.pdf#page=10","Abrir facsímil")</f>
        <v>Abrir facsímil</v>
      </c>
      <c r="K193" s="15" t="s">
        <v>22</v>
      </c>
    </row>
    <row r="194" spans="1:11" ht="42" customHeight="1">
      <c r="A194" s="4" t="s">
        <v>591</v>
      </c>
      <c r="B194" s="5" t="s">
        <v>592</v>
      </c>
      <c r="C194" s="5" t="s">
        <v>42</v>
      </c>
      <c r="D194" s="5" t="s">
        <v>43</v>
      </c>
      <c r="E194" s="5" t="s">
        <v>71</v>
      </c>
      <c r="F194" s="9">
        <v>29</v>
      </c>
      <c r="G194" s="9">
        <v>287</v>
      </c>
      <c r="H194" s="5" t="s">
        <v>20</v>
      </c>
      <c r="I194" s="5" t="s">
        <v>593</v>
      </c>
      <c r="J194" s="12" t="str">
        <f>HYPERLINK("https://www.boe.es/gazeta/dias/1806/04/04/pdfs/GMD-1806-29.pdf#page=7","Abrir facsímil")</f>
        <v>Abrir facsímil</v>
      </c>
      <c r="K194" s="15" t="s">
        <v>22</v>
      </c>
    </row>
    <row r="195" spans="1:11" ht="42" customHeight="1">
      <c r="A195" s="4" t="s">
        <v>594</v>
      </c>
      <c r="B195" s="5" t="s">
        <v>594</v>
      </c>
      <c r="C195" s="5" t="s">
        <v>75</v>
      </c>
      <c r="D195" s="5" t="s">
        <v>43</v>
      </c>
      <c r="E195" s="5" t="s">
        <v>474</v>
      </c>
      <c r="F195" s="9">
        <v>10</v>
      </c>
      <c r="G195" s="9">
        <v>91</v>
      </c>
      <c r="H195" s="5" t="s">
        <v>20</v>
      </c>
      <c r="I195" s="5" t="s">
        <v>595</v>
      </c>
      <c r="J195" s="12" t="str">
        <f>HYPERLINK("https://www.boe.es/gazeta/dias/1806/01/28/pdfs/GMD-1806-10.pdf#page=7","Abrir facsímil")</f>
        <v>Abrir facsímil</v>
      </c>
      <c r="K195" s="15" t="s">
        <v>22</v>
      </c>
    </row>
    <row r="196" spans="1:11" ht="42" customHeight="1">
      <c r="A196" s="4" t="s">
        <v>596</v>
      </c>
      <c r="B196" s="5" t="s">
        <v>597</v>
      </c>
      <c r="C196" s="5" t="s">
        <v>31</v>
      </c>
      <c r="D196" s="5" t="s">
        <v>32</v>
      </c>
      <c r="E196" s="5" t="s">
        <v>554</v>
      </c>
      <c r="F196" s="9">
        <v>90</v>
      </c>
      <c r="G196" s="9">
        <v>934</v>
      </c>
      <c r="H196" s="5" t="s">
        <v>20</v>
      </c>
      <c r="I196" s="5" t="s">
        <v>598</v>
      </c>
      <c r="J196" s="12" t="str">
        <f>HYPERLINK("https://www.boe.es/gazeta/dias/1806/11/04/pdfs/GMD-1806-90.pdf#page=10","Abrir facsímil")</f>
        <v>Abrir facsímil</v>
      </c>
      <c r="K196" s="15" t="s">
        <v>22</v>
      </c>
    </row>
    <row r="197" spans="1:11" ht="42" customHeight="1">
      <c r="A197" s="4" t="s">
        <v>599</v>
      </c>
      <c r="B197" s="5" t="s">
        <v>599</v>
      </c>
      <c r="C197" s="5" t="s">
        <v>17</v>
      </c>
      <c r="D197" s="5" t="s">
        <v>18</v>
      </c>
      <c r="E197" s="5" t="s">
        <v>600</v>
      </c>
      <c r="F197" s="9">
        <v>77</v>
      </c>
      <c r="G197" s="9">
        <v>794</v>
      </c>
      <c r="H197" s="5" t="s">
        <v>20</v>
      </c>
      <c r="I197" s="5" t="s">
        <v>601</v>
      </c>
      <c r="J197" s="12" t="str">
        <f>HYPERLINK("https://www.boe.es/gazeta/dias/1806/09/19/pdfs/GMD-1806-77.pdf#page=6","Abrir facsímil")</f>
        <v>Abrir facsímil</v>
      </c>
      <c r="K197" s="15" t="s">
        <v>22</v>
      </c>
    </row>
    <row r="198" spans="1:11" ht="42" customHeight="1">
      <c r="A198" s="4" t="s">
        <v>602</v>
      </c>
      <c r="B198" s="5" t="s">
        <v>603</v>
      </c>
      <c r="C198" s="5" t="s">
        <v>17</v>
      </c>
      <c r="D198" s="5" t="s">
        <v>18</v>
      </c>
      <c r="E198" s="5" t="s">
        <v>195</v>
      </c>
      <c r="F198" s="9">
        <v>4</v>
      </c>
      <c r="G198" s="9">
        <v>35</v>
      </c>
      <c r="H198" s="5" t="s">
        <v>20</v>
      </c>
      <c r="I198" s="5" t="s">
        <v>604</v>
      </c>
      <c r="J198" s="12" t="str">
        <f>HYPERLINK("https://www.boe.es/gazeta/dias/1806/01/14/pdfs/GMD-1806-4.pdf#page=7","Abrir facsímil")</f>
        <v>Abrir facsímil</v>
      </c>
      <c r="K198" s="15" t="s">
        <v>22</v>
      </c>
    </row>
    <row r="199" spans="1:11" ht="42" customHeight="1">
      <c r="A199" s="4" t="s">
        <v>605</v>
      </c>
      <c r="B199" s="5" t="s">
        <v>606</v>
      </c>
      <c r="C199" s="5" t="s">
        <v>17</v>
      </c>
      <c r="D199" s="5" t="s">
        <v>18</v>
      </c>
      <c r="E199" s="5" t="s">
        <v>96</v>
      </c>
      <c r="F199" s="9">
        <v>62</v>
      </c>
      <c r="G199" s="9">
        <v>648</v>
      </c>
      <c r="H199" s="5" t="s">
        <v>20</v>
      </c>
      <c r="I199" s="5" t="s">
        <v>607</v>
      </c>
      <c r="J199" s="12" t="str">
        <f>HYPERLINK("https://www.boe.es/gazeta/dias/1806/07/29/pdfs/GMD-1806-62.pdf#page=8","Abrir facsímil")</f>
        <v>Abrir facsímil</v>
      </c>
      <c r="K199" s="15" t="s">
        <v>22</v>
      </c>
    </row>
    <row r="200" spans="1:11" ht="42" customHeight="1">
      <c r="A200" s="4" t="s">
        <v>608</v>
      </c>
      <c r="B200" s="5" t="s">
        <v>609</v>
      </c>
      <c r="C200" s="5" t="s">
        <v>75</v>
      </c>
      <c r="D200" s="5" t="s">
        <v>43</v>
      </c>
      <c r="E200" s="5" t="s">
        <v>110</v>
      </c>
      <c r="F200" s="9">
        <v>55</v>
      </c>
      <c r="G200" s="9">
        <v>574</v>
      </c>
      <c r="H200" s="5" t="s">
        <v>20</v>
      </c>
      <c r="I200" s="5" t="s">
        <v>610</v>
      </c>
      <c r="J200" s="12" t="str">
        <f>HYPERLINK("https://www.boe.es/gazeta/dias/1806/07/04/pdfs/GMD-1806-55.pdf#page=10","Abrir facsímil")</f>
        <v>Abrir facsímil</v>
      </c>
      <c r="K200" s="15" t="s">
        <v>22</v>
      </c>
    </row>
    <row r="201" spans="1:11" ht="42" customHeight="1">
      <c r="A201" s="4" t="s">
        <v>611</v>
      </c>
      <c r="B201" s="5" t="s">
        <v>611</v>
      </c>
      <c r="C201" s="5" t="s">
        <v>31</v>
      </c>
      <c r="D201" s="5" t="s">
        <v>32</v>
      </c>
      <c r="E201" s="5" t="s">
        <v>238</v>
      </c>
      <c r="F201" s="9">
        <v>18</v>
      </c>
      <c r="G201" s="9">
        <v>160</v>
      </c>
      <c r="H201" s="5" t="s">
        <v>20</v>
      </c>
      <c r="I201" s="5" t="s">
        <v>612</v>
      </c>
      <c r="J201" s="12" t="str">
        <f>HYPERLINK("https://www.boe.es/gazeta/dias/1806/02/25/pdfs/GMD-1806-18.pdf#page=8","Abrir facsímil")</f>
        <v>Abrir facsímil</v>
      </c>
      <c r="K201" s="15" t="s">
        <v>22</v>
      </c>
    </row>
    <row r="202" spans="1:11" ht="42" customHeight="1">
      <c r="A202" s="4" t="s">
        <v>613</v>
      </c>
      <c r="B202" s="5" t="s">
        <v>613</v>
      </c>
      <c r="C202" s="5" t="s">
        <v>31</v>
      </c>
      <c r="D202" s="5" t="s">
        <v>32</v>
      </c>
      <c r="E202" s="5" t="s">
        <v>271</v>
      </c>
      <c r="F202" s="9">
        <v>6</v>
      </c>
      <c r="G202" s="9">
        <v>55</v>
      </c>
      <c r="H202" s="5" t="s">
        <v>20</v>
      </c>
      <c r="I202" s="5" t="s">
        <v>614</v>
      </c>
      <c r="J202" s="12" t="str">
        <f>HYPERLINK("https://www.boe.es/gazeta/dias/1806/01/17/pdfs/GMD-1806-6.pdf#page=11","Abrir facsímil")</f>
        <v>Abrir facsímil</v>
      </c>
      <c r="K202" s="15" t="s">
        <v>22</v>
      </c>
    </row>
    <row r="203" spans="1:11" ht="42" customHeight="1">
      <c r="A203" s="4" t="s">
        <v>615</v>
      </c>
      <c r="B203" s="5" t="s">
        <v>616</v>
      </c>
      <c r="C203" s="5" t="s">
        <v>31</v>
      </c>
      <c r="D203" s="5" t="s">
        <v>32</v>
      </c>
      <c r="E203" s="5" t="s">
        <v>297</v>
      </c>
      <c r="F203" s="9">
        <v>94</v>
      </c>
      <c r="G203" s="9">
        <v>989</v>
      </c>
      <c r="H203" s="5" t="s">
        <v>20</v>
      </c>
      <c r="I203" s="5" t="s">
        <v>617</v>
      </c>
      <c r="J203" s="12" t="str">
        <f>HYPERLINK("https://www.boe.es/gazeta/dias/1806/11/18/pdfs/GMD-1806-94.pdf#page=9","Abrir facsímil")</f>
        <v>Abrir facsímil</v>
      </c>
      <c r="K203" s="15" t="s">
        <v>22</v>
      </c>
    </row>
    <row r="204" spans="1:11" ht="42" customHeight="1">
      <c r="A204" s="4" t="s">
        <v>618</v>
      </c>
      <c r="B204" s="5" t="s">
        <v>619</v>
      </c>
      <c r="C204" s="5" t="s">
        <v>17</v>
      </c>
      <c r="D204" s="5" t="s">
        <v>18</v>
      </c>
      <c r="E204" s="5" t="s">
        <v>580</v>
      </c>
      <c r="F204" s="9">
        <v>23</v>
      </c>
      <c r="G204" s="9">
        <v>217</v>
      </c>
      <c r="H204" s="5" t="s">
        <v>20</v>
      </c>
      <c r="I204" s="5" t="s">
        <v>620</v>
      </c>
      <c r="J204" s="12" t="str">
        <f>HYPERLINK("https://www.boe.es/gazeta/dias/1806/03/14/pdfs/GMD-1806-23.pdf#page=5","Abrir facsímil")</f>
        <v>Abrir facsímil</v>
      </c>
      <c r="K204" s="15" t="s">
        <v>22</v>
      </c>
    </row>
    <row r="205" spans="1:11" ht="42" customHeight="1">
      <c r="A205" s="4" t="s">
        <v>618</v>
      </c>
      <c r="B205" s="5" t="s">
        <v>619</v>
      </c>
      <c r="C205" s="5" t="s">
        <v>69</v>
      </c>
      <c r="D205" s="5" t="s">
        <v>70</v>
      </c>
      <c r="E205" s="5" t="s">
        <v>227</v>
      </c>
      <c r="F205" s="9">
        <v>27</v>
      </c>
      <c r="G205" s="9">
        <v>261</v>
      </c>
      <c r="H205" s="5" t="s">
        <v>20</v>
      </c>
      <c r="I205" s="5" t="s">
        <v>621</v>
      </c>
      <c r="J205" s="12" t="str">
        <f>HYPERLINK("https://www.boe.es/gazeta/dias/1806/03/28/pdfs/GMD-1806-27.pdf#page=1","Abrir facsímil")</f>
        <v>Abrir facsímil</v>
      </c>
      <c r="K205" s="15" t="s">
        <v>22</v>
      </c>
    </row>
    <row r="206" spans="1:11" ht="42" customHeight="1">
      <c r="A206" s="4" t="s">
        <v>622</v>
      </c>
      <c r="B206" s="5" t="s">
        <v>622</v>
      </c>
      <c r="C206" s="5" t="s">
        <v>31</v>
      </c>
      <c r="D206" s="5" t="s">
        <v>32</v>
      </c>
      <c r="E206" s="5" t="s">
        <v>90</v>
      </c>
      <c r="F206" s="9">
        <v>60</v>
      </c>
      <c r="G206" s="9">
        <v>617</v>
      </c>
      <c r="H206" s="5" t="s">
        <v>20</v>
      </c>
      <c r="I206" s="5" t="s">
        <v>623</v>
      </c>
      <c r="J206" s="12" t="str">
        <f>HYPERLINK("https://www.boe.es/gazeta/dias/1806/07/22/pdfs/GMD-1806-60.pdf#page=1","Abrir facsímil")</f>
        <v>Abrir facsímil</v>
      </c>
      <c r="K206" s="15" t="s">
        <v>22</v>
      </c>
    </row>
    <row r="207" spans="1:11" ht="42" customHeight="1">
      <c r="A207" s="4" t="s">
        <v>622</v>
      </c>
      <c r="B207" s="5" t="s">
        <v>622</v>
      </c>
      <c r="C207" s="5" t="s">
        <v>42</v>
      </c>
      <c r="D207" s="5" t="s">
        <v>43</v>
      </c>
      <c r="E207" s="5" t="s">
        <v>90</v>
      </c>
      <c r="F207" s="9">
        <v>60</v>
      </c>
      <c r="G207" s="9">
        <v>618</v>
      </c>
      <c r="H207" s="5" t="s">
        <v>20</v>
      </c>
      <c r="I207" s="5" t="s">
        <v>624</v>
      </c>
      <c r="J207" s="12" t="str">
        <f>HYPERLINK("https://www.boe.es/gazeta/dias/1806/07/22/pdfs/GMD-1806-60.pdf#page=2","Abrir facsímil")</f>
        <v>Abrir facsímil</v>
      </c>
      <c r="K207" s="15" t="s">
        <v>22</v>
      </c>
    </row>
    <row r="208" spans="1:11" ht="42" customHeight="1">
      <c r="A208" s="4" t="s">
        <v>625</v>
      </c>
      <c r="B208" s="5" t="s">
        <v>625</v>
      </c>
      <c r="C208" s="5" t="s">
        <v>17</v>
      </c>
      <c r="D208" s="5" t="s">
        <v>18</v>
      </c>
      <c r="E208" s="5" t="s">
        <v>474</v>
      </c>
      <c r="F208" s="9">
        <v>10</v>
      </c>
      <c r="G208" s="9">
        <v>90</v>
      </c>
      <c r="H208" s="5" t="s">
        <v>20</v>
      </c>
      <c r="I208" s="5" t="s">
        <v>626</v>
      </c>
      <c r="J208" s="12" t="str">
        <f>HYPERLINK("https://www.boe.es/gazeta/dias/1806/01/28/pdfs/GMD-1806-10.pdf#page=6","Abrir facsímil")</f>
        <v>Abrir facsímil</v>
      </c>
      <c r="K208" s="15" t="s">
        <v>22</v>
      </c>
    </row>
    <row r="209" spans="1:11" ht="42" customHeight="1">
      <c r="A209" s="4" t="s">
        <v>627</v>
      </c>
      <c r="B209" s="5" t="s">
        <v>628</v>
      </c>
      <c r="C209" s="5" t="s">
        <v>31</v>
      </c>
      <c r="D209" s="5" t="s">
        <v>32</v>
      </c>
      <c r="E209" s="5" t="s">
        <v>297</v>
      </c>
      <c r="F209" s="9">
        <v>94</v>
      </c>
      <c r="G209" s="9">
        <v>989</v>
      </c>
      <c r="H209" s="5" t="s">
        <v>20</v>
      </c>
      <c r="I209" s="5" t="s">
        <v>629</v>
      </c>
      <c r="J209" s="12" t="str">
        <f>HYPERLINK("https://www.boe.es/gazeta/dias/1806/11/18/pdfs/GMD-1806-94.pdf#page=9","Abrir facsímil")</f>
        <v>Abrir facsímil</v>
      </c>
      <c r="K209" s="15" t="s">
        <v>22</v>
      </c>
    </row>
    <row r="210" spans="1:11" ht="42" customHeight="1">
      <c r="A210" s="4" t="s">
        <v>630</v>
      </c>
      <c r="B210" s="5" t="s">
        <v>631</v>
      </c>
      <c r="C210" s="5" t="s">
        <v>17</v>
      </c>
      <c r="D210" s="5" t="s">
        <v>18</v>
      </c>
      <c r="E210" s="5" t="s">
        <v>148</v>
      </c>
      <c r="F210" s="9">
        <v>78</v>
      </c>
      <c r="G210" s="9">
        <v>804</v>
      </c>
      <c r="H210" s="5" t="s">
        <v>20</v>
      </c>
      <c r="I210" s="5" t="s">
        <v>632</v>
      </c>
      <c r="J210" s="12" t="str">
        <f>HYPERLINK("https://www.boe.es/gazeta/dias/1806/09/23/pdfs/GMD-1806-78.pdf#page=8","Abrir facsímil")</f>
        <v>Abrir facsímil</v>
      </c>
      <c r="K210" s="15" t="s">
        <v>22</v>
      </c>
    </row>
    <row r="211" spans="1:11" ht="42" customHeight="1">
      <c r="A211" s="4" t="s">
        <v>633</v>
      </c>
      <c r="B211" s="5" t="s">
        <v>634</v>
      </c>
      <c r="C211" s="5" t="s">
        <v>17</v>
      </c>
      <c r="D211" s="5" t="s">
        <v>18</v>
      </c>
      <c r="E211" s="5" t="s">
        <v>172</v>
      </c>
      <c r="F211" s="9">
        <v>17</v>
      </c>
      <c r="G211" s="9">
        <v>152</v>
      </c>
      <c r="H211" s="5" t="s">
        <v>20</v>
      </c>
      <c r="I211" s="5" t="s">
        <v>635</v>
      </c>
      <c r="J211" s="12" t="str">
        <f>HYPERLINK("https://www.boe.es/gazeta/dias/1806/02/21/pdfs/GMD-1806-17.pdf#page=8","Abrir facsímil")</f>
        <v>Abrir facsímil</v>
      </c>
      <c r="K211" s="15" t="s">
        <v>22</v>
      </c>
    </row>
    <row r="212" spans="1:11" ht="42" customHeight="1">
      <c r="A212" s="4" t="s">
        <v>636</v>
      </c>
      <c r="B212" s="5" t="s">
        <v>637</v>
      </c>
      <c r="C212" s="5" t="s">
        <v>31</v>
      </c>
      <c r="D212" s="5" t="s">
        <v>32</v>
      </c>
      <c r="E212" s="5" t="s">
        <v>554</v>
      </c>
      <c r="F212" s="9">
        <v>90</v>
      </c>
      <c r="G212" s="9">
        <v>934</v>
      </c>
      <c r="H212" s="5" t="s">
        <v>20</v>
      </c>
      <c r="I212" s="5" t="s">
        <v>638</v>
      </c>
      <c r="J212" s="12" t="str">
        <f>HYPERLINK("https://www.boe.es/gazeta/dias/1806/11/04/pdfs/GMD-1806-90.pdf#page=10","Abrir facsímil")</f>
        <v>Abrir facsímil</v>
      </c>
      <c r="K212" s="15" t="s">
        <v>22</v>
      </c>
    </row>
    <row r="213" spans="1:11" ht="42" customHeight="1">
      <c r="A213" s="4" t="s">
        <v>639</v>
      </c>
      <c r="B213" s="5" t="s">
        <v>639</v>
      </c>
      <c r="C213" s="5" t="s">
        <v>31</v>
      </c>
      <c r="D213" s="5" t="s">
        <v>32</v>
      </c>
      <c r="E213" s="5" t="s">
        <v>540</v>
      </c>
      <c r="F213" s="9">
        <v>51</v>
      </c>
      <c r="G213" s="9">
        <v>526</v>
      </c>
      <c r="H213" s="5" t="s">
        <v>20</v>
      </c>
      <c r="I213" s="5" t="s">
        <v>640</v>
      </c>
      <c r="J213" s="12" t="str">
        <f>HYPERLINK("https://www.boe.es/gazeta/dias/1806/06/20/pdfs/GMD-1806-51.pdf#page=6","Abrir facsímil")</f>
        <v>Abrir facsímil</v>
      </c>
      <c r="K213" s="15" t="s">
        <v>22</v>
      </c>
    </row>
    <row r="214" spans="1:11" ht="42" customHeight="1">
      <c r="A214" s="4" t="s">
        <v>641</v>
      </c>
      <c r="B214" s="5" t="s">
        <v>641</v>
      </c>
      <c r="C214" s="5" t="s">
        <v>69</v>
      </c>
      <c r="D214" s="5" t="s">
        <v>70</v>
      </c>
      <c r="E214" s="5" t="s">
        <v>400</v>
      </c>
      <c r="F214" s="9">
        <v>22</v>
      </c>
      <c r="G214" s="9">
        <v>204</v>
      </c>
      <c r="H214" s="5" t="s">
        <v>20</v>
      </c>
      <c r="I214" s="5" t="s">
        <v>642</v>
      </c>
      <c r="J214" s="12" t="str">
        <f>HYPERLINK("https://www.boe.es/gazeta/dias/1806/03/11/pdfs/GMD-1806-22.pdf#page=4","Abrir facsímil")</f>
        <v>Abrir facsímil</v>
      </c>
      <c r="K214" s="15" t="s">
        <v>22</v>
      </c>
    </row>
    <row r="215" spans="1:11" ht="42" customHeight="1">
      <c r="A215" s="4" t="s">
        <v>643</v>
      </c>
      <c r="B215" s="5" t="s">
        <v>643</v>
      </c>
      <c r="C215" s="5" t="s">
        <v>69</v>
      </c>
      <c r="D215" s="5" t="s">
        <v>70</v>
      </c>
      <c r="E215" s="5" t="s">
        <v>367</v>
      </c>
      <c r="F215" s="9">
        <v>87</v>
      </c>
      <c r="G215" s="9">
        <v>896</v>
      </c>
      <c r="H215" s="5" t="s">
        <v>20</v>
      </c>
      <c r="I215" s="5" t="s">
        <v>644</v>
      </c>
      <c r="J215" s="12" t="str">
        <f>HYPERLINK("https://www.boe.es/gazeta/dias/1806/10/24/pdfs/GMD-1806-87.pdf#page=4","Abrir facsímil")</f>
        <v>Abrir facsímil</v>
      </c>
      <c r="K215" s="15" t="s">
        <v>22</v>
      </c>
    </row>
    <row r="216" spans="1:11" ht="42" customHeight="1">
      <c r="A216" s="4" t="s">
        <v>645</v>
      </c>
      <c r="B216" s="5" t="s">
        <v>646</v>
      </c>
      <c r="C216" s="5" t="s">
        <v>31</v>
      </c>
      <c r="D216" s="5" t="s">
        <v>32</v>
      </c>
      <c r="E216" s="5" t="s">
        <v>209</v>
      </c>
      <c r="F216" s="9">
        <v>95</v>
      </c>
      <c r="G216" s="9">
        <v>1005</v>
      </c>
      <c r="H216" s="5" t="s">
        <v>20</v>
      </c>
      <c r="I216" s="5" t="s">
        <v>647</v>
      </c>
      <c r="J216" s="12" t="str">
        <f>HYPERLINK("https://www.boe.es/gazeta/dias/1806/11/21/pdfs/GMD-1806-95.pdf#page=13","Abrir facsímil")</f>
        <v>Abrir facsímil</v>
      </c>
      <c r="K216" s="15" t="s">
        <v>22</v>
      </c>
    </row>
    <row r="217" spans="1:11" ht="42" customHeight="1">
      <c r="A217" s="4" t="s">
        <v>648</v>
      </c>
      <c r="B217" s="5" t="s">
        <v>648</v>
      </c>
      <c r="C217" s="5" t="s">
        <v>17</v>
      </c>
      <c r="D217" s="5" t="s">
        <v>18</v>
      </c>
      <c r="E217" s="5" t="s">
        <v>290</v>
      </c>
      <c r="F217" s="9">
        <v>1</v>
      </c>
      <c r="G217" s="9">
        <v>11</v>
      </c>
      <c r="H217" s="5" t="s">
        <v>20</v>
      </c>
      <c r="I217" s="5" t="s">
        <v>649</v>
      </c>
      <c r="J217" s="12" t="str">
        <f>HYPERLINK("https://www.boe.es/gazeta/dias/1806/01/03/pdfs/GMD-1806-1.pdf#page=11","Abrir facsímil")</f>
        <v>Abrir facsímil</v>
      </c>
      <c r="K217" s="15" t="s">
        <v>22</v>
      </c>
    </row>
    <row r="218" spans="1:11" ht="42" customHeight="1">
      <c r="A218" s="4" t="s">
        <v>650</v>
      </c>
      <c r="B218" s="5" t="s">
        <v>651</v>
      </c>
      <c r="C218" s="5" t="s">
        <v>17</v>
      </c>
      <c r="D218" s="5" t="s">
        <v>18</v>
      </c>
      <c r="E218" s="5" t="s">
        <v>474</v>
      </c>
      <c r="F218" s="9">
        <v>10</v>
      </c>
      <c r="G218" s="9">
        <v>90</v>
      </c>
      <c r="H218" s="5" t="s">
        <v>20</v>
      </c>
      <c r="I218" s="5" t="s">
        <v>652</v>
      </c>
      <c r="J218" s="12" t="str">
        <f>HYPERLINK("https://www.boe.es/gazeta/dias/1806/01/28/pdfs/GMD-1806-10.pdf#page=6","Abrir facsímil")</f>
        <v>Abrir facsímil</v>
      </c>
      <c r="K218" s="15" t="s">
        <v>22</v>
      </c>
    </row>
    <row r="219" spans="1:11" ht="42" customHeight="1">
      <c r="A219" s="4" t="s">
        <v>650</v>
      </c>
      <c r="B219" s="5" t="s">
        <v>651</v>
      </c>
      <c r="C219" s="5" t="s">
        <v>17</v>
      </c>
      <c r="D219" s="5" t="s">
        <v>18</v>
      </c>
      <c r="E219" s="5" t="s">
        <v>55</v>
      </c>
      <c r="F219" s="9">
        <v>20</v>
      </c>
      <c r="G219" s="9">
        <v>183</v>
      </c>
      <c r="H219" s="5" t="s">
        <v>20</v>
      </c>
      <c r="I219" s="5" t="s">
        <v>653</v>
      </c>
      <c r="J219" s="12" t="str">
        <f>HYPERLINK("https://www.boe.es/gazeta/dias/1806/03/04/pdfs/GMD-1806-20.pdf#page=7","Abrir facsímil")</f>
        <v>Abrir facsímil</v>
      </c>
      <c r="K219" s="15" t="s">
        <v>22</v>
      </c>
    </row>
    <row r="220" spans="1:11" ht="42" customHeight="1">
      <c r="A220" s="4" t="s">
        <v>654</v>
      </c>
      <c r="B220" s="5" t="s">
        <v>655</v>
      </c>
      <c r="C220" s="5" t="s">
        <v>31</v>
      </c>
      <c r="D220" s="5" t="s">
        <v>32</v>
      </c>
      <c r="E220" s="5" t="s">
        <v>113</v>
      </c>
      <c r="F220" s="9">
        <v>28</v>
      </c>
      <c r="G220" s="9">
        <v>276</v>
      </c>
      <c r="H220" s="5" t="s">
        <v>20</v>
      </c>
      <c r="I220" s="5" t="s">
        <v>656</v>
      </c>
      <c r="J220" s="12" t="str">
        <f>HYPERLINK("https://www.boe.es/gazeta/dias/1806/04/01/pdfs/GMD-1806-28.pdf#page=4","Abrir facsímil")</f>
        <v>Abrir facsímil</v>
      </c>
      <c r="K220" s="15" t="s">
        <v>22</v>
      </c>
    </row>
    <row r="221" spans="1:11" ht="42" customHeight="1">
      <c r="A221" s="4" t="s">
        <v>650</v>
      </c>
      <c r="B221" s="5" t="s">
        <v>651</v>
      </c>
      <c r="C221" s="5" t="s">
        <v>69</v>
      </c>
      <c r="D221" s="5" t="s">
        <v>70</v>
      </c>
      <c r="E221" s="5" t="s">
        <v>657</v>
      </c>
      <c r="F221" s="9">
        <v>96</v>
      </c>
      <c r="G221" s="9">
        <v>1015</v>
      </c>
      <c r="H221" s="5" t="s">
        <v>20</v>
      </c>
      <c r="I221" s="5" t="s">
        <v>658</v>
      </c>
      <c r="J221" s="12" t="str">
        <f>HYPERLINK("https://www.boe.es/gazeta/dias/1806/11/25/pdfs/GMD-1806-96.pdf#page=7","Abrir facsímil")</f>
        <v>Abrir facsímil</v>
      </c>
      <c r="K221" s="15" t="s">
        <v>22</v>
      </c>
    </row>
    <row r="222" spans="1:11" ht="42" customHeight="1">
      <c r="A222" s="4" t="s">
        <v>659</v>
      </c>
      <c r="B222" s="5" t="s">
        <v>660</v>
      </c>
      <c r="C222" s="5" t="s">
        <v>31</v>
      </c>
      <c r="D222" s="5" t="s">
        <v>32</v>
      </c>
      <c r="E222" s="5" t="s">
        <v>661</v>
      </c>
      <c r="F222" s="9">
        <v>38</v>
      </c>
      <c r="G222" s="9">
        <v>373</v>
      </c>
      <c r="H222" s="5" t="s">
        <v>20</v>
      </c>
      <c r="I222" s="5" t="s">
        <v>662</v>
      </c>
      <c r="J222" s="12" t="str">
        <f>HYPERLINK("https://www.boe.es/gazeta/dias/1806/05/06/pdfs/GMD-1806-38.pdf#page=9","Abrir facsímil")</f>
        <v>Abrir facsímil</v>
      </c>
      <c r="K222" s="15" t="s">
        <v>22</v>
      </c>
    </row>
    <row r="223" spans="1:11" ht="42" customHeight="1">
      <c r="A223" s="4" t="s">
        <v>659</v>
      </c>
      <c r="B223" s="5" t="s">
        <v>660</v>
      </c>
      <c r="C223" s="5" t="s">
        <v>31</v>
      </c>
      <c r="D223" s="5" t="s">
        <v>32</v>
      </c>
      <c r="E223" s="5" t="s">
        <v>51</v>
      </c>
      <c r="F223" s="9">
        <v>44</v>
      </c>
      <c r="G223" s="9">
        <v>447</v>
      </c>
      <c r="H223" s="5" t="s">
        <v>20</v>
      </c>
      <c r="I223" s="5" t="s">
        <v>663</v>
      </c>
      <c r="J223" s="12" t="str">
        <f>HYPERLINK("https://www.boe.es/gazeta/dias/1806/05/27/pdfs/GMD-1806-44.pdf#page=11","Abrir facsímil")</f>
        <v>Abrir facsímil</v>
      </c>
      <c r="K223" s="15" t="s">
        <v>22</v>
      </c>
    </row>
    <row r="224" spans="1:11" ht="42" customHeight="1">
      <c r="A224" s="4" t="s">
        <v>659</v>
      </c>
      <c r="B224" s="5" t="s">
        <v>660</v>
      </c>
      <c r="C224" s="5" t="s">
        <v>17</v>
      </c>
      <c r="D224" s="5" t="s">
        <v>18</v>
      </c>
      <c r="E224" s="5" t="s">
        <v>312</v>
      </c>
      <c r="F224" s="9">
        <v>100</v>
      </c>
      <c r="G224" s="9">
        <v>1065</v>
      </c>
      <c r="H224" s="5" t="s">
        <v>20</v>
      </c>
      <c r="I224" s="5" t="s">
        <v>664</v>
      </c>
      <c r="J224" s="12" t="str">
        <f>HYPERLINK("https://www.boe.es/gazeta/dias/1806/12/09/pdfs/GMD-1806-100.pdf#page=9","Abrir facsímil")</f>
        <v>Abrir facsímil</v>
      </c>
      <c r="K224" s="15" t="s">
        <v>22</v>
      </c>
    </row>
    <row r="225" spans="1:11" ht="42" customHeight="1">
      <c r="A225" s="4" t="s">
        <v>665</v>
      </c>
      <c r="B225" s="5" t="s">
        <v>666</v>
      </c>
      <c r="C225" s="5" t="s">
        <v>17</v>
      </c>
      <c r="D225" s="5" t="s">
        <v>18</v>
      </c>
      <c r="E225" s="5" t="s">
        <v>19</v>
      </c>
      <c r="F225" s="9">
        <v>3</v>
      </c>
      <c r="G225" s="9">
        <v>25</v>
      </c>
      <c r="H225" s="5" t="s">
        <v>20</v>
      </c>
      <c r="I225" s="5" t="s">
        <v>667</v>
      </c>
      <c r="J225" s="12" t="str">
        <f>HYPERLINK("https://www.boe.es/gazeta/dias/1806/01/10/pdfs/GMD-1806-3.pdf#page=5","Abrir facsímil")</f>
        <v>Abrir facsímil</v>
      </c>
      <c r="K225" s="15" t="s">
        <v>22</v>
      </c>
    </row>
    <row r="226" spans="1:11" ht="42" customHeight="1">
      <c r="A226" s="4" t="s">
        <v>665</v>
      </c>
      <c r="B226" s="5" t="s">
        <v>666</v>
      </c>
      <c r="C226" s="5" t="s">
        <v>36</v>
      </c>
      <c r="D226" s="5" t="s">
        <v>37</v>
      </c>
      <c r="E226" s="5" t="s">
        <v>100</v>
      </c>
      <c r="F226" s="9">
        <v>7</v>
      </c>
      <c r="G226" s="9">
        <v>66</v>
      </c>
      <c r="H226" s="5" t="s">
        <v>20</v>
      </c>
      <c r="I226" s="5" t="s">
        <v>668</v>
      </c>
      <c r="J226" s="12" t="str">
        <f>HYPERLINK("https://www.boe.es/gazeta/dias/1806/01/21/pdfs/GMD-1806-7.pdf#page=10","Abrir facsímil")</f>
        <v>Abrir facsímil</v>
      </c>
      <c r="K226" s="15" t="s">
        <v>22</v>
      </c>
    </row>
    <row r="227" spans="1:11" ht="42" customHeight="1">
      <c r="A227" s="4" t="s">
        <v>665</v>
      </c>
      <c r="B227" s="5" t="s">
        <v>666</v>
      </c>
      <c r="C227" s="5" t="s">
        <v>17</v>
      </c>
      <c r="D227" s="5" t="s">
        <v>18</v>
      </c>
      <c r="E227" s="5" t="s">
        <v>669</v>
      </c>
      <c r="F227" s="9">
        <v>14</v>
      </c>
      <c r="G227" s="9">
        <v>122</v>
      </c>
      <c r="H227" s="5" t="s">
        <v>20</v>
      </c>
      <c r="I227" s="5" t="s">
        <v>670</v>
      </c>
      <c r="J227" s="12" t="str">
        <f>HYPERLINK("https://www.boe.es/gazeta/dias/1806/02/11/pdfs/GMD-1806-14.pdf#page=6","Abrir facsímil")</f>
        <v>Abrir facsímil</v>
      </c>
      <c r="K227" s="15" t="s">
        <v>22</v>
      </c>
    </row>
    <row r="228" spans="1:11" ht="42" customHeight="1">
      <c r="A228" s="4" t="s">
        <v>671</v>
      </c>
      <c r="B228" s="5" t="s">
        <v>672</v>
      </c>
      <c r="C228" s="5" t="s">
        <v>31</v>
      </c>
      <c r="D228" s="5" t="s">
        <v>32</v>
      </c>
      <c r="E228" s="5" t="s">
        <v>434</v>
      </c>
      <c r="F228" s="9">
        <v>74</v>
      </c>
      <c r="G228" s="9">
        <v>761</v>
      </c>
      <c r="H228" s="5" t="s">
        <v>20</v>
      </c>
      <c r="I228" s="5" t="s">
        <v>673</v>
      </c>
      <c r="J228" s="12" t="str">
        <f>HYPERLINK("https://www.boe.es/gazeta/dias/1806/09/09/pdfs/GMD-1806-74.pdf#page=1","Abrir facsímil")</f>
        <v>Abrir facsímil</v>
      </c>
      <c r="K228" s="15" t="s">
        <v>22</v>
      </c>
    </row>
    <row r="229" spans="1:11" ht="42" customHeight="1">
      <c r="A229" s="4" t="s">
        <v>674</v>
      </c>
      <c r="B229" s="5" t="s">
        <v>675</v>
      </c>
      <c r="C229" s="5" t="s">
        <v>31</v>
      </c>
      <c r="D229" s="5" t="s">
        <v>32</v>
      </c>
      <c r="E229" s="5" t="s">
        <v>400</v>
      </c>
      <c r="F229" s="9">
        <v>22</v>
      </c>
      <c r="G229" s="9">
        <v>208</v>
      </c>
      <c r="H229" s="5" t="s">
        <v>20</v>
      </c>
      <c r="I229" s="5" t="s">
        <v>676</v>
      </c>
      <c r="J229" s="12" t="str">
        <f>HYPERLINK("https://www.boe.es/gazeta/dias/1806/03/11/pdfs/GMD-1806-22.pdf#page=8","Abrir facsímil")</f>
        <v>Abrir facsímil</v>
      </c>
      <c r="K229" s="15" t="s">
        <v>22</v>
      </c>
    </row>
    <row r="230" spans="1:11" ht="42" customHeight="1">
      <c r="A230" s="4" t="s">
        <v>677</v>
      </c>
      <c r="B230" s="5" t="s">
        <v>677</v>
      </c>
      <c r="C230" s="5" t="s">
        <v>31</v>
      </c>
      <c r="D230" s="5" t="s">
        <v>32</v>
      </c>
      <c r="E230" s="5" t="s">
        <v>185</v>
      </c>
      <c r="F230" s="9">
        <v>46</v>
      </c>
      <c r="G230" s="9">
        <v>470</v>
      </c>
      <c r="H230" s="5" t="s">
        <v>20</v>
      </c>
      <c r="I230" s="5" t="s">
        <v>678</v>
      </c>
      <c r="J230" s="12" t="str">
        <f>HYPERLINK("https://www.boe.es/gazeta/dias/1806/06/03/pdfs/GMD-1806-46.pdf#page=10","Abrir facsímil")</f>
        <v>Abrir facsímil</v>
      </c>
      <c r="K230" s="15" t="s">
        <v>22</v>
      </c>
    </row>
    <row r="231" spans="1:11" ht="42" customHeight="1">
      <c r="A231" s="4" t="s">
        <v>679</v>
      </c>
      <c r="B231" s="5" t="s">
        <v>679</v>
      </c>
      <c r="C231" s="5" t="s">
        <v>75</v>
      </c>
      <c r="D231" s="5" t="s">
        <v>43</v>
      </c>
      <c r="E231" s="5" t="s">
        <v>680</v>
      </c>
      <c r="F231" s="9">
        <v>97</v>
      </c>
      <c r="G231" s="9">
        <v>1032</v>
      </c>
      <c r="H231" s="5" t="s">
        <v>20</v>
      </c>
      <c r="I231" s="5" t="s">
        <v>681</v>
      </c>
      <c r="J231" s="12" t="str">
        <f>HYPERLINK("https://www.boe.es/gazeta/dias/1806/11/28/pdfs/GMD-1806-97.pdf#page=12","Abrir facsímil")</f>
        <v>Abrir facsímil</v>
      </c>
      <c r="K231" s="15" t="s">
        <v>22</v>
      </c>
    </row>
    <row r="232" spans="1:11" ht="42" customHeight="1">
      <c r="A232" s="4" t="s">
        <v>682</v>
      </c>
      <c r="B232" s="5" t="s">
        <v>682</v>
      </c>
      <c r="C232" s="5" t="s">
        <v>31</v>
      </c>
      <c r="D232" s="5" t="s">
        <v>32</v>
      </c>
      <c r="E232" s="5" t="s">
        <v>304</v>
      </c>
      <c r="F232" s="9">
        <v>47</v>
      </c>
      <c r="G232" s="9">
        <v>483</v>
      </c>
      <c r="H232" s="5" t="s">
        <v>20</v>
      </c>
      <c r="I232" s="5" t="s">
        <v>683</v>
      </c>
      <c r="J232" s="12" t="str">
        <f>HYPERLINK("https://www.boe.es/gazeta/dias/1806/06/06/pdfs/GMD-C-1806-47.pdf#page=3","Abrir facsímil")</f>
        <v>Abrir facsímil</v>
      </c>
      <c r="K232" s="15" t="s">
        <v>22</v>
      </c>
    </row>
    <row r="233" spans="1:11" ht="42" customHeight="1">
      <c r="A233" s="4" t="s">
        <v>682</v>
      </c>
      <c r="B233" s="5" t="s">
        <v>682</v>
      </c>
      <c r="C233" s="5" t="s">
        <v>447</v>
      </c>
      <c r="D233" s="5" t="s">
        <v>448</v>
      </c>
      <c r="E233" s="5" t="s">
        <v>304</v>
      </c>
      <c r="F233" s="9">
        <v>47</v>
      </c>
      <c r="G233" s="9">
        <v>486</v>
      </c>
      <c r="H233" s="5" t="s">
        <v>20</v>
      </c>
      <c r="I233" s="5" t="s">
        <v>684</v>
      </c>
      <c r="J233" s="12" t="str">
        <f>HYPERLINK("https://www.boe.es/gazeta/dias/1806/06/06/pdfs/GMD-C-1806-47.pdf#page=6","Abrir facsímil")</f>
        <v>Abrir facsímil</v>
      </c>
      <c r="K233" s="15" t="s">
        <v>22</v>
      </c>
    </row>
    <row r="234" spans="1:11" ht="42" customHeight="1">
      <c r="A234" s="4" t="s">
        <v>685</v>
      </c>
      <c r="B234" s="5" t="s">
        <v>685</v>
      </c>
      <c r="C234" s="5" t="s">
        <v>17</v>
      </c>
      <c r="D234" s="5" t="s">
        <v>18</v>
      </c>
      <c r="E234" s="5" t="s">
        <v>312</v>
      </c>
      <c r="F234" s="9">
        <v>100</v>
      </c>
      <c r="G234" s="9">
        <v>1065</v>
      </c>
      <c r="H234" s="5" t="s">
        <v>20</v>
      </c>
      <c r="I234" s="5" t="s">
        <v>686</v>
      </c>
      <c r="J234" s="12" t="str">
        <f>HYPERLINK("https://www.boe.es/gazeta/dias/1806/12/09/pdfs/GMD-1806-100.pdf#page=9","Abrir facsímil")</f>
        <v>Abrir facsímil</v>
      </c>
      <c r="K234" s="15" t="s">
        <v>22</v>
      </c>
    </row>
    <row r="235" spans="1:11" ht="42" customHeight="1">
      <c r="A235" s="4" t="s">
        <v>687</v>
      </c>
      <c r="B235" s="5" t="s">
        <v>688</v>
      </c>
      <c r="C235" s="5" t="s">
        <v>17</v>
      </c>
      <c r="D235" s="5" t="s">
        <v>18</v>
      </c>
      <c r="E235" s="5" t="s">
        <v>689</v>
      </c>
      <c r="F235" s="9">
        <v>37</v>
      </c>
      <c r="G235" s="9">
        <v>363</v>
      </c>
      <c r="H235" s="5" t="s">
        <v>20</v>
      </c>
      <c r="I235" s="5" t="s">
        <v>690</v>
      </c>
      <c r="J235" s="12" t="str">
        <f>HYPERLINK("https://www.boe.es/gazeta/dias/1806/05/02/pdfs/GMD-1806-37.pdf#page=11","Abrir facsímil")</f>
        <v>Abrir facsímil</v>
      </c>
      <c r="K235" s="15" t="s">
        <v>22</v>
      </c>
    </row>
    <row r="236" spans="1:11" ht="42" customHeight="1">
      <c r="A236" s="4" t="s">
        <v>691</v>
      </c>
      <c r="B236" s="5" t="s">
        <v>692</v>
      </c>
      <c r="C236" s="5" t="s">
        <v>17</v>
      </c>
      <c r="D236" s="5" t="s">
        <v>18</v>
      </c>
      <c r="E236" s="5" t="s">
        <v>689</v>
      </c>
      <c r="F236" s="9">
        <v>37</v>
      </c>
      <c r="G236" s="9">
        <v>357</v>
      </c>
      <c r="H236" s="5" t="s">
        <v>20</v>
      </c>
      <c r="I236" s="5" t="s">
        <v>693</v>
      </c>
      <c r="J236" s="12" t="str">
        <f>HYPERLINK("https://www.boe.es/gazeta/dias/1806/05/02/pdfs/GMD-1806-37.pdf#page=5","Abrir facsímil")</f>
        <v>Abrir facsímil</v>
      </c>
      <c r="K236" s="15" t="s">
        <v>22</v>
      </c>
    </row>
    <row r="237" spans="1:11" ht="42" customHeight="1">
      <c r="A237" s="4" t="s">
        <v>694</v>
      </c>
      <c r="B237" s="5" t="s">
        <v>694</v>
      </c>
      <c r="C237" s="5" t="s">
        <v>31</v>
      </c>
      <c r="D237" s="5" t="s">
        <v>32</v>
      </c>
      <c r="E237" s="5" t="s">
        <v>62</v>
      </c>
      <c r="F237" s="9">
        <v>45</v>
      </c>
      <c r="G237" s="9">
        <v>456</v>
      </c>
      <c r="H237" s="5" t="s">
        <v>20</v>
      </c>
      <c r="I237" s="5" t="s">
        <v>695</v>
      </c>
      <c r="J237" s="12" t="str">
        <f>HYPERLINK("https://www.boe.es/gazeta/dias/1806/05/30/pdfs/GMD-1806-45.pdf#page=8","Abrir facsímil")</f>
        <v>Abrir facsímil</v>
      </c>
      <c r="K237" s="15" t="s">
        <v>22</v>
      </c>
    </row>
    <row r="238" spans="1:11" ht="42" customHeight="1">
      <c r="A238" s="4" t="s">
        <v>696</v>
      </c>
      <c r="B238" s="5" t="s">
        <v>696</v>
      </c>
      <c r="C238" s="5" t="s">
        <v>69</v>
      </c>
      <c r="D238" s="5" t="s">
        <v>70</v>
      </c>
      <c r="E238" s="5" t="s">
        <v>405</v>
      </c>
      <c r="F238" s="9">
        <v>80</v>
      </c>
      <c r="G238" s="9">
        <v>829</v>
      </c>
      <c r="H238" s="5" t="s">
        <v>20</v>
      </c>
      <c r="I238" s="5" t="s">
        <v>697</v>
      </c>
      <c r="J238" s="12" t="str">
        <f>HYPERLINK("https://www.boe.es/gazeta/dias/1806/09/30/pdfs/GMD-1806-80.pdf#page=9","Abrir facsímil")</f>
        <v>Abrir facsímil</v>
      </c>
      <c r="K238" s="15" t="s">
        <v>22</v>
      </c>
    </row>
    <row r="239" spans="1:11" ht="42" customHeight="1">
      <c r="A239" s="4" t="s">
        <v>698</v>
      </c>
      <c r="B239" s="5" t="s">
        <v>699</v>
      </c>
      <c r="C239" s="5" t="s">
        <v>69</v>
      </c>
      <c r="D239" s="5" t="s">
        <v>70</v>
      </c>
      <c r="E239" s="5" t="s">
        <v>271</v>
      </c>
      <c r="F239" s="9">
        <v>6</v>
      </c>
      <c r="G239" s="9">
        <v>46</v>
      </c>
      <c r="H239" s="5" t="s">
        <v>20</v>
      </c>
      <c r="I239" s="5" t="s">
        <v>700</v>
      </c>
      <c r="J239" s="12" t="str">
        <f>HYPERLINK("https://www.boe.es/gazeta/dias/1806/01/17/pdfs/GMD-1806-6.pdf#page=2","Abrir facsímil")</f>
        <v>Abrir facsímil</v>
      </c>
      <c r="K239" s="15" t="s">
        <v>22</v>
      </c>
    </row>
    <row r="240" spans="1:11" ht="42" customHeight="1">
      <c r="A240" s="4" t="s">
        <v>698</v>
      </c>
      <c r="B240" s="5" t="s">
        <v>699</v>
      </c>
      <c r="C240" s="5" t="s">
        <v>69</v>
      </c>
      <c r="D240" s="5" t="s">
        <v>70</v>
      </c>
      <c r="E240" s="5" t="s">
        <v>220</v>
      </c>
      <c r="F240" s="9">
        <v>24</v>
      </c>
      <c r="G240" s="9">
        <v>227</v>
      </c>
      <c r="H240" s="5" t="s">
        <v>20</v>
      </c>
      <c r="I240" s="5" t="s">
        <v>701</v>
      </c>
      <c r="J240" s="12" t="str">
        <f>HYPERLINK("https://www.boe.es/gazeta/dias/1806/03/18/pdfs/GMD-1806-24.pdf#page=3","Abrir facsímil")</f>
        <v>Abrir facsímil</v>
      </c>
      <c r="K240" s="15" t="s">
        <v>22</v>
      </c>
    </row>
    <row r="241" spans="1:11" ht="42" customHeight="1">
      <c r="A241" s="4" t="s">
        <v>698</v>
      </c>
      <c r="B241" s="5" t="s">
        <v>699</v>
      </c>
      <c r="C241" s="5" t="s">
        <v>17</v>
      </c>
      <c r="D241" s="5" t="s">
        <v>18</v>
      </c>
      <c r="E241" s="5" t="s">
        <v>702</v>
      </c>
      <c r="F241" s="9">
        <v>43</v>
      </c>
      <c r="G241" s="9">
        <v>434</v>
      </c>
      <c r="H241" s="5" t="s">
        <v>20</v>
      </c>
      <c r="I241" s="5" t="s">
        <v>703</v>
      </c>
      <c r="J241" s="12" t="str">
        <f>HYPERLINK("https://www.boe.es/gazeta/dias/1806/05/23/pdfs/GMD-1806-43.pdf#page=10","Abrir facsímil")</f>
        <v>Abrir facsímil</v>
      </c>
      <c r="K241" s="15" t="s">
        <v>22</v>
      </c>
    </row>
    <row r="242" spans="1:11" ht="42" customHeight="1">
      <c r="A242" s="4" t="s">
        <v>704</v>
      </c>
      <c r="B242" s="5" t="s">
        <v>705</v>
      </c>
      <c r="C242" s="5" t="s">
        <v>706</v>
      </c>
      <c r="D242" s="5" t="s">
        <v>707</v>
      </c>
      <c r="E242" s="5" t="s">
        <v>195</v>
      </c>
      <c r="F242" s="9" t="s">
        <v>708</v>
      </c>
      <c r="G242" s="9">
        <v>41</v>
      </c>
      <c r="H242" s="5" t="s">
        <v>20</v>
      </c>
      <c r="I242" s="5" t="s">
        <v>709</v>
      </c>
      <c r="J242" s="12" t="str">
        <f>HYPERLINK("https://www.boe.es/gazeta/dias/1806/01/14/pdfs/GMD-1806-5E.pdf#page=1","Abrir facsímil")</f>
        <v>Abrir facsímil</v>
      </c>
      <c r="K242" s="15" t="s">
        <v>22</v>
      </c>
    </row>
    <row r="243" spans="1:11" ht="42" customHeight="1">
      <c r="A243" s="4" t="s">
        <v>710</v>
      </c>
      <c r="B243" s="5" t="s">
        <v>711</v>
      </c>
      <c r="C243" s="5" t="s">
        <v>69</v>
      </c>
      <c r="D243" s="5" t="s">
        <v>70</v>
      </c>
      <c r="E243" s="5" t="s">
        <v>430</v>
      </c>
      <c r="F243" s="9">
        <v>12</v>
      </c>
      <c r="G243" s="9">
        <v>103</v>
      </c>
      <c r="H243" s="5" t="s">
        <v>20</v>
      </c>
      <c r="I243" s="5" t="s">
        <v>712</v>
      </c>
      <c r="J243" s="12" t="str">
        <f>HYPERLINK("https://www.boe.es/gazeta/dias/1806/02/04/pdfs/GMD-1806-12.pdf#page=3","Abrir facsímil")</f>
        <v>Abrir facsímil</v>
      </c>
      <c r="K243" s="15" t="s">
        <v>22</v>
      </c>
    </row>
    <row r="244" spans="1:11" ht="42" customHeight="1">
      <c r="A244" s="4" t="s">
        <v>704</v>
      </c>
      <c r="B244" s="5" t="s">
        <v>705</v>
      </c>
      <c r="C244" s="5" t="s">
        <v>75</v>
      </c>
      <c r="D244" s="5" t="s">
        <v>43</v>
      </c>
      <c r="E244" s="5" t="s">
        <v>580</v>
      </c>
      <c r="F244" s="9">
        <v>23</v>
      </c>
      <c r="G244" s="9">
        <v>218</v>
      </c>
      <c r="H244" s="5" t="s">
        <v>20</v>
      </c>
      <c r="I244" s="5" t="s">
        <v>713</v>
      </c>
      <c r="J244" s="12" t="str">
        <f>HYPERLINK("https://www.boe.es/gazeta/dias/1806/03/14/pdfs/GMD-1806-23.pdf#page=6","Abrir facsímil")</f>
        <v>Abrir facsímil</v>
      </c>
      <c r="K244" s="15" t="s">
        <v>22</v>
      </c>
    </row>
    <row r="245" spans="1:11" ht="42" customHeight="1">
      <c r="A245" s="4" t="s">
        <v>704</v>
      </c>
      <c r="B245" s="5" t="s">
        <v>705</v>
      </c>
      <c r="C245" s="5" t="s">
        <v>69</v>
      </c>
      <c r="D245" s="5" t="s">
        <v>70</v>
      </c>
      <c r="E245" s="5" t="s">
        <v>124</v>
      </c>
      <c r="F245" s="9">
        <v>25</v>
      </c>
      <c r="G245" s="9">
        <v>240</v>
      </c>
      <c r="H245" s="5" t="s">
        <v>20</v>
      </c>
      <c r="I245" s="5" t="s">
        <v>714</v>
      </c>
      <c r="J245" s="12" t="str">
        <f>HYPERLINK("https://www.boe.es/gazeta/dias/1806/03/21/pdfs/GMD-1806-25.pdf#page=4","Abrir facsímil")</f>
        <v>Abrir facsímil</v>
      </c>
      <c r="K245" s="15" t="s">
        <v>22</v>
      </c>
    </row>
    <row r="246" spans="1:11" ht="42" customHeight="1">
      <c r="A246" s="4" t="s">
        <v>704</v>
      </c>
      <c r="B246" s="5" t="s">
        <v>705</v>
      </c>
      <c r="C246" s="5" t="s">
        <v>17</v>
      </c>
      <c r="D246" s="5" t="s">
        <v>18</v>
      </c>
      <c r="E246" s="5" t="s">
        <v>689</v>
      </c>
      <c r="F246" s="9">
        <v>37</v>
      </c>
      <c r="G246" s="9">
        <v>356</v>
      </c>
      <c r="H246" s="5" t="s">
        <v>20</v>
      </c>
      <c r="I246" s="5" t="s">
        <v>715</v>
      </c>
      <c r="J246" s="12" t="str">
        <f>HYPERLINK("https://www.boe.es/gazeta/dias/1806/05/02/pdfs/GMD-1806-37.pdf#page=4","Abrir facsímil")</f>
        <v>Abrir facsímil</v>
      </c>
      <c r="K246" s="15" t="s">
        <v>22</v>
      </c>
    </row>
    <row r="247" spans="1:11" ht="42" customHeight="1">
      <c r="A247" s="4" t="s">
        <v>704</v>
      </c>
      <c r="B247" s="5" t="s">
        <v>705</v>
      </c>
      <c r="C247" s="5" t="s">
        <v>69</v>
      </c>
      <c r="D247" s="5" t="s">
        <v>70</v>
      </c>
      <c r="E247" s="5" t="s">
        <v>716</v>
      </c>
      <c r="F247" s="9">
        <v>56</v>
      </c>
      <c r="G247" s="9">
        <v>581</v>
      </c>
      <c r="H247" s="5" t="s">
        <v>20</v>
      </c>
      <c r="I247" s="5" t="s">
        <v>717</v>
      </c>
      <c r="J247" s="12" t="str">
        <f>HYPERLINK("https://www.boe.es/gazeta/dias/1806/07/08/pdfs/GMD-1806-56.pdf#page=5","Abrir facsímil")</f>
        <v>Abrir facsímil</v>
      </c>
      <c r="K247" s="15" t="s">
        <v>22</v>
      </c>
    </row>
    <row r="248" spans="1:11" ht="42" customHeight="1">
      <c r="A248" s="4" t="s">
        <v>704</v>
      </c>
      <c r="B248" s="5" t="s">
        <v>705</v>
      </c>
      <c r="C248" s="5" t="s">
        <v>69</v>
      </c>
      <c r="D248" s="5" t="s">
        <v>70</v>
      </c>
      <c r="E248" s="5" t="s">
        <v>438</v>
      </c>
      <c r="F248" s="9">
        <v>70</v>
      </c>
      <c r="G248" s="9">
        <v>725</v>
      </c>
      <c r="H248" s="5" t="s">
        <v>20</v>
      </c>
      <c r="I248" s="5" t="s">
        <v>718</v>
      </c>
      <c r="J248" s="12" t="str">
        <f>HYPERLINK("https://www.boe.es/gazeta/dias/1806/08/26/pdfs/GMD-1806-70.pdf#page=1","Abrir facsímil")</f>
        <v>Abrir facsímil</v>
      </c>
      <c r="K248" s="15" t="s">
        <v>22</v>
      </c>
    </row>
    <row r="249" spans="1:11" ht="42" customHeight="1">
      <c r="A249" s="4" t="s">
        <v>704</v>
      </c>
      <c r="B249" s="5" t="s">
        <v>705</v>
      </c>
      <c r="C249" s="5" t="s">
        <v>69</v>
      </c>
      <c r="D249" s="5" t="s">
        <v>70</v>
      </c>
      <c r="E249" s="5" t="s">
        <v>405</v>
      </c>
      <c r="F249" s="9">
        <v>80</v>
      </c>
      <c r="G249" s="9">
        <v>823</v>
      </c>
      <c r="H249" s="5" t="s">
        <v>20</v>
      </c>
      <c r="I249" s="5" t="s">
        <v>719</v>
      </c>
      <c r="J249" s="12" t="str">
        <f>HYPERLINK("https://www.boe.es/gazeta/dias/1806/09/30/pdfs/GMD-1806-80.pdf#page=3","Abrir facsímil")</f>
        <v>Abrir facsímil</v>
      </c>
      <c r="K249" s="15" t="s">
        <v>22</v>
      </c>
    </row>
    <row r="250" spans="1:11" ht="42" customHeight="1">
      <c r="A250" s="4" t="s">
        <v>704</v>
      </c>
      <c r="B250" s="5" t="s">
        <v>705</v>
      </c>
      <c r="C250" s="5" t="s">
        <v>31</v>
      </c>
      <c r="D250" s="5" t="s">
        <v>32</v>
      </c>
      <c r="E250" s="5" t="s">
        <v>554</v>
      </c>
      <c r="F250" s="9">
        <v>90</v>
      </c>
      <c r="G250" s="9">
        <v>931</v>
      </c>
      <c r="H250" s="5" t="s">
        <v>20</v>
      </c>
      <c r="I250" s="5" t="s">
        <v>720</v>
      </c>
      <c r="J250" s="12" t="str">
        <f>HYPERLINK("https://www.boe.es/gazeta/dias/1806/11/04/pdfs/GMD-1806-90.pdf#page=7","Abrir facsímil")</f>
        <v>Abrir facsímil</v>
      </c>
      <c r="K250" s="15" t="s">
        <v>22</v>
      </c>
    </row>
    <row r="251" spans="1:11" ht="42" customHeight="1">
      <c r="A251" s="4" t="s">
        <v>704</v>
      </c>
      <c r="B251" s="5" t="s">
        <v>705</v>
      </c>
      <c r="C251" s="5" t="s">
        <v>69</v>
      </c>
      <c r="D251" s="5" t="s">
        <v>70</v>
      </c>
      <c r="E251" s="5" t="s">
        <v>38</v>
      </c>
      <c r="F251" s="9">
        <v>92</v>
      </c>
      <c r="G251" s="9">
        <v>950</v>
      </c>
      <c r="H251" s="5" t="s">
        <v>20</v>
      </c>
      <c r="I251" s="5" t="s">
        <v>721</v>
      </c>
      <c r="J251" s="12" t="str">
        <f>HYPERLINK("https://www.boe.es/gazeta/dias/1806/11/11/pdfs/GMD-1806-92.pdf#page=2","Abrir facsímil")</f>
        <v>Abrir facsímil</v>
      </c>
      <c r="K251" s="15" t="s">
        <v>22</v>
      </c>
    </row>
    <row r="252" spans="1:11" ht="42" customHeight="1">
      <c r="A252" s="4" t="s">
        <v>704</v>
      </c>
      <c r="B252" s="5" t="s">
        <v>705</v>
      </c>
      <c r="C252" s="5" t="s">
        <v>69</v>
      </c>
      <c r="D252" s="5" t="s">
        <v>70</v>
      </c>
      <c r="E252" s="5" t="s">
        <v>38</v>
      </c>
      <c r="F252" s="9">
        <v>92</v>
      </c>
      <c r="G252" s="9">
        <v>951</v>
      </c>
      <c r="H252" s="5" t="s">
        <v>20</v>
      </c>
      <c r="I252" s="5" t="s">
        <v>722</v>
      </c>
      <c r="J252" s="12" t="str">
        <f>HYPERLINK("https://www.boe.es/gazeta/dias/1806/11/11/pdfs/GMD-1806-92.pdf#page=3","Abrir facsímil")</f>
        <v>Abrir facsímil</v>
      </c>
      <c r="K252" s="15" t="s">
        <v>22</v>
      </c>
    </row>
    <row r="253" spans="1:11" ht="42" customHeight="1">
      <c r="A253" s="4" t="s">
        <v>704</v>
      </c>
      <c r="B253" s="5" t="s">
        <v>705</v>
      </c>
      <c r="C253" s="5" t="s">
        <v>69</v>
      </c>
      <c r="D253" s="5" t="s">
        <v>70</v>
      </c>
      <c r="E253" s="5" t="s">
        <v>38</v>
      </c>
      <c r="F253" s="9">
        <v>92</v>
      </c>
      <c r="G253" s="9">
        <v>952</v>
      </c>
      <c r="H253" s="5" t="s">
        <v>20</v>
      </c>
      <c r="I253" s="5" t="s">
        <v>723</v>
      </c>
      <c r="J253" s="12" t="str">
        <f>HYPERLINK("https://www.boe.es/gazeta/dias/1806/11/11/pdfs/GMD-1806-92.pdf#page=4","Abrir facsímil")</f>
        <v>Abrir facsímil</v>
      </c>
      <c r="K253" s="15" t="s">
        <v>22</v>
      </c>
    </row>
    <row r="254" spans="1:11" ht="42" customHeight="1">
      <c r="A254" s="4" t="s">
        <v>704</v>
      </c>
      <c r="B254" s="5" t="s">
        <v>705</v>
      </c>
      <c r="C254" s="5" t="s">
        <v>69</v>
      </c>
      <c r="D254" s="5" t="s">
        <v>70</v>
      </c>
      <c r="E254" s="5" t="s">
        <v>570</v>
      </c>
      <c r="F254" s="9">
        <v>93</v>
      </c>
      <c r="G254" s="9">
        <v>971</v>
      </c>
      <c r="H254" s="5" t="s">
        <v>20</v>
      </c>
      <c r="I254" s="5" t="s">
        <v>724</v>
      </c>
      <c r="J254" s="12" t="str">
        <f>HYPERLINK("https://www.boe.es/gazeta/dias/1806/11/14/pdfs/GMD-1806-93.pdf#page=7","Abrir facsímil")</f>
        <v>Abrir facsímil</v>
      </c>
      <c r="K254" s="15" t="s">
        <v>22</v>
      </c>
    </row>
    <row r="255" spans="1:11" ht="42" customHeight="1">
      <c r="A255" s="4" t="s">
        <v>704</v>
      </c>
      <c r="B255" s="5" t="s">
        <v>705</v>
      </c>
      <c r="C255" s="5" t="s">
        <v>31</v>
      </c>
      <c r="D255" s="5" t="s">
        <v>32</v>
      </c>
      <c r="E255" s="5" t="s">
        <v>297</v>
      </c>
      <c r="F255" s="9">
        <v>94</v>
      </c>
      <c r="G255" s="9">
        <v>991</v>
      </c>
      <c r="H255" s="5" t="s">
        <v>20</v>
      </c>
      <c r="I255" s="5" t="s">
        <v>725</v>
      </c>
      <c r="J255" s="12" t="str">
        <f>HYPERLINK("https://www.boe.es/gazeta/dias/1806/11/18/pdfs/GMD-1806-94.pdf#page=11","Abrir facsímil")</f>
        <v>Abrir facsímil</v>
      </c>
      <c r="K255" s="15" t="s">
        <v>22</v>
      </c>
    </row>
    <row r="256" spans="1:11" ht="42" customHeight="1">
      <c r="A256" s="4" t="s">
        <v>704</v>
      </c>
      <c r="B256" s="5" t="s">
        <v>705</v>
      </c>
      <c r="C256" s="5" t="s">
        <v>17</v>
      </c>
      <c r="D256" s="5" t="s">
        <v>18</v>
      </c>
      <c r="E256" s="5" t="s">
        <v>209</v>
      </c>
      <c r="F256" s="9">
        <v>95</v>
      </c>
      <c r="G256" s="9">
        <v>994</v>
      </c>
      <c r="H256" s="5" t="s">
        <v>20</v>
      </c>
      <c r="I256" s="5" t="s">
        <v>726</v>
      </c>
      <c r="J256" s="12" t="str">
        <f>HYPERLINK("https://www.boe.es/gazeta/dias/1806/11/21/pdfs/GMD-1806-95.pdf#page=2","Abrir facsímil")</f>
        <v>Abrir facsímil</v>
      </c>
      <c r="K256" s="15" t="s">
        <v>22</v>
      </c>
    </row>
    <row r="257" spans="1:11" ht="42" customHeight="1">
      <c r="A257" s="4" t="s">
        <v>704</v>
      </c>
      <c r="B257" s="5" t="s">
        <v>705</v>
      </c>
      <c r="C257" s="5" t="s">
        <v>17</v>
      </c>
      <c r="D257" s="5" t="s">
        <v>18</v>
      </c>
      <c r="E257" s="5" t="s">
        <v>209</v>
      </c>
      <c r="F257" s="9">
        <v>95</v>
      </c>
      <c r="G257" s="9">
        <v>997</v>
      </c>
      <c r="H257" s="5" t="s">
        <v>20</v>
      </c>
      <c r="I257" s="5" t="s">
        <v>727</v>
      </c>
      <c r="J257" s="12" t="str">
        <f>HYPERLINK("https://www.boe.es/gazeta/dias/1806/11/21/pdfs/GMD-1806-95.pdf#page=5","Abrir facsímil")</f>
        <v>Abrir facsímil</v>
      </c>
      <c r="K257" s="15" t="s">
        <v>22</v>
      </c>
    </row>
    <row r="258" spans="1:11" ht="42" customHeight="1">
      <c r="A258" s="4" t="s">
        <v>728</v>
      </c>
      <c r="B258" s="5" t="s">
        <v>729</v>
      </c>
      <c r="C258" s="5" t="s">
        <v>31</v>
      </c>
      <c r="D258" s="5" t="s">
        <v>32</v>
      </c>
      <c r="E258" s="5" t="s">
        <v>340</v>
      </c>
      <c r="F258" s="9">
        <v>31</v>
      </c>
      <c r="G258" s="9">
        <v>303</v>
      </c>
      <c r="H258" s="5" t="s">
        <v>20</v>
      </c>
      <c r="I258" s="5" t="s">
        <v>730</v>
      </c>
      <c r="J258" s="12" t="str">
        <f>HYPERLINK("https://www.boe.es/gazeta/dias/1806/04/11/pdfs/GMD-1806-31.pdf#page=7","Abrir facsímil")</f>
        <v>Abrir facsímil</v>
      </c>
      <c r="K258" s="15" t="s">
        <v>22</v>
      </c>
    </row>
    <row r="259" spans="1:11" ht="42" customHeight="1">
      <c r="A259" s="4" t="s">
        <v>731</v>
      </c>
      <c r="B259" s="5" t="s">
        <v>732</v>
      </c>
      <c r="C259" s="5" t="s">
        <v>69</v>
      </c>
      <c r="D259" s="5" t="s">
        <v>70</v>
      </c>
      <c r="E259" s="5" t="s">
        <v>256</v>
      </c>
      <c r="F259" s="9">
        <v>9</v>
      </c>
      <c r="G259" s="9">
        <v>77</v>
      </c>
      <c r="H259" s="5" t="s">
        <v>20</v>
      </c>
      <c r="I259" s="5" t="s">
        <v>733</v>
      </c>
      <c r="J259" s="12" t="str">
        <f>HYPERLINK("https://www.boe.es/gazeta/dias/1806/01/25/pdfs/GMD-1806-9.pdf#page=1","Abrir facsímil")</f>
        <v>Abrir facsímil</v>
      </c>
      <c r="K259" s="15" t="s">
        <v>22</v>
      </c>
    </row>
    <row r="260" spans="1:11" ht="42" customHeight="1">
      <c r="A260" s="4" t="s">
        <v>731</v>
      </c>
      <c r="B260" s="5" t="s">
        <v>732</v>
      </c>
      <c r="C260" s="5" t="s">
        <v>31</v>
      </c>
      <c r="D260" s="5" t="s">
        <v>32</v>
      </c>
      <c r="E260" s="5" t="s">
        <v>256</v>
      </c>
      <c r="F260" s="9">
        <v>9</v>
      </c>
      <c r="G260" s="9">
        <v>78</v>
      </c>
      <c r="H260" s="5" t="s">
        <v>20</v>
      </c>
      <c r="I260" s="5" t="s">
        <v>734</v>
      </c>
      <c r="J260" s="12" t="str">
        <f>HYPERLINK("https://www.boe.es/gazeta/dias/1806/01/25/pdfs/GMD-1806-9.pdf#page=2","Abrir facsímil")</f>
        <v>Abrir facsímil</v>
      </c>
      <c r="K260" s="15" t="s">
        <v>22</v>
      </c>
    </row>
    <row r="261" spans="1:11" ht="42" customHeight="1">
      <c r="A261" s="4" t="s">
        <v>731</v>
      </c>
      <c r="B261" s="5" t="s">
        <v>732</v>
      </c>
      <c r="C261" s="5" t="s">
        <v>69</v>
      </c>
      <c r="D261" s="5" t="s">
        <v>70</v>
      </c>
      <c r="E261" s="5" t="s">
        <v>238</v>
      </c>
      <c r="F261" s="9">
        <v>18</v>
      </c>
      <c r="G261" s="9">
        <v>158</v>
      </c>
      <c r="H261" s="5" t="s">
        <v>20</v>
      </c>
      <c r="I261" s="5" t="s">
        <v>735</v>
      </c>
      <c r="J261" s="12" t="str">
        <f>HYPERLINK("https://www.boe.es/gazeta/dias/1806/02/25/pdfs/GMD-1806-18.pdf#page=6","Abrir facsímil")</f>
        <v>Abrir facsímil</v>
      </c>
      <c r="K261" s="15" t="s">
        <v>22</v>
      </c>
    </row>
    <row r="262" spans="1:11" ht="42" customHeight="1">
      <c r="A262" s="4" t="s">
        <v>731</v>
      </c>
      <c r="B262" s="5" t="s">
        <v>732</v>
      </c>
      <c r="C262" s="5" t="s">
        <v>69</v>
      </c>
      <c r="D262" s="5" t="s">
        <v>70</v>
      </c>
      <c r="E262" s="5" t="s">
        <v>580</v>
      </c>
      <c r="F262" s="9">
        <v>23</v>
      </c>
      <c r="G262" s="9">
        <v>216</v>
      </c>
      <c r="H262" s="5" t="s">
        <v>20</v>
      </c>
      <c r="I262" s="5" t="s">
        <v>736</v>
      </c>
      <c r="J262" s="12" t="str">
        <f>HYPERLINK("https://www.boe.es/gazeta/dias/1806/03/14/pdfs/GMD-1806-23.pdf#page=4","Abrir facsímil")</f>
        <v>Abrir facsímil</v>
      </c>
      <c r="K262" s="15" t="s">
        <v>22</v>
      </c>
    </row>
    <row r="263" spans="1:11" ht="42" customHeight="1">
      <c r="A263" s="4" t="s">
        <v>731</v>
      </c>
      <c r="B263" s="5" t="s">
        <v>732</v>
      </c>
      <c r="C263" s="5" t="s">
        <v>69</v>
      </c>
      <c r="D263" s="5" t="s">
        <v>70</v>
      </c>
      <c r="E263" s="5" t="s">
        <v>227</v>
      </c>
      <c r="F263" s="9">
        <v>27</v>
      </c>
      <c r="G263" s="9">
        <v>266</v>
      </c>
      <c r="H263" s="5" t="s">
        <v>20</v>
      </c>
      <c r="I263" s="5" t="s">
        <v>737</v>
      </c>
      <c r="J263" s="12" t="str">
        <f>HYPERLINK("https://www.boe.es/gazeta/dias/1806/03/28/pdfs/GMD-1806-27.pdf#page=6","Abrir facsímil")</f>
        <v>Abrir facsímil</v>
      </c>
      <c r="K263" s="15" t="s">
        <v>22</v>
      </c>
    </row>
    <row r="264" spans="1:11" ht="42" customHeight="1">
      <c r="A264" s="4" t="s">
        <v>738</v>
      </c>
      <c r="B264" s="5" t="s">
        <v>739</v>
      </c>
      <c r="C264" s="5" t="s">
        <v>17</v>
      </c>
      <c r="D264" s="5" t="s">
        <v>18</v>
      </c>
      <c r="E264" s="5" t="s">
        <v>209</v>
      </c>
      <c r="F264" s="9">
        <v>95</v>
      </c>
      <c r="G264" s="9">
        <v>997</v>
      </c>
      <c r="H264" s="5" t="s">
        <v>20</v>
      </c>
      <c r="I264" s="5" t="s">
        <v>740</v>
      </c>
      <c r="J264" s="12" t="str">
        <f>HYPERLINK("https://www.boe.es/gazeta/dias/1806/11/21/pdfs/GMD-1806-95.pdf#page=5","Abrir facsímil")</f>
        <v>Abrir facsímil</v>
      </c>
      <c r="K264" s="15" t="s">
        <v>22</v>
      </c>
    </row>
    <row r="265" spans="1:11" ht="42" customHeight="1">
      <c r="A265" s="4" t="s">
        <v>741</v>
      </c>
      <c r="B265" s="5" t="s">
        <v>742</v>
      </c>
      <c r="C265" s="5" t="s">
        <v>31</v>
      </c>
      <c r="D265" s="5" t="s">
        <v>32</v>
      </c>
      <c r="E265" s="5" t="s">
        <v>185</v>
      </c>
      <c r="F265" s="9">
        <v>46</v>
      </c>
      <c r="G265" s="9">
        <v>469</v>
      </c>
      <c r="H265" s="5" t="s">
        <v>20</v>
      </c>
      <c r="I265" s="5" t="s">
        <v>743</v>
      </c>
      <c r="J265" s="12" t="str">
        <f>HYPERLINK("https://www.boe.es/gazeta/dias/1806/06/03/pdfs/GMD-1806-46.pdf#page=9","Abrir facsímil")</f>
        <v>Abrir facsímil</v>
      </c>
      <c r="K265" s="15" t="s">
        <v>22</v>
      </c>
    </row>
    <row r="266" spans="1:11" ht="42" customHeight="1">
      <c r="A266" s="4" t="s">
        <v>744</v>
      </c>
      <c r="B266" s="5" t="s">
        <v>745</v>
      </c>
      <c r="C266" s="5" t="s">
        <v>36</v>
      </c>
      <c r="D266" s="5" t="s">
        <v>37</v>
      </c>
      <c r="E266" s="5" t="s">
        <v>209</v>
      </c>
      <c r="F266" s="9">
        <v>95</v>
      </c>
      <c r="G266" s="9">
        <v>997</v>
      </c>
      <c r="H266" s="5" t="s">
        <v>20</v>
      </c>
      <c r="I266" s="5" t="s">
        <v>746</v>
      </c>
      <c r="J266" s="12" t="str">
        <f>HYPERLINK("https://www.boe.es/gazeta/dias/1806/11/21/pdfs/GMD-1806-95.pdf#page=5","Abrir facsímil")</f>
        <v>Abrir facsímil</v>
      </c>
      <c r="K266" s="15" t="s">
        <v>22</v>
      </c>
    </row>
    <row r="267" spans="1:11" ht="42" customHeight="1">
      <c r="A267" s="4" t="s">
        <v>747</v>
      </c>
      <c r="B267" s="5" t="s">
        <v>748</v>
      </c>
      <c r="C267" s="5" t="s">
        <v>17</v>
      </c>
      <c r="D267" s="5" t="s">
        <v>18</v>
      </c>
      <c r="E267" s="5" t="s">
        <v>600</v>
      </c>
      <c r="F267" s="9">
        <v>77</v>
      </c>
      <c r="G267" s="9">
        <v>794</v>
      </c>
      <c r="H267" s="5" t="s">
        <v>20</v>
      </c>
      <c r="I267" s="5" t="s">
        <v>749</v>
      </c>
      <c r="J267" s="12" t="str">
        <f>HYPERLINK("https://www.boe.es/gazeta/dias/1806/09/19/pdfs/GMD-1806-77.pdf#page=6","Abrir facsímil")</f>
        <v>Abrir facsímil</v>
      </c>
      <c r="K267" s="15" t="s">
        <v>22</v>
      </c>
    </row>
    <row r="268" spans="1:11" ht="42" customHeight="1">
      <c r="A268" s="4" t="s">
        <v>750</v>
      </c>
      <c r="B268" s="5" t="s">
        <v>751</v>
      </c>
      <c r="C268" s="5" t="s">
        <v>31</v>
      </c>
      <c r="D268" s="5" t="s">
        <v>32</v>
      </c>
      <c r="E268" s="5" t="s">
        <v>185</v>
      </c>
      <c r="F268" s="9">
        <v>46</v>
      </c>
      <c r="G268" s="9">
        <v>464</v>
      </c>
      <c r="H268" s="5" t="s">
        <v>20</v>
      </c>
      <c r="I268" s="5" t="s">
        <v>752</v>
      </c>
      <c r="J268" s="12" t="str">
        <f>HYPERLINK("https://www.boe.es/gazeta/dias/1806/06/03/pdfs/GMD-1806-46.pdf#page=4","Abrir facsímil")</f>
        <v>Abrir facsímil</v>
      </c>
      <c r="K268" s="15" t="s">
        <v>22</v>
      </c>
    </row>
    <row r="269" spans="1:11" ht="42" customHeight="1">
      <c r="A269" s="4" t="s">
        <v>753</v>
      </c>
      <c r="B269" s="5" t="s">
        <v>754</v>
      </c>
      <c r="C269" s="5" t="s">
        <v>69</v>
      </c>
      <c r="D269" s="5" t="s">
        <v>70</v>
      </c>
      <c r="E269" s="5" t="s">
        <v>227</v>
      </c>
      <c r="F269" s="9">
        <v>27</v>
      </c>
      <c r="G269" s="9">
        <v>267</v>
      </c>
      <c r="H269" s="5" t="s">
        <v>20</v>
      </c>
      <c r="I269" s="5" t="s">
        <v>755</v>
      </c>
      <c r="J269" s="12" t="str">
        <f>HYPERLINK("https://www.boe.es/gazeta/dias/1806/03/28/pdfs/GMD-1806-27.pdf#page=7","Abrir facsímil")</f>
        <v>Abrir facsímil</v>
      </c>
      <c r="K269" s="15" t="s">
        <v>22</v>
      </c>
    </row>
    <row r="270" spans="1:11" ht="42" customHeight="1">
      <c r="A270" s="4" t="s">
        <v>756</v>
      </c>
      <c r="B270" s="5" t="s">
        <v>757</v>
      </c>
      <c r="C270" s="5" t="s">
        <v>69</v>
      </c>
      <c r="D270" s="5" t="s">
        <v>70</v>
      </c>
      <c r="E270" s="5" t="s">
        <v>185</v>
      </c>
      <c r="F270" s="9">
        <v>46</v>
      </c>
      <c r="G270" s="9">
        <v>463</v>
      </c>
      <c r="H270" s="5" t="s">
        <v>20</v>
      </c>
      <c r="I270" s="5" t="s">
        <v>758</v>
      </c>
      <c r="J270" s="12" t="str">
        <f>HYPERLINK("https://www.boe.es/gazeta/dias/1806/06/03/pdfs/GMD-1806-46.pdf#page=3","Abrir facsímil")</f>
        <v>Abrir facsímil</v>
      </c>
      <c r="K270" s="15" t="s">
        <v>22</v>
      </c>
    </row>
    <row r="271" spans="1:11" ht="42" customHeight="1">
      <c r="A271" s="4" t="s">
        <v>759</v>
      </c>
      <c r="B271" s="5" t="s">
        <v>760</v>
      </c>
      <c r="C271" s="5" t="s">
        <v>69</v>
      </c>
      <c r="D271" s="5" t="s">
        <v>70</v>
      </c>
      <c r="E271" s="5" t="s">
        <v>86</v>
      </c>
      <c r="F271" s="9">
        <v>53</v>
      </c>
      <c r="G271" s="9">
        <v>551</v>
      </c>
      <c r="H271" s="5" t="s">
        <v>20</v>
      </c>
      <c r="I271" s="5" t="s">
        <v>761</v>
      </c>
      <c r="J271" s="12" t="str">
        <f>HYPERLINK("https://www.boe.es/gazeta/dias/1806/06/27/pdfs/GMD-1806-53.pdf#page=7","Abrir facsímil")</f>
        <v>Abrir facsímil</v>
      </c>
      <c r="K271" s="15" t="s">
        <v>22</v>
      </c>
    </row>
    <row r="272" spans="1:11" ht="42" customHeight="1">
      <c r="A272" s="4" t="s">
        <v>762</v>
      </c>
      <c r="B272" s="5" t="s">
        <v>763</v>
      </c>
      <c r="C272" s="5" t="s">
        <v>69</v>
      </c>
      <c r="D272" s="5" t="s">
        <v>70</v>
      </c>
      <c r="E272" s="5" t="s">
        <v>271</v>
      </c>
      <c r="F272" s="9">
        <v>6</v>
      </c>
      <c r="G272" s="9">
        <v>47</v>
      </c>
      <c r="H272" s="5" t="s">
        <v>20</v>
      </c>
      <c r="I272" s="5" t="s">
        <v>764</v>
      </c>
      <c r="J272" s="12" t="str">
        <f>HYPERLINK("https://www.boe.es/gazeta/dias/1806/01/17/pdfs/GMD-1806-6.pdf#page=3","Abrir facsímil")</f>
        <v>Abrir facsímil</v>
      </c>
      <c r="K272" s="15" t="s">
        <v>22</v>
      </c>
    </row>
    <row r="273" spans="1:11" ht="42" customHeight="1">
      <c r="A273" s="4" t="s">
        <v>765</v>
      </c>
      <c r="B273" s="5" t="s">
        <v>766</v>
      </c>
      <c r="C273" s="5" t="s">
        <v>69</v>
      </c>
      <c r="D273" s="5" t="s">
        <v>70</v>
      </c>
      <c r="E273" s="5" t="s">
        <v>238</v>
      </c>
      <c r="F273" s="9">
        <v>18</v>
      </c>
      <c r="G273" s="9">
        <v>154</v>
      </c>
      <c r="H273" s="5" t="s">
        <v>20</v>
      </c>
      <c r="I273" s="5" t="s">
        <v>767</v>
      </c>
      <c r="J273" s="12" t="str">
        <f>HYPERLINK("https://www.boe.es/gazeta/dias/1806/02/25/pdfs/GMD-1806-18.pdf#page=2","Abrir facsímil")</f>
        <v>Abrir facsímil</v>
      </c>
      <c r="K273" s="15" t="s">
        <v>22</v>
      </c>
    </row>
    <row r="274" spans="1:11" ht="42" customHeight="1">
      <c r="A274" s="4" t="s">
        <v>768</v>
      </c>
      <c r="B274" s="5" t="s">
        <v>769</v>
      </c>
      <c r="C274" s="5" t="s">
        <v>31</v>
      </c>
      <c r="D274" s="5" t="s">
        <v>32</v>
      </c>
      <c r="E274" s="5" t="s">
        <v>340</v>
      </c>
      <c r="F274" s="9">
        <v>31</v>
      </c>
      <c r="G274" s="9">
        <v>304</v>
      </c>
      <c r="H274" s="5" t="s">
        <v>20</v>
      </c>
      <c r="I274" s="5" t="s">
        <v>770</v>
      </c>
      <c r="J274" s="12" t="str">
        <f>HYPERLINK("https://www.boe.es/gazeta/dias/1806/04/11/pdfs/GMD-1806-31.pdf#page=8","Abrir facsímil")</f>
        <v>Abrir facsímil</v>
      </c>
      <c r="K274" s="15" t="s">
        <v>22</v>
      </c>
    </row>
    <row r="275" spans="1:11" ht="42" customHeight="1">
      <c r="A275" s="4" t="s">
        <v>768</v>
      </c>
      <c r="B275" s="5" t="s">
        <v>769</v>
      </c>
      <c r="C275" s="5" t="s">
        <v>69</v>
      </c>
      <c r="D275" s="5" t="s">
        <v>70</v>
      </c>
      <c r="E275" s="5" t="s">
        <v>24</v>
      </c>
      <c r="F275" s="9">
        <v>32</v>
      </c>
      <c r="G275" s="9">
        <v>310</v>
      </c>
      <c r="H275" s="5" t="s">
        <v>20</v>
      </c>
      <c r="I275" s="5" t="s">
        <v>771</v>
      </c>
      <c r="J275" s="12" t="str">
        <f>HYPERLINK("https://www.boe.es/gazeta/dias/1806/04/15/pdfs/GMD-1806-32.pdf#page=2","Abrir facsímil")</f>
        <v>Abrir facsímil</v>
      </c>
      <c r="K275" s="15" t="s">
        <v>22</v>
      </c>
    </row>
    <row r="276" spans="1:11" ht="42" customHeight="1">
      <c r="A276" s="4" t="s">
        <v>772</v>
      </c>
      <c r="B276" s="5" t="s">
        <v>773</v>
      </c>
      <c r="C276" s="5" t="s">
        <v>69</v>
      </c>
      <c r="D276" s="5" t="s">
        <v>70</v>
      </c>
      <c r="E276" s="5" t="s">
        <v>430</v>
      </c>
      <c r="F276" s="9">
        <v>12</v>
      </c>
      <c r="G276" s="9">
        <v>103</v>
      </c>
      <c r="H276" s="5" t="s">
        <v>20</v>
      </c>
      <c r="I276" s="5" t="s">
        <v>774</v>
      </c>
      <c r="J276" s="12" t="str">
        <f>HYPERLINK("https://www.boe.es/gazeta/dias/1806/02/04/pdfs/GMD-1806-12.pdf#page=3","Abrir facsímil")</f>
        <v>Abrir facsímil</v>
      </c>
      <c r="K276" s="15" t="s">
        <v>22</v>
      </c>
    </row>
    <row r="277" spans="1:11" ht="42" customHeight="1">
      <c r="A277" s="4" t="s">
        <v>775</v>
      </c>
      <c r="B277" s="5" t="s">
        <v>776</v>
      </c>
      <c r="C277" s="5" t="s">
        <v>36</v>
      </c>
      <c r="D277" s="5" t="s">
        <v>37</v>
      </c>
      <c r="E277" s="5" t="s">
        <v>279</v>
      </c>
      <c r="F277" s="9">
        <v>52</v>
      </c>
      <c r="G277" s="9">
        <v>543</v>
      </c>
      <c r="H277" s="5" t="s">
        <v>20</v>
      </c>
      <c r="I277" s="5" t="s">
        <v>777</v>
      </c>
      <c r="J277" s="12" t="str">
        <f>HYPERLINK("https://www.boe.es/gazeta/dias/1806/06/24/pdfs/GMD-1806-52.pdf#page=11","Abrir facsímil")</f>
        <v>Abrir facsímil</v>
      </c>
      <c r="K277" s="15" t="s">
        <v>22</v>
      </c>
    </row>
    <row r="278" spans="1:11" ht="42" customHeight="1">
      <c r="A278" s="4" t="s">
        <v>775</v>
      </c>
      <c r="B278" s="5" t="s">
        <v>776</v>
      </c>
      <c r="C278" s="5" t="s">
        <v>36</v>
      </c>
      <c r="D278" s="5" t="s">
        <v>37</v>
      </c>
      <c r="E278" s="5" t="s">
        <v>48</v>
      </c>
      <c r="F278" s="9">
        <v>67</v>
      </c>
      <c r="G278" s="9">
        <v>703</v>
      </c>
      <c r="H278" s="5" t="s">
        <v>20</v>
      </c>
      <c r="I278" s="5" t="s">
        <v>778</v>
      </c>
      <c r="J278" s="12" t="str">
        <f>HYPERLINK("https://www.boe.es/gazeta/dias/1806/08/15/pdfs/GMD-1806-67.pdf#page=11","Abrir facsímil")</f>
        <v>Abrir facsímil</v>
      </c>
      <c r="K278" s="15" t="s">
        <v>22</v>
      </c>
    </row>
    <row r="279" spans="1:11" ht="42" customHeight="1">
      <c r="A279" s="4" t="s">
        <v>779</v>
      </c>
      <c r="B279" s="5" t="s">
        <v>779</v>
      </c>
      <c r="C279" s="5" t="s">
        <v>17</v>
      </c>
      <c r="D279" s="5" t="s">
        <v>18</v>
      </c>
      <c r="E279" s="5" t="s">
        <v>780</v>
      </c>
      <c r="F279" s="9">
        <v>33</v>
      </c>
      <c r="G279" s="9">
        <v>328</v>
      </c>
      <c r="H279" s="5" t="s">
        <v>20</v>
      </c>
      <c r="I279" s="5" t="s">
        <v>781</v>
      </c>
      <c r="J279" s="12" t="str">
        <f>HYPERLINK("https://www.boe.es/gazeta/dias/1806/04/18/pdfs/GMD-1806-33.pdf#page=8","Abrir facsímil")</f>
        <v>Abrir facsímil</v>
      </c>
      <c r="K279" s="15" t="s">
        <v>22</v>
      </c>
    </row>
    <row r="280" spans="1:11" ht="42" customHeight="1">
      <c r="A280" s="4" t="s">
        <v>782</v>
      </c>
      <c r="B280" s="5" t="s">
        <v>783</v>
      </c>
      <c r="C280" s="5" t="s">
        <v>31</v>
      </c>
      <c r="D280" s="5" t="s">
        <v>32</v>
      </c>
      <c r="E280" s="5" t="s">
        <v>118</v>
      </c>
      <c r="F280" s="9">
        <v>15</v>
      </c>
      <c r="G280" s="9">
        <v>134</v>
      </c>
      <c r="H280" s="5" t="s">
        <v>20</v>
      </c>
      <c r="I280" s="5" t="s">
        <v>784</v>
      </c>
      <c r="J280" s="12" t="str">
        <f>HYPERLINK("https://www.boe.es/gazeta/dias/1806/02/14/pdfs/GMD-1806-15.pdf#page=10","Abrir facsímil")</f>
        <v>Abrir facsímil</v>
      </c>
      <c r="K280" s="15" t="s">
        <v>22</v>
      </c>
    </row>
    <row r="281" spans="1:11" ht="42" customHeight="1">
      <c r="A281" s="4" t="s">
        <v>785</v>
      </c>
      <c r="B281" s="5" t="s">
        <v>785</v>
      </c>
      <c r="C281" s="5" t="s">
        <v>36</v>
      </c>
      <c r="D281" s="5" t="s">
        <v>37</v>
      </c>
      <c r="E281" s="5" t="s">
        <v>161</v>
      </c>
      <c r="F281" s="9">
        <v>11</v>
      </c>
      <c r="G281" s="9">
        <v>100</v>
      </c>
      <c r="H281" s="5" t="s">
        <v>20</v>
      </c>
      <c r="I281" s="5" t="s">
        <v>786</v>
      </c>
      <c r="J281" s="12" t="str">
        <f>HYPERLINK("https://www.boe.es/gazeta/dias/1806/01/31/pdfs/GMD-1806-11.pdf#page=8","Abrir facsímil")</f>
        <v>Abrir facsímil</v>
      </c>
      <c r="K281" s="15" t="s">
        <v>22</v>
      </c>
    </row>
    <row r="282" spans="1:11" ht="42" customHeight="1">
      <c r="A282" s="4" t="s">
        <v>787</v>
      </c>
      <c r="B282" s="5" t="s">
        <v>788</v>
      </c>
      <c r="C282" s="5" t="s">
        <v>31</v>
      </c>
      <c r="D282" s="5" t="s">
        <v>32</v>
      </c>
      <c r="E282" s="5" t="s">
        <v>327</v>
      </c>
      <c r="F282" s="9">
        <v>104</v>
      </c>
      <c r="G282" s="9">
        <v>1110</v>
      </c>
      <c r="H282" s="5" t="s">
        <v>20</v>
      </c>
      <c r="I282" s="5" t="s">
        <v>789</v>
      </c>
      <c r="J282" s="12" t="str">
        <f>HYPERLINK("https://www.boe.es/gazeta/dias/1806/12/23/pdfs/GMD-1806-104.pdf#page=10","Abrir facsímil")</f>
        <v>Abrir facsímil</v>
      </c>
      <c r="K282" s="15" t="s">
        <v>22</v>
      </c>
    </row>
    <row r="283" spans="1:11" ht="42" customHeight="1">
      <c r="A283" s="4" t="s">
        <v>790</v>
      </c>
      <c r="B283" s="5" t="s">
        <v>791</v>
      </c>
      <c r="C283" s="5" t="s">
        <v>69</v>
      </c>
      <c r="D283" s="5" t="s">
        <v>70</v>
      </c>
      <c r="E283" s="5" t="s">
        <v>140</v>
      </c>
      <c r="F283" s="9">
        <v>83</v>
      </c>
      <c r="G283" s="9">
        <v>853</v>
      </c>
      <c r="H283" s="5" t="s">
        <v>20</v>
      </c>
      <c r="I283" s="5" t="s">
        <v>792</v>
      </c>
      <c r="J283" s="12" t="str">
        <f>HYPERLINK("https://www.boe.es/gazeta/dias/1806/10/10/pdfs/GMD-1806-83.pdf#page=1","Abrir facsímil")</f>
        <v>Abrir facsímil</v>
      </c>
      <c r="K283" s="15" t="s">
        <v>22</v>
      </c>
    </row>
    <row r="284" spans="1:11" ht="42" customHeight="1">
      <c r="A284" s="4" t="s">
        <v>793</v>
      </c>
      <c r="B284" s="5" t="s">
        <v>794</v>
      </c>
      <c r="C284" s="5" t="s">
        <v>31</v>
      </c>
      <c r="D284" s="5" t="s">
        <v>32</v>
      </c>
      <c r="E284" s="5" t="s">
        <v>209</v>
      </c>
      <c r="F284" s="9">
        <v>95</v>
      </c>
      <c r="G284" s="9">
        <v>1005</v>
      </c>
      <c r="H284" s="5" t="s">
        <v>20</v>
      </c>
      <c r="I284" s="5" t="s">
        <v>795</v>
      </c>
      <c r="J284" s="12" t="str">
        <f>HYPERLINK("https://www.boe.es/gazeta/dias/1806/11/21/pdfs/GMD-1806-95.pdf#page=13","Abrir facsímil")</f>
        <v>Abrir facsímil</v>
      </c>
      <c r="K284" s="15" t="s">
        <v>22</v>
      </c>
    </row>
    <row r="285" spans="1:11" ht="42" customHeight="1">
      <c r="A285" s="4" t="s">
        <v>796</v>
      </c>
      <c r="B285" s="5" t="s">
        <v>797</v>
      </c>
      <c r="C285" s="5" t="s">
        <v>31</v>
      </c>
      <c r="D285" s="5" t="s">
        <v>32</v>
      </c>
      <c r="E285" s="5" t="s">
        <v>24</v>
      </c>
      <c r="F285" s="9">
        <v>32</v>
      </c>
      <c r="G285" s="9">
        <v>315</v>
      </c>
      <c r="H285" s="5" t="s">
        <v>20</v>
      </c>
      <c r="I285" s="5" t="s">
        <v>798</v>
      </c>
      <c r="J285" s="12" t="str">
        <f>HYPERLINK("https://www.boe.es/gazeta/dias/1806/04/15/pdfs/GMD-1806-32.pdf#page=7","Abrir facsímil")</f>
        <v>Abrir facsímil</v>
      </c>
      <c r="K285" s="15" t="s">
        <v>22</v>
      </c>
    </row>
    <row r="286" spans="1:11" ht="42" customHeight="1">
      <c r="A286" s="4" t="s">
        <v>799</v>
      </c>
      <c r="B286" s="5" t="s">
        <v>799</v>
      </c>
      <c r="C286" s="5" t="s">
        <v>17</v>
      </c>
      <c r="D286" s="5" t="s">
        <v>18</v>
      </c>
      <c r="E286" s="5" t="s">
        <v>79</v>
      </c>
      <c r="F286" s="9">
        <v>68</v>
      </c>
      <c r="G286" s="9">
        <v>712</v>
      </c>
      <c r="H286" s="5" t="s">
        <v>20</v>
      </c>
      <c r="I286" s="5" t="s">
        <v>800</v>
      </c>
      <c r="J286" s="12" t="str">
        <f>HYPERLINK("https://www.boe.es/gazeta/dias/1806/08/19/pdfs/GMD-1806-68.pdf#page=8","Abrir facsímil")</f>
        <v>Abrir facsímil</v>
      </c>
      <c r="K286" s="15" t="s">
        <v>22</v>
      </c>
    </row>
    <row r="287" spans="1:11" ht="42" customHeight="1">
      <c r="A287" s="4" t="s">
        <v>801</v>
      </c>
      <c r="B287" s="5" t="s">
        <v>802</v>
      </c>
      <c r="C287" s="5" t="s">
        <v>69</v>
      </c>
      <c r="D287" s="5" t="s">
        <v>70</v>
      </c>
      <c r="E287" s="5" t="s">
        <v>501</v>
      </c>
      <c r="F287" s="9">
        <v>39</v>
      </c>
      <c r="G287" s="9">
        <v>377</v>
      </c>
      <c r="H287" s="5" t="s">
        <v>20</v>
      </c>
      <c r="I287" s="5" t="s">
        <v>803</v>
      </c>
      <c r="J287" s="12" t="str">
        <f>HYPERLINK("https://www.boe.es/gazeta/dias/1806/05/09/pdfs/GMD-1806-39.pdf#page=1","Abrir facsímil")</f>
        <v>Abrir facsímil</v>
      </c>
      <c r="K287" s="15" t="s">
        <v>22</v>
      </c>
    </row>
    <row r="288" spans="1:11" ht="42" customHeight="1">
      <c r="A288" s="4" t="s">
        <v>804</v>
      </c>
      <c r="B288" s="5" t="s">
        <v>804</v>
      </c>
      <c r="C288" s="5" t="s">
        <v>31</v>
      </c>
      <c r="D288" s="5" t="s">
        <v>32</v>
      </c>
      <c r="E288" s="5" t="s">
        <v>24</v>
      </c>
      <c r="F288" s="9">
        <v>32</v>
      </c>
      <c r="G288" s="9">
        <v>311</v>
      </c>
      <c r="H288" s="5" t="s">
        <v>20</v>
      </c>
      <c r="I288" s="5" t="s">
        <v>805</v>
      </c>
      <c r="J288" s="12" t="str">
        <f>HYPERLINK("https://www.boe.es/gazeta/dias/1806/04/15/pdfs/GMD-1806-32.pdf#page=3","Abrir facsímil")</f>
        <v>Abrir facsímil</v>
      </c>
      <c r="K288" s="15" t="s">
        <v>22</v>
      </c>
    </row>
    <row r="289" spans="1:11" ht="42" customHeight="1">
      <c r="A289" s="4" t="s">
        <v>804</v>
      </c>
      <c r="B289" s="5" t="s">
        <v>804</v>
      </c>
      <c r="C289" s="5" t="s">
        <v>36</v>
      </c>
      <c r="D289" s="5" t="s">
        <v>37</v>
      </c>
      <c r="E289" s="5" t="s">
        <v>309</v>
      </c>
      <c r="F289" s="9">
        <v>41</v>
      </c>
      <c r="G289" s="9">
        <v>402</v>
      </c>
      <c r="H289" s="5" t="s">
        <v>20</v>
      </c>
      <c r="I289" s="5" t="s">
        <v>806</v>
      </c>
      <c r="J289" s="12" t="str">
        <f>HYPERLINK("https://www.boe.es/gazeta/dias/1806/05/16/pdfs/GMD-1806-41.pdf#page=2","Abrir facsímil")</f>
        <v>Abrir facsímil</v>
      </c>
      <c r="K289" s="15" t="s">
        <v>22</v>
      </c>
    </row>
    <row r="290" spans="1:11" ht="42" customHeight="1">
      <c r="A290" s="4" t="s">
        <v>807</v>
      </c>
      <c r="B290" s="5" t="s">
        <v>807</v>
      </c>
      <c r="C290" s="5" t="s">
        <v>69</v>
      </c>
      <c r="D290" s="5" t="s">
        <v>70</v>
      </c>
      <c r="E290" s="5" t="s">
        <v>285</v>
      </c>
      <c r="F290" s="9">
        <v>13</v>
      </c>
      <c r="G290" s="9">
        <v>109</v>
      </c>
      <c r="H290" s="5" t="s">
        <v>20</v>
      </c>
      <c r="I290" s="5" t="s">
        <v>808</v>
      </c>
      <c r="J290" s="12" t="str">
        <f>HYPERLINK("https://www.boe.es/gazeta/dias/1806/02/07/pdfs/GMD-1806-13.pdf#page=1","Abrir facsímil")</f>
        <v>Abrir facsímil</v>
      </c>
      <c r="K290" s="15" t="s">
        <v>22</v>
      </c>
    </row>
    <row r="291" spans="1:11" ht="42" customHeight="1">
      <c r="A291" s="4" t="s">
        <v>809</v>
      </c>
      <c r="B291" s="5" t="s">
        <v>809</v>
      </c>
      <c r="C291" s="5" t="s">
        <v>31</v>
      </c>
      <c r="D291" s="5" t="s">
        <v>32</v>
      </c>
      <c r="E291" s="5" t="s">
        <v>810</v>
      </c>
      <c r="F291" s="9">
        <v>71</v>
      </c>
      <c r="G291" s="9">
        <v>733</v>
      </c>
      <c r="H291" s="5" t="s">
        <v>20</v>
      </c>
      <c r="I291" s="5" t="s">
        <v>811</v>
      </c>
      <c r="J291" s="12" t="str">
        <f>HYPERLINK("https://www.boe.es/gazeta/dias/1806/08/29/pdfs/GMD-1806-71.pdf#page=1","Abrir facsímil")</f>
        <v>Abrir facsímil</v>
      </c>
      <c r="K291" s="15" t="s">
        <v>22</v>
      </c>
    </row>
    <row r="292" spans="1:11" ht="42" customHeight="1">
      <c r="A292" s="4" t="s">
        <v>812</v>
      </c>
      <c r="B292" s="5" t="s">
        <v>812</v>
      </c>
      <c r="C292" s="5" t="s">
        <v>69</v>
      </c>
      <c r="D292" s="5" t="s">
        <v>70</v>
      </c>
      <c r="E292" s="5" t="s">
        <v>213</v>
      </c>
      <c r="F292" s="9">
        <v>73</v>
      </c>
      <c r="G292" s="9">
        <v>754</v>
      </c>
      <c r="H292" s="5" t="s">
        <v>20</v>
      </c>
      <c r="I292" s="5" t="s">
        <v>813</v>
      </c>
      <c r="J292" s="12" t="str">
        <f>HYPERLINK("https://www.boe.es/gazeta/dias/1806/09/05/pdfs/GMD-1806-73.pdf#page=2","Abrir facsímil")</f>
        <v>Abrir facsímil</v>
      </c>
      <c r="K292" s="15" t="s">
        <v>22</v>
      </c>
    </row>
    <row r="293" spans="1:11" ht="42" customHeight="1">
      <c r="A293" s="4" t="s">
        <v>814</v>
      </c>
      <c r="B293" s="5" t="s">
        <v>815</v>
      </c>
      <c r="C293" s="5" t="s">
        <v>31</v>
      </c>
      <c r="D293" s="5" t="s">
        <v>32</v>
      </c>
      <c r="E293" s="5" t="s">
        <v>816</v>
      </c>
      <c r="F293" s="9">
        <v>86</v>
      </c>
      <c r="G293" s="9">
        <v>891</v>
      </c>
      <c r="H293" s="5" t="s">
        <v>20</v>
      </c>
      <c r="I293" s="5" t="s">
        <v>817</v>
      </c>
      <c r="J293" s="12" t="str">
        <f>HYPERLINK("https://www.boe.es/gazeta/dias/1806/10/21/pdfs/GMD-1806-86.pdf#page=7","Abrir facsímil")</f>
        <v>Abrir facsímil</v>
      </c>
      <c r="K293" s="15" t="s">
        <v>22</v>
      </c>
    </row>
    <row r="294" spans="1:11" ht="42" customHeight="1">
      <c r="A294" s="4" t="s">
        <v>818</v>
      </c>
      <c r="B294" s="5" t="s">
        <v>818</v>
      </c>
      <c r="C294" s="5" t="s">
        <v>17</v>
      </c>
      <c r="D294" s="5" t="s">
        <v>18</v>
      </c>
      <c r="E294" s="5" t="s">
        <v>220</v>
      </c>
      <c r="F294" s="9">
        <v>24</v>
      </c>
      <c r="G294" s="9">
        <v>231</v>
      </c>
      <c r="H294" s="5" t="s">
        <v>20</v>
      </c>
      <c r="I294" s="5" t="s">
        <v>819</v>
      </c>
      <c r="J294" s="12" t="str">
        <f>HYPERLINK("https://www.boe.es/gazeta/dias/1806/03/18/pdfs/GMD-1806-24.pdf#page=7","Abrir facsímil")</f>
        <v>Abrir facsímil</v>
      </c>
      <c r="K294" s="15" t="s">
        <v>22</v>
      </c>
    </row>
    <row r="295" spans="1:11" ht="42" customHeight="1">
      <c r="A295" s="4" t="s">
        <v>820</v>
      </c>
      <c r="B295" s="5" t="s">
        <v>821</v>
      </c>
      <c r="C295" s="5" t="s">
        <v>75</v>
      </c>
      <c r="D295" s="5" t="s">
        <v>43</v>
      </c>
      <c r="E295" s="5" t="s">
        <v>367</v>
      </c>
      <c r="F295" s="9">
        <v>87</v>
      </c>
      <c r="G295" s="9">
        <v>902</v>
      </c>
      <c r="H295" s="5" t="s">
        <v>20</v>
      </c>
      <c r="I295" s="5" t="s">
        <v>822</v>
      </c>
      <c r="J295" s="12" t="str">
        <f>HYPERLINK("https://www.boe.es/gazeta/dias/1806/10/24/pdfs/GMD-1806-87.pdf#page=10","Abrir facsímil")</f>
        <v>Abrir facsímil</v>
      </c>
      <c r="K295" s="15" t="s">
        <v>22</v>
      </c>
    </row>
    <row r="296" spans="1:11" ht="42" customHeight="1">
      <c r="A296" s="4" t="s">
        <v>823</v>
      </c>
      <c r="B296" s="5" t="s">
        <v>824</v>
      </c>
      <c r="C296" s="5" t="s">
        <v>31</v>
      </c>
      <c r="D296" s="5" t="s">
        <v>32</v>
      </c>
      <c r="E296" s="5" t="s">
        <v>55</v>
      </c>
      <c r="F296" s="9">
        <v>20</v>
      </c>
      <c r="G296" s="9">
        <v>185</v>
      </c>
      <c r="H296" s="5" t="s">
        <v>20</v>
      </c>
      <c r="I296" s="5" t="s">
        <v>825</v>
      </c>
      <c r="J296" s="12" t="str">
        <f>HYPERLINK("https://www.boe.es/gazeta/dias/1806/03/04/pdfs/GMD-1806-20.pdf#page=9","Abrir facsímil")</f>
        <v>Abrir facsímil</v>
      </c>
      <c r="K296" s="15" t="s">
        <v>22</v>
      </c>
    </row>
    <row r="297" spans="1:11" ht="42" customHeight="1">
      <c r="A297" s="4" t="s">
        <v>826</v>
      </c>
      <c r="B297" s="5" t="s">
        <v>827</v>
      </c>
      <c r="C297" s="5" t="s">
        <v>17</v>
      </c>
      <c r="D297" s="5" t="s">
        <v>18</v>
      </c>
      <c r="E297" s="5" t="s">
        <v>290</v>
      </c>
      <c r="F297" s="9">
        <v>1</v>
      </c>
      <c r="G297" s="9">
        <v>8</v>
      </c>
      <c r="H297" s="5" t="s">
        <v>20</v>
      </c>
      <c r="I297" s="5" t="s">
        <v>828</v>
      </c>
      <c r="J297" s="12" t="str">
        <f>HYPERLINK("https://www.boe.es/gazeta/dias/1806/01/03/pdfs/GMD-1806-1.pdf#page=8","Abrir facsímil")</f>
        <v>Abrir facsímil</v>
      </c>
      <c r="K297" s="15" t="s">
        <v>22</v>
      </c>
    </row>
    <row r="298" spans="1:11" ht="42" customHeight="1">
      <c r="A298" s="4" t="s">
        <v>829</v>
      </c>
      <c r="B298" s="5" t="s">
        <v>830</v>
      </c>
      <c r="C298" s="5" t="s">
        <v>31</v>
      </c>
      <c r="D298" s="5" t="s">
        <v>32</v>
      </c>
      <c r="E298" s="5" t="s">
        <v>340</v>
      </c>
      <c r="F298" s="9">
        <v>31</v>
      </c>
      <c r="G298" s="9">
        <v>305</v>
      </c>
      <c r="H298" s="5" t="s">
        <v>20</v>
      </c>
      <c r="I298" s="5" t="s">
        <v>831</v>
      </c>
      <c r="J298" s="12" t="str">
        <f>HYPERLINK("https://www.boe.es/gazeta/dias/1806/04/11/pdfs/GMD-1806-31.pdf#page=9","Abrir facsímil")</f>
        <v>Abrir facsímil</v>
      </c>
      <c r="K298" s="15" t="s">
        <v>22</v>
      </c>
    </row>
    <row r="299" spans="1:11" ht="42" customHeight="1">
      <c r="A299" s="4" t="s">
        <v>832</v>
      </c>
      <c r="B299" s="5" t="s">
        <v>833</v>
      </c>
      <c r="C299" s="5" t="s">
        <v>17</v>
      </c>
      <c r="D299" s="5" t="s">
        <v>18</v>
      </c>
      <c r="E299" s="5" t="s">
        <v>580</v>
      </c>
      <c r="F299" s="9">
        <v>23</v>
      </c>
      <c r="G299" s="9">
        <v>219</v>
      </c>
      <c r="H299" s="5" t="s">
        <v>20</v>
      </c>
      <c r="I299" s="5" t="s">
        <v>834</v>
      </c>
      <c r="J299" s="12" t="str">
        <f>HYPERLINK("https://www.boe.es/gazeta/dias/1806/03/14/pdfs/GMD-1806-23.pdf#page=7","Abrir facsímil")</f>
        <v>Abrir facsímil</v>
      </c>
      <c r="K299" s="15" t="s">
        <v>22</v>
      </c>
    </row>
    <row r="300" spans="1:11" ht="42" customHeight="1">
      <c r="A300" s="4" t="s">
        <v>835</v>
      </c>
      <c r="B300" s="5" t="s">
        <v>836</v>
      </c>
      <c r="C300" s="5" t="s">
        <v>69</v>
      </c>
      <c r="D300" s="5" t="s">
        <v>70</v>
      </c>
      <c r="E300" s="5" t="s">
        <v>837</v>
      </c>
      <c r="F300" s="9">
        <v>26</v>
      </c>
      <c r="G300" s="9">
        <v>253</v>
      </c>
      <c r="H300" s="5" t="s">
        <v>20</v>
      </c>
      <c r="I300" s="5" t="s">
        <v>838</v>
      </c>
      <c r="J300" s="12" t="str">
        <f>HYPERLINK("https://www.boe.es/gazeta/dias/1806/03/25/pdfs/GMD-1806-26.pdf#page=5","Abrir facsímil")</f>
        <v>Abrir facsímil</v>
      </c>
      <c r="K300" s="15" t="s">
        <v>22</v>
      </c>
    </row>
    <row r="301" spans="1:11" ht="42" customHeight="1">
      <c r="A301" s="4" t="s">
        <v>839</v>
      </c>
      <c r="B301" s="5" t="s">
        <v>839</v>
      </c>
      <c r="C301" s="5" t="s">
        <v>31</v>
      </c>
      <c r="D301" s="5" t="s">
        <v>32</v>
      </c>
      <c r="E301" s="5" t="s">
        <v>430</v>
      </c>
      <c r="F301" s="9">
        <v>12</v>
      </c>
      <c r="G301" s="9">
        <v>102</v>
      </c>
      <c r="H301" s="5" t="s">
        <v>20</v>
      </c>
      <c r="I301" s="5" t="s">
        <v>840</v>
      </c>
      <c r="J301" s="12" t="str">
        <f>HYPERLINK("https://www.boe.es/gazeta/dias/1806/02/04/pdfs/GMD-1806-12.pdf#page=2","Abrir facsímil")</f>
        <v>Abrir facsímil</v>
      </c>
      <c r="K301" s="15" t="s">
        <v>22</v>
      </c>
    </row>
    <row r="302" spans="1:11" ht="42" customHeight="1">
      <c r="A302" s="4" t="s">
        <v>841</v>
      </c>
      <c r="B302" s="5" t="s">
        <v>841</v>
      </c>
      <c r="C302" s="5" t="s">
        <v>36</v>
      </c>
      <c r="D302" s="5" t="s">
        <v>37</v>
      </c>
      <c r="E302" s="5" t="s">
        <v>144</v>
      </c>
      <c r="F302" s="9">
        <v>79</v>
      </c>
      <c r="G302" s="9">
        <v>819</v>
      </c>
      <c r="H302" s="5" t="s">
        <v>20</v>
      </c>
      <c r="I302" s="5" t="s">
        <v>842</v>
      </c>
      <c r="J302" s="12" t="str">
        <f>HYPERLINK("https://www.boe.es/gazeta/dias/1806/09/26/pdfs/GMD-1806-79.pdf#page=11","Abrir facsímil")</f>
        <v>Abrir facsímil</v>
      </c>
      <c r="K302" s="15" t="s">
        <v>22</v>
      </c>
    </row>
    <row r="303" spans="1:11" ht="42" customHeight="1">
      <c r="A303" s="4" t="s">
        <v>843</v>
      </c>
      <c r="B303" s="5" t="s">
        <v>844</v>
      </c>
      <c r="C303" s="5" t="s">
        <v>17</v>
      </c>
      <c r="D303" s="5" t="s">
        <v>18</v>
      </c>
      <c r="E303" s="5" t="s">
        <v>118</v>
      </c>
      <c r="F303" s="9">
        <v>15</v>
      </c>
      <c r="G303" s="9">
        <v>135</v>
      </c>
      <c r="H303" s="5" t="s">
        <v>20</v>
      </c>
      <c r="I303" s="5" t="s">
        <v>845</v>
      </c>
      <c r="J303" s="12" t="str">
        <f>HYPERLINK("https://www.boe.es/gazeta/dias/1806/02/14/pdfs/GMD-1806-15.pdf#page=11","Abrir facsímil")</f>
        <v>Abrir facsímil</v>
      </c>
      <c r="K303" s="15" t="s">
        <v>22</v>
      </c>
    </row>
    <row r="304" spans="1:11" ht="42" customHeight="1">
      <c r="A304" s="4" t="s">
        <v>843</v>
      </c>
      <c r="B304" s="5" t="s">
        <v>844</v>
      </c>
      <c r="C304" s="5" t="s">
        <v>31</v>
      </c>
      <c r="D304" s="5" t="s">
        <v>32</v>
      </c>
      <c r="E304" s="5" t="s">
        <v>191</v>
      </c>
      <c r="F304" s="9">
        <v>103</v>
      </c>
      <c r="G304" s="9">
        <v>1097</v>
      </c>
      <c r="H304" s="5" t="s">
        <v>20</v>
      </c>
      <c r="I304" s="5" t="s">
        <v>846</v>
      </c>
      <c r="J304" s="12" t="str">
        <f>HYPERLINK("https://www.boe.es/gazeta/dias/1806/12/19/pdfs/GMD-1806-103.pdf#page=9","Abrir facsímil")</f>
        <v>Abrir facsímil</v>
      </c>
      <c r="K304" s="15" t="s">
        <v>22</v>
      </c>
    </row>
    <row r="305" spans="1:11" ht="42" customHeight="1">
      <c r="A305" s="4" t="s">
        <v>847</v>
      </c>
      <c r="B305" s="5" t="s">
        <v>848</v>
      </c>
      <c r="C305" s="5" t="s">
        <v>31</v>
      </c>
      <c r="D305" s="5" t="s">
        <v>32</v>
      </c>
      <c r="E305" s="5" t="s">
        <v>44</v>
      </c>
      <c r="F305" s="9">
        <v>42</v>
      </c>
      <c r="G305" s="9">
        <v>421</v>
      </c>
      <c r="H305" s="5" t="s">
        <v>20</v>
      </c>
      <c r="I305" s="5" t="s">
        <v>849</v>
      </c>
      <c r="J305" s="12" t="str">
        <f>HYPERLINK("https://www.boe.es/gazeta/dias/1806/05/20/pdfs/GMD-1806-42.pdf#page=9","Abrir facsímil")</f>
        <v>Abrir facsímil</v>
      </c>
      <c r="K305" s="15" t="s">
        <v>22</v>
      </c>
    </row>
    <row r="306" spans="1:11" ht="42" customHeight="1">
      <c r="A306" s="4" t="s">
        <v>850</v>
      </c>
      <c r="B306" s="5" t="s">
        <v>850</v>
      </c>
      <c r="C306" s="5" t="s">
        <v>36</v>
      </c>
      <c r="D306" s="5" t="s">
        <v>37</v>
      </c>
      <c r="E306" s="5" t="s">
        <v>90</v>
      </c>
      <c r="F306" s="9">
        <v>60</v>
      </c>
      <c r="G306" s="9">
        <v>626</v>
      </c>
      <c r="H306" s="5" t="s">
        <v>20</v>
      </c>
      <c r="I306" s="5" t="s">
        <v>851</v>
      </c>
      <c r="J306" s="12" t="str">
        <f>HYPERLINK("https://www.boe.es/gazeta/dias/1806/07/22/pdfs/GMD-1806-60.pdf#page=10","Abrir facsímil")</f>
        <v>Abrir facsímil</v>
      </c>
      <c r="K306" s="15" t="s">
        <v>22</v>
      </c>
    </row>
    <row r="307" spans="1:11" ht="42" customHeight="1">
      <c r="A307" s="4" t="s">
        <v>852</v>
      </c>
      <c r="B307" s="5" t="s">
        <v>852</v>
      </c>
      <c r="C307" s="5" t="s">
        <v>31</v>
      </c>
      <c r="D307" s="5" t="s">
        <v>32</v>
      </c>
      <c r="E307" s="5" t="s">
        <v>24</v>
      </c>
      <c r="F307" s="9">
        <v>32</v>
      </c>
      <c r="G307" s="9">
        <v>315</v>
      </c>
      <c r="H307" s="5" t="s">
        <v>20</v>
      </c>
      <c r="I307" s="5" t="s">
        <v>853</v>
      </c>
      <c r="J307" s="12" t="str">
        <f>HYPERLINK("https://www.boe.es/gazeta/dias/1806/04/15/pdfs/GMD-1806-32.pdf#page=7","Abrir facsímil")</f>
        <v>Abrir facsímil</v>
      </c>
      <c r="K307" s="15" t="s">
        <v>22</v>
      </c>
    </row>
    <row r="308" spans="1:11" ht="42" customHeight="1">
      <c r="A308" s="4" t="s">
        <v>854</v>
      </c>
      <c r="B308" s="5" t="s">
        <v>854</v>
      </c>
      <c r="C308" s="5" t="s">
        <v>42</v>
      </c>
      <c r="D308" s="5" t="s">
        <v>43</v>
      </c>
      <c r="E308" s="5" t="s">
        <v>185</v>
      </c>
      <c r="F308" s="9">
        <v>46</v>
      </c>
      <c r="G308" s="9">
        <v>468</v>
      </c>
      <c r="H308" s="5" t="s">
        <v>20</v>
      </c>
      <c r="I308" s="5" t="s">
        <v>855</v>
      </c>
      <c r="J308" s="12" t="str">
        <f>HYPERLINK("https://www.boe.es/gazeta/dias/1806/06/03/pdfs/GMD-1806-46.pdf#page=8","Abrir facsímil")</f>
        <v>Abrir facsímil</v>
      </c>
      <c r="K308" s="15" t="s">
        <v>22</v>
      </c>
    </row>
    <row r="309" spans="1:11" ht="42" customHeight="1">
      <c r="A309" s="4" t="s">
        <v>856</v>
      </c>
      <c r="B309" s="5" t="s">
        <v>856</v>
      </c>
      <c r="C309" s="5" t="s">
        <v>31</v>
      </c>
      <c r="D309" s="5" t="s">
        <v>32</v>
      </c>
      <c r="E309" s="5" t="s">
        <v>301</v>
      </c>
      <c r="F309" s="9">
        <v>75</v>
      </c>
      <c r="G309" s="9">
        <v>777</v>
      </c>
      <c r="H309" s="5" t="s">
        <v>20</v>
      </c>
      <c r="I309" s="5" t="s">
        <v>857</v>
      </c>
      <c r="J309" s="12" t="str">
        <f>HYPERLINK("https://www.boe.es/gazeta/dias/1806/09/12/pdfs/GMD-1806-75.pdf#page=9","Abrir facsímil")</f>
        <v>Abrir facsímil</v>
      </c>
      <c r="K309" s="15" t="s">
        <v>22</v>
      </c>
    </row>
    <row r="310" spans="1:11" ht="42" customHeight="1">
      <c r="A310" s="4" t="s">
        <v>858</v>
      </c>
      <c r="B310" s="5" t="s">
        <v>858</v>
      </c>
      <c r="C310" s="5" t="s">
        <v>31</v>
      </c>
      <c r="D310" s="5" t="s">
        <v>32</v>
      </c>
      <c r="E310" s="5" t="s">
        <v>859</v>
      </c>
      <c r="F310" s="9">
        <v>63</v>
      </c>
      <c r="G310" s="9">
        <v>662</v>
      </c>
      <c r="H310" s="5" t="s">
        <v>20</v>
      </c>
      <c r="I310" s="5" t="s">
        <v>860</v>
      </c>
      <c r="J310" s="12" t="str">
        <f>HYPERLINK("https://www.boe.es/gazeta/dias/1806/08/01/pdfs/GMD-1806-63.pdf#page=10","Abrir facsímil")</f>
        <v>Abrir facsímil</v>
      </c>
      <c r="K310" s="15" t="s">
        <v>22</v>
      </c>
    </row>
    <row r="311" spans="1:11" ht="42" customHeight="1">
      <c r="A311" s="4" t="s">
        <v>861</v>
      </c>
      <c r="B311" s="5" t="s">
        <v>861</v>
      </c>
      <c r="C311" s="5" t="s">
        <v>31</v>
      </c>
      <c r="D311" s="5" t="s">
        <v>32</v>
      </c>
      <c r="E311" s="5" t="s">
        <v>494</v>
      </c>
      <c r="F311" s="9">
        <v>69</v>
      </c>
      <c r="G311" s="9">
        <v>721</v>
      </c>
      <c r="H311" s="5" t="s">
        <v>20</v>
      </c>
      <c r="I311" s="5" t="s">
        <v>862</v>
      </c>
      <c r="J311" s="12" t="str">
        <f>HYPERLINK("https://www.boe.es/gazeta/dias/1806/08/22/pdfs/GMD-1806-69.pdf#page=9","Abrir facsímil")</f>
        <v>Abrir facsímil</v>
      </c>
      <c r="K311" s="15" t="s">
        <v>22</v>
      </c>
    </row>
    <row r="312" spans="1:11" ht="42" customHeight="1">
      <c r="A312" s="4" t="s">
        <v>863</v>
      </c>
      <c r="B312" s="5" t="s">
        <v>863</v>
      </c>
      <c r="C312" s="5" t="s">
        <v>17</v>
      </c>
      <c r="D312" s="5" t="s">
        <v>18</v>
      </c>
      <c r="E312" s="5" t="s">
        <v>82</v>
      </c>
      <c r="F312" s="9">
        <v>48</v>
      </c>
      <c r="G312" s="9">
        <v>496</v>
      </c>
      <c r="H312" s="5" t="s">
        <v>20</v>
      </c>
      <c r="I312" s="5" t="s">
        <v>864</v>
      </c>
      <c r="J312" s="12" t="str">
        <f>HYPERLINK("https://www.boe.es/gazeta/dias/1806/06/10/pdfs/GMD-1806-48.pdf#page=8","Abrir facsímil")</f>
        <v>Abrir facsímil</v>
      </c>
      <c r="K312" s="15" t="s">
        <v>22</v>
      </c>
    </row>
    <row r="313" spans="1:11" ht="42" customHeight="1">
      <c r="A313" s="4" t="s">
        <v>865</v>
      </c>
      <c r="B313" s="5" t="s">
        <v>865</v>
      </c>
      <c r="C313" s="5" t="s">
        <v>75</v>
      </c>
      <c r="D313" s="5" t="s">
        <v>43</v>
      </c>
      <c r="E313" s="5" t="s">
        <v>689</v>
      </c>
      <c r="F313" s="9">
        <v>37</v>
      </c>
      <c r="G313" s="9">
        <v>361</v>
      </c>
      <c r="H313" s="5" t="s">
        <v>20</v>
      </c>
      <c r="I313" s="5" t="s">
        <v>866</v>
      </c>
      <c r="J313" s="12" t="str">
        <f>HYPERLINK("https://www.boe.es/gazeta/dias/1806/05/02/pdfs/GMD-1806-37.pdf#page=9","Abrir facsímil")</f>
        <v>Abrir facsímil</v>
      </c>
      <c r="K313" s="15" t="s">
        <v>22</v>
      </c>
    </row>
    <row r="314" spans="1:11" ht="42" customHeight="1">
      <c r="A314" s="4" t="s">
        <v>867</v>
      </c>
      <c r="B314" s="5" t="s">
        <v>867</v>
      </c>
      <c r="C314" s="5" t="s">
        <v>36</v>
      </c>
      <c r="D314" s="5" t="s">
        <v>37</v>
      </c>
      <c r="E314" s="5" t="s">
        <v>405</v>
      </c>
      <c r="F314" s="9">
        <v>80</v>
      </c>
      <c r="G314" s="9">
        <v>832</v>
      </c>
      <c r="H314" s="5" t="s">
        <v>20</v>
      </c>
      <c r="I314" s="5" t="s">
        <v>868</v>
      </c>
      <c r="J314" s="12" t="str">
        <f>HYPERLINK("https://www.boe.es/gazeta/dias/1806/09/30/pdfs/GMD-1806-80.pdf#page=12","Abrir facsímil")</f>
        <v>Abrir facsímil</v>
      </c>
      <c r="K314" s="15" t="s">
        <v>22</v>
      </c>
    </row>
    <row r="315" spans="1:11" ht="42" customHeight="1">
      <c r="A315" s="4" t="s">
        <v>869</v>
      </c>
      <c r="B315" s="5" t="s">
        <v>869</v>
      </c>
      <c r="C315" s="5" t="s">
        <v>36</v>
      </c>
      <c r="D315" s="5" t="s">
        <v>37</v>
      </c>
      <c r="E315" s="5" t="s">
        <v>870</v>
      </c>
      <c r="F315" s="9">
        <v>35</v>
      </c>
      <c r="G315" s="9">
        <v>339</v>
      </c>
      <c r="H315" s="5" t="s">
        <v>20</v>
      </c>
      <c r="I315" s="5" t="s">
        <v>871</v>
      </c>
      <c r="J315" s="12" t="str">
        <f>HYPERLINK("https://www.boe.es/gazeta/dias/1806/04/25/pdfs/GMD-1806-35.pdf#page=3","Abrir facsímil")</f>
        <v>Abrir facsímil</v>
      </c>
      <c r="K315" s="15" t="s">
        <v>22</v>
      </c>
    </row>
    <row r="316" spans="1:11" ht="42" customHeight="1">
      <c r="A316" s="4" t="s">
        <v>872</v>
      </c>
      <c r="B316" s="5" t="s">
        <v>873</v>
      </c>
      <c r="C316" s="5" t="s">
        <v>69</v>
      </c>
      <c r="D316" s="5" t="s">
        <v>70</v>
      </c>
      <c r="E316" s="5" t="s">
        <v>271</v>
      </c>
      <c r="F316" s="9">
        <v>6</v>
      </c>
      <c r="G316" s="9">
        <v>46</v>
      </c>
      <c r="H316" s="5" t="s">
        <v>20</v>
      </c>
      <c r="I316" s="5" t="s">
        <v>874</v>
      </c>
      <c r="J316" s="12" t="str">
        <f>HYPERLINK("https://www.boe.es/gazeta/dias/1806/01/17/pdfs/GMD-1806-6.pdf#page=2","Abrir facsímil")</f>
        <v>Abrir facsímil</v>
      </c>
      <c r="K316" s="15" t="s">
        <v>22</v>
      </c>
    </row>
    <row r="317" spans="1:11" ht="42" customHeight="1">
      <c r="A317" s="4" t="s">
        <v>875</v>
      </c>
      <c r="B317" s="5" t="s">
        <v>875</v>
      </c>
      <c r="C317" s="5" t="s">
        <v>17</v>
      </c>
      <c r="D317" s="5" t="s">
        <v>18</v>
      </c>
      <c r="E317" s="5" t="s">
        <v>580</v>
      </c>
      <c r="F317" s="9">
        <v>23</v>
      </c>
      <c r="G317" s="9">
        <v>218</v>
      </c>
      <c r="H317" s="5" t="s">
        <v>20</v>
      </c>
      <c r="I317" s="5" t="s">
        <v>876</v>
      </c>
      <c r="J317" s="12" t="str">
        <f>HYPERLINK("https://www.boe.es/gazeta/dias/1806/03/14/pdfs/GMD-1806-23.pdf#page=6","Abrir facsímil")</f>
        <v>Abrir facsímil</v>
      </c>
      <c r="K317" s="15" t="s">
        <v>22</v>
      </c>
    </row>
    <row r="318" spans="1:11" ht="42" customHeight="1">
      <c r="A318" s="4" t="s">
        <v>877</v>
      </c>
      <c r="B318" s="5" t="s">
        <v>878</v>
      </c>
      <c r="C318" s="5" t="s">
        <v>31</v>
      </c>
      <c r="D318" s="5" t="s">
        <v>32</v>
      </c>
      <c r="E318" s="5" t="s">
        <v>24</v>
      </c>
      <c r="F318" s="9">
        <v>32</v>
      </c>
      <c r="G318" s="9">
        <v>316</v>
      </c>
      <c r="H318" s="5" t="s">
        <v>20</v>
      </c>
      <c r="I318" s="5" t="s">
        <v>879</v>
      </c>
      <c r="J318" s="12" t="str">
        <f>HYPERLINK("https://www.boe.es/gazeta/dias/1806/04/15/pdfs/GMD-1806-32.pdf#page=8","Abrir facsímil")</f>
        <v>Abrir facsímil</v>
      </c>
      <c r="K318" s="15" t="s">
        <v>22</v>
      </c>
    </row>
    <row r="319" spans="1:11" ht="42" customHeight="1">
      <c r="A319" s="4" t="s">
        <v>880</v>
      </c>
      <c r="B319" s="5" t="s">
        <v>881</v>
      </c>
      <c r="C319" s="5" t="s">
        <v>17</v>
      </c>
      <c r="D319" s="5" t="s">
        <v>18</v>
      </c>
      <c r="E319" s="5" t="s">
        <v>290</v>
      </c>
      <c r="F319" s="9">
        <v>1</v>
      </c>
      <c r="G319" s="9">
        <v>8</v>
      </c>
      <c r="H319" s="5" t="s">
        <v>20</v>
      </c>
      <c r="I319" s="5" t="s">
        <v>882</v>
      </c>
      <c r="J319" s="12" t="str">
        <f>HYPERLINK("https://www.boe.es/gazeta/dias/1806/01/03/pdfs/GMD-1806-1.pdf#page=8","Abrir facsímil")</f>
        <v>Abrir facsímil</v>
      </c>
      <c r="K319" s="15" t="s">
        <v>22</v>
      </c>
    </row>
    <row r="320" spans="1:11" ht="42" customHeight="1">
      <c r="A320" s="4" t="s">
        <v>883</v>
      </c>
      <c r="B320" s="5" t="s">
        <v>884</v>
      </c>
      <c r="C320" s="5" t="s">
        <v>17</v>
      </c>
      <c r="D320" s="5" t="s">
        <v>18</v>
      </c>
      <c r="E320" s="5" t="s">
        <v>702</v>
      </c>
      <c r="F320" s="9">
        <v>43</v>
      </c>
      <c r="G320" s="9">
        <v>430</v>
      </c>
      <c r="H320" s="5" t="s">
        <v>20</v>
      </c>
      <c r="I320" s="5" t="s">
        <v>885</v>
      </c>
      <c r="J320" s="12" t="str">
        <f>HYPERLINK("https://www.boe.es/gazeta/dias/1806/05/23/pdfs/GMD-1806-43.pdf#page=6","Abrir facsímil")</f>
        <v>Abrir facsímil</v>
      </c>
      <c r="K320" s="15" t="s">
        <v>22</v>
      </c>
    </row>
    <row r="321" spans="1:11" ht="42" customHeight="1">
      <c r="A321" s="4" t="s">
        <v>886</v>
      </c>
      <c r="B321" s="5" t="s">
        <v>887</v>
      </c>
      <c r="C321" s="5" t="s">
        <v>31</v>
      </c>
      <c r="D321" s="5" t="s">
        <v>32</v>
      </c>
      <c r="E321" s="5" t="s">
        <v>38</v>
      </c>
      <c r="F321" s="9">
        <v>92</v>
      </c>
      <c r="G321" s="9">
        <v>963</v>
      </c>
      <c r="H321" s="5" t="s">
        <v>20</v>
      </c>
      <c r="I321" s="5" t="s">
        <v>888</v>
      </c>
      <c r="J321" s="12" t="str">
        <f>HYPERLINK("https://www.boe.es/gazeta/dias/1806/11/11/pdfs/GMD-1806-92.pdf#page=15","Abrir facsímil")</f>
        <v>Abrir facsímil</v>
      </c>
      <c r="K321" s="15" t="s">
        <v>22</v>
      </c>
    </row>
    <row r="322" spans="1:11" ht="42" customHeight="1">
      <c r="A322" s="4" t="s">
        <v>889</v>
      </c>
      <c r="B322" s="5" t="s">
        <v>889</v>
      </c>
      <c r="C322" s="5" t="s">
        <v>31</v>
      </c>
      <c r="D322" s="5" t="s">
        <v>32</v>
      </c>
      <c r="E322" s="5" t="s">
        <v>118</v>
      </c>
      <c r="F322" s="9">
        <v>15</v>
      </c>
      <c r="G322" s="9">
        <v>133</v>
      </c>
      <c r="H322" s="5" t="s">
        <v>20</v>
      </c>
      <c r="I322" s="5" t="s">
        <v>890</v>
      </c>
      <c r="J322" s="12" t="str">
        <f>HYPERLINK("https://www.boe.es/gazeta/dias/1806/02/14/pdfs/GMD-1806-15.pdf#page=9","Abrir facsímil")</f>
        <v>Abrir facsímil</v>
      </c>
      <c r="K322" s="15" t="s">
        <v>22</v>
      </c>
    </row>
    <row r="323" spans="1:11" ht="42" customHeight="1">
      <c r="A323" s="4" t="s">
        <v>891</v>
      </c>
      <c r="B323" s="5" t="s">
        <v>892</v>
      </c>
      <c r="C323" s="5" t="s">
        <v>69</v>
      </c>
      <c r="D323" s="5" t="s">
        <v>70</v>
      </c>
      <c r="E323" s="5" t="s">
        <v>271</v>
      </c>
      <c r="F323" s="9">
        <v>6</v>
      </c>
      <c r="G323" s="9">
        <v>47</v>
      </c>
      <c r="H323" s="5" t="s">
        <v>20</v>
      </c>
      <c r="I323" s="5" t="s">
        <v>893</v>
      </c>
      <c r="J323" s="12" t="str">
        <f>HYPERLINK("https://www.boe.es/gazeta/dias/1806/01/17/pdfs/GMD-1806-6.pdf#page=3","Abrir facsímil")</f>
        <v>Abrir facsímil</v>
      </c>
      <c r="K323" s="15" t="s">
        <v>22</v>
      </c>
    </row>
    <row r="324" spans="1:11" ht="42" customHeight="1">
      <c r="A324" s="4" t="s">
        <v>891</v>
      </c>
      <c r="B324" s="5" t="s">
        <v>892</v>
      </c>
      <c r="C324" s="5" t="s">
        <v>69</v>
      </c>
      <c r="D324" s="5" t="s">
        <v>70</v>
      </c>
      <c r="E324" s="5" t="s">
        <v>340</v>
      </c>
      <c r="F324" s="9">
        <v>31</v>
      </c>
      <c r="G324" s="9">
        <v>302</v>
      </c>
      <c r="H324" s="5" t="s">
        <v>20</v>
      </c>
      <c r="I324" s="5" t="s">
        <v>894</v>
      </c>
      <c r="J324" s="12" t="str">
        <f>HYPERLINK("https://www.boe.es/gazeta/dias/1806/04/11/pdfs/GMD-1806-31.pdf#page=6","Abrir facsímil")</f>
        <v>Abrir facsímil</v>
      </c>
      <c r="K324" s="15" t="s">
        <v>22</v>
      </c>
    </row>
    <row r="325" spans="1:11" ht="42" customHeight="1">
      <c r="A325" s="4" t="s">
        <v>895</v>
      </c>
      <c r="B325" s="5" t="s">
        <v>896</v>
      </c>
      <c r="C325" s="5" t="s">
        <v>31</v>
      </c>
      <c r="D325" s="5" t="s">
        <v>32</v>
      </c>
      <c r="E325" s="5" t="s">
        <v>55</v>
      </c>
      <c r="F325" s="9">
        <v>20</v>
      </c>
      <c r="G325" s="9">
        <v>185</v>
      </c>
      <c r="H325" s="5" t="s">
        <v>20</v>
      </c>
      <c r="I325" s="5" t="s">
        <v>897</v>
      </c>
      <c r="J325" s="12" t="str">
        <f>HYPERLINK("https://www.boe.es/gazeta/dias/1806/03/04/pdfs/GMD-1806-20.pdf#page=9","Abrir facsímil")</f>
        <v>Abrir facsímil</v>
      </c>
      <c r="K325" s="15" t="s">
        <v>22</v>
      </c>
    </row>
    <row r="326" spans="1:11" ht="42" customHeight="1">
      <c r="A326" s="4" t="s">
        <v>898</v>
      </c>
      <c r="B326" s="5" t="s">
        <v>899</v>
      </c>
      <c r="C326" s="5" t="s">
        <v>75</v>
      </c>
      <c r="D326" s="5" t="s">
        <v>43</v>
      </c>
      <c r="E326" s="5" t="s">
        <v>24</v>
      </c>
      <c r="F326" s="9">
        <v>32</v>
      </c>
      <c r="G326" s="9">
        <v>312</v>
      </c>
      <c r="H326" s="5" t="s">
        <v>20</v>
      </c>
      <c r="I326" s="5" t="s">
        <v>900</v>
      </c>
      <c r="J326" s="12" t="str">
        <f>HYPERLINK("https://www.boe.es/gazeta/dias/1806/04/15/pdfs/GMD-1806-32.pdf#page=4","Abrir facsímil")</f>
        <v>Abrir facsímil</v>
      </c>
      <c r="K326" s="15" t="s">
        <v>22</v>
      </c>
    </row>
    <row r="327" spans="1:11" ht="42" customHeight="1">
      <c r="A327" s="4" t="s">
        <v>901</v>
      </c>
      <c r="B327" s="5" t="s">
        <v>901</v>
      </c>
      <c r="C327" s="5" t="s">
        <v>31</v>
      </c>
      <c r="D327" s="5" t="s">
        <v>32</v>
      </c>
      <c r="E327" s="5" t="s">
        <v>90</v>
      </c>
      <c r="F327" s="9">
        <v>60</v>
      </c>
      <c r="G327" s="9">
        <v>623</v>
      </c>
      <c r="H327" s="5" t="s">
        <v>20</v>
      </c>
      <c r="I327" s="5" t="s">
        <v>902</v>
      </c>
      <c r="J327" s="12" t="str">
        <f>HYPERLINK("https://www.boe.es/gazeta/dias/1806/07/22/pdfs/GMD-1806-60.pdf#page=7","Abrir facsímil")</f>
        <v>Abrir facsímil</v>
      </c>
      <c r="K327" s="15" t="s">
        <v>22</v>
      </c>
    </row>
    <row r="328" spans="1:11" ht="42" customHeight="1">
      <c r="A328" s="4" t="s">
        <v>903</v>
      </c>
      <c r="B328" s="5" t="s">
        <v>903</v>
      </c>
      <c r="C328" s="5" t="s">
        <v>69</v>
      </c>
      <c r="D328" s="5" t="s">
        <v>70</v>
      </c>
      <c r="E328" s="5" t="s">
        <v>837</v>
      </c>
      <c r="F328" s="9">
        <v>26</v>
      </c>
      <c r="G328" s="9">
        <v>251</v>
      </c>
      <c r="H328" s="5" t="s">
        <v>20</v>
      </c>
      <c r="I328" s="5" t="s">
        <v>904</v>
      </c>
      <c r="J328" s="12" t="str">
        <f>HYPERLINK("https://www.boe.es/gazeta/dias/1806/03/25/pdfs/GMD-1806-26.pdf#page=3","Abrir facsímil")</f>
        <v>Abrir facsímil</v>
      </c>
      <c r="K328" s="15" t="s">
        <v>22</v>
      </c>
    </row>
    <row r="329" spans="1:11" ht="42" customHeight="1">
      <c r="A329" s="4" t="s">
        <v>905</v>
      </c>
      <c r="B329" s="5" t="s">
        <v>906</v>
      </c>
      <c r="C329" s="5" t="s">
        <v>31</v>
      </c>
      <c r="D329" s="5" t="s">
        <v>32</v>
      </c>
      <c r="E329" s="5" t="s">
        <v>837</v>
      </c>
      <c r="F329" s="9">
        <v>26</v>
      </c>
      <c r="G329" s="9">
        <v>251</v>
      </c>
      <c r="H329" s="5" t="s">
        <v>20</v>
      </c>
      <c r="I329" s="5" t="s">
        <v>907</v>
      </c>
      <c r="J329" s="12" t="str">
        <f>HYPERLINK("https://www.boe.es/gazeta/dias/1806/03/25/pdfs/GMD-1806-26.pdf#page=3","Abrir facsímil")</f>
        <v>Abrir facsímil</v>
      </c>
      <c r="K329" s="15" t="s">
        <v>22</v>
      </c>
    </row>
    <row r="330" spans="1:11" ht="42" customHeight="1">
      <c r="A330" s="4" t="s">
        <v>905</v>
      </c>
      <c r="B330" s="5" t="s">
        <v>906</v>
      </c>
      <c r="C330" s="5" t="s">
        <v>69</v>
      </c>
      <c r="D330" s="5" t="s">
        <v>70</v>
      </c>
      <c r="E330" s="5" t="s">
        <v>383</v>
      </c>
      <c r="F330" s="9">
        <v>54</v>
      </c>
      <c r="G330" s="9">
        <v>559</v>
      </c>
      <c r="H330" s="5" t="s">
        <v>20</v>
      </c>
      <c r="I330" s="5" t="s">
        <v>908</v>
      </c>
      <c r="J330" s="12" t="str">
        <f>HYPERLINK("https://www.boe.es/gazeta/dias/1806/07/01/pdfs/GMD-1806-54.pdf#page=3","Abrir facsímil")</f>
        <v>Abrir facsímil</v>
      </c>
      <c r="K330" s="15" t="s">
        <v>22</v>
      </c>
    </row>
    <row r="331" spans="1:11" ht="42" customHeight="1">
      <c r="A331" s="4" t="s">
        <v>905</v>
      </c>
      <c r="B331" s="5" t="s">
        <v>906</v>
      </c>
      <c r="C331" s="5" t="s">
        <v>69</v>
      </c>
      <c r="D331" s="5" t="s">
        <v>70</v>
      </c>
      <c r="E331" s="5" t="s">
        <v>90</v>
      </c>
      <c r="F331" s="9">
        <v>60</v>
      </c>
      <c r="G331" s="9">
        <v>622</v>
      </c>
      <c r="H331" s="5" t="s">
        <v>20</v>
      </c>
      <c r="I331" s="5" t="s">
        <v>909</v>
      </c>
      <c r="J331" s="12" t="str">
        <f>HYPERLINK("https://www.boe.es/gazeta/dias/1806/07/22/pdfs/GMD-1806-60.pdf#page=6","Abrir facsímil")</f>
        <v>Abrir facsímil</v>
      </c>
      <c r="K331" s="15" t="s">
        <v>22</v>
      </c>
    </row>
    <row r="332" spans="1:11" ht="42" customHeight="1">
      <c r="A332" s="4" t="s">
        <v>905</v>
      </c>
      <c r="B332" s="5" t="s">
        <v>906</v>
      </c>
      <c r="C332" s="5" t="s">
        <v>17</v>
      </c>
      <c r="D332" s="5" t="s">
        <v>18</v>
      </c>
      <c r="E332" s="5" t="s">
        <v>103</v>
      </c>
      <c r="F332" s="9">
        <v>61</v>
      </c>
      <c r="G332" s="9">
        <v>632</v>
      </c>
      <c r="H332" s="5" t="s">
        <v>20</v>
      </c>
      <c r="I332" s="5" t="s">
        <v>910</v>
      </c>
      <c r="J332" s="12" t="str">
        <f>HYPERLINK("https://www.boe.es/gazeta/dias/1806/07/25/pdfs/GMD-1806-61.pdf#page=4","Abrir facsímil")</f>
        <v>Abrir facsímil</v>
      </c>
      <c r="K332" s="15" t="s">
        <v>22</v>
      </c>
    </row>
    <row r="333" spans="1:11" ht="42" customHeight="1">
      <c r="A333" s="4" t="s">
        <v>905</v>
      </c>
      <c r="B333" s="5" t="s">
        <v>906</v>
      </c>
      <c r="C333" s="5" t="s">
        <v>31</v>
      </c>
      <c r="D333" s="5" t="s">
        <v>32</v>
      </c>
      <c r="E333" s="5" t="s">
        <v>911</v>
      </c>
      <c r="F333" s="9">
        <v>64</v>
      </c>
      <c r="G333" s="9">
        <v>668</v>
      </c>
      <c r="H333" s="5" t="s">
        <v>20</v>
      </c>
      <c r="I333" s="5" t="s">
        <v>912</v>
      </c>
      <c r="J333" s="12" t="str">
        <f>HYPERLINK("https://www.boe.es/gazeta/dias/1806/08/05/pdfs/GMD-1806-64.pdf#page=4","Abrir facsímil")</f>
        <v>Abrir facsímil</v>
      </c>
      <c r="K333" s="15" t="s">
        <v>22</v>
      </c>
    </row>
    <row r="334" spans="1:11" ht="42" customHeight="1">
      <c r="A334" s="4" t="s">
        <v>913</v>
      </c>
      <c r="B334" s="5" t="s">
        <v>913</v>
      </c>
      <c r="C334" s="5" t="s">
        <v>69</v>
      </c>
      <c r="D334" s="5" t="s">
        <v>70</v>
      </c>
      <c r="E334" s="5" t="s">
        <v>188</v>
      </c>
      <c r="F334" s="9">
        <v>2</v>
      </c>
      <c r="G334" s="9">
        <v>13</v>
      </c>
      <c r="H334" s="5" t="s">
        <v>20</v>
      </c>
      <c r="I334" s="5" t="s">
        <v>914</v>
      </c>
      <c r="J334" s="12" t="str">
        <f>HYPERLINK("https://www.boe.es/gazeta/dias/1806/01/07/pdfs/GMD-1806-2.pdf#page=1","Abrir facsímil")</f>
        <v>Abrir facsímil</v>
      </c>
      <c r="K334" s="15" t="s">
        <v>22</v>
      </c>
    </row>
    <row r="335" spans="1:11" ht="42" customHeight="1">
      <c r="A335" s="4" t="s">
        <v>915</v>
      </c>
      <c r="B335" s="5" t="s">
        <v>916</v>
      </c>
      <c r="C335" s="5" t="s">
        <v>31</v>
      </c>
      <c r="D335" s="5" t="s">
        <v>32</v>
      </c>
      <c r="E335" s="5" t="s">
        <v>172</v>
      </c>
      <c r="F335" s="9">
        <v>17</v>
      </c>
      <c r="G335" s="9">
        <v>151</v>
      </c>
      <c r="H335" s="5" t="s">
        <v>20</v>
      </c>
      <c r="I335" s="5" t="s">
        <v>917</v>
      </c>
      <c r="J335" s="12" t="str">
        <f>HYPERLINK("https://www.boe.es/gazeta/dias/1806/02/21/pdfs/GMD-1806-17.pdf#page=7","Abrir facsímil")</f>
        <v>Abrir facsímil</v>
      </c>
      <c r="K335" s="15" t="s">
        <v>22</v>
      </c>
    </row>
    <row r="336" spans="1:11" ht="42" customHeight="1">
      <c r="A336" s="4" t="s">
        <v>918</v>
      </c>
      <c r="B336" s="5" t="s">
        <v>919</v>
      </c>
      <c r="C336" s="5" t="s">
        <v>31</v>
      </c>
      <c r="D336" s="5" t="s">
        <v>32</v>
      </c>
      <c r="E336" s="5" t="s">
        <v>44</v>
      </c>
      <c r="F336" s="9">
        <v>42</v>
      </c>
      <c r="G336" s="9">
        <v>416</v>
      </c>
      <c r="H336" s="5" t="s">
        <v>20</v>
      </c>
      <c r="I336" s="5" t="s">
        <v>920</v>
      </c>
      <c r="J336" s="12" t="str">
        <f>HYPERLINK("https://www.boe.es/gazeta/dias/1806/05/20/pdfs/GMD-1806-42.pdf#page=4","Abrir facsímil")</f>
        <v>Abrir facsímil</v>
      </c>
      <c r="K336" s="15" t="s">
        <v>22</v>
      </c>
    </row>
    <row r="337" spans="1:11" ht="42" customHeight="1">
      <c r="A337" s="4" t="s">
        <v>921</v>
      </c>
      <c r="B337" s="5" t="s">
        <v>922</v>
      </c>
      <c r="C337" s="5" t="s">
        <v>31</v>
      </c>
      <c r="D337" s="5" t="s">
        <v>32</v>
      </c>
      <c r="E337" s="5" t="s">
        <v>48</v>
      </c>
      <c r="F337" s="9">
        <v>67</v>
      </c>
      <c r="G337" s="9">
        <v>695</v>
      </c>
      <c r="H337" s="5" t="s">
        <v>20</v>
      </c>
      <c r="I337" s="5" t="s">
        <v>923</v>
      </c>
      <c r="J337" s="12" t="str">
        <f>HYPERLINK("https://www.boe.es/gazeta/dias/1806/08/15/pdfs/GMD-1806-67.pdf#page=3","Abrir facsímil")</f>
        <v>Abrir facsímil</v>
      </c>
      <c r="K337" s="15" t="s">
        <v>22</v>
      </c>
    </row>
    <row r="338" spans="1:11" ht="42" customHeight="1">
      <c r="A338" s="4" t="s">
        <v>924</v>
      </c>
      <c r="B338" s="5" t="s">
        <v>925</v>
      </c>
      <c r="C338" s="5" t="s">
        <v>31</v>
      </c>
      <c r="D338" s="5" t="s">
        <v>32</v>
      </c>
      <c r="E338" s="5" t="s">
        <v>348</v>
      </c>
      <c r="F338" s="9">
        <v>88</v>
      </c>
      <c r="G338" s="9">
        <v>906</v>
      </c>
      <c r="H338" s="5" t="s">
        <v>20</v>
      </c>
      <c r="I338" s="5" t="s">
        <v>926</v>
      </c>
      <c r="J338" s="12" t="str">
        <f>HYPERLINK("https://www.boe.es/gazeta/dias/1806/10/28/pdfs/GMD-1806-88.pdf#page=2","Abrir facsímil")</f>
        <v>Abrir facsímil</v>
      </c>
      <c r="K338" s="15" t="s">
        <v>22</v>
      </c>
    </row>
    <row r="339" spans="1:11" ht="42" customHeight="1">
      <c r="A339" s="4" t="s">
        <v>927</v>
      </c>
      <c r="B339" s="5" t="s">
        <v>928</v>
      </c>
      <c r="C339" s="5" t="s">
        <v>17</v>
      </c>
      <c r="D339" s="5" t="s">
        <v>18</v>
      </c>
      <c r="E339" s="5" t="s">
        <v>93</v>
      </c>
      <c r="F339" s="9">
        <v>72</v>
      </c>
      <c r="G339" s="9">
        <v>748</v>
      </c>
      <c r="H339" s="5" t="s">
        <v>20</v>
      </c>
      <c r="I339" s="5" t="s">
        <v>929</v>
      </c>
      <c r="J339" s="12" t="str">
        <f>HYPERLINK("https://www.boe.es/gazeta/dias/1806/09/02/pdfs/GMD-1806-72.pdf#page=8","Abrir facsímil")</f>
        <v>Abrir facsímil</v>
      </c>
      <c r="K339" s="15" t="s">
        <v>22</v>
      </c>
    </row>
    <row r="340" spans="1:11" ht="42" customHeight="1">
      <c r="A340" s="4" t="s">
        <v>930</v>
      </c>
      <c r="B340" s="5" t="s">
        <v>930</v>
      </c>
      <c r="C340" s="5" t="s">
        <v>17</v>
      </c>
      <c r="D340" s="5" t="s">
        <v>18</v>
      </c>
      <c r="E340" s="5" t="s">
        <v>82</v>
      </c>
      <c r="F340" s="9">
        <v>48</v>
      </c>
      <c r="G340" s="9">
        <v>495</v>
      </c>
      <c r="H340" s="5" t="s">
        <v>20</v>
      </c>
      <c r="I340" s="5" t="s">
        <v>931</v>
      </c>
      <c r="J340" s="12" t="str">
        <f>HYPERLINK("https://www.boe.es/gazeta/dias/1806/06/10/pdfs/GMD-1806-48.pdf#page=7","Abrir facsímil")</f>
        <v>Abrir facsímil</v>
      </c>
      <c r="K340" s="15" t="s">
        <v>22</v>
      </c>
    </row>
    <row r="341" spans="1:11" ht="42" customHeight="1">
      <c r="A341" s="4" t="s">
        <v>932</v>
      </c>
      <c r="B341" s="5" t="s">
        <v>933</v>
      </c>
      <c r="C341" s="5" t="s">
        <v>17</v>
      </c>
      <c r="D341" s="5" t="s">
        <v>18</v>
      </c>
      <c r="E341" s="5" t="s">
        <v>55</v>
      </c>
      <c r="F341" s="9">
        <v>20</v>
      </c>
      <c r="G341" s="9">
        <v>183</v>
      </c>
      <c r="H341" s="5" t="s">
        <v>20</v>
      </c>
      <c r="I341" s="5" t="s">
        <v>934</v>
      </c>
      <c r="J341" s="12" t="str">
        <f>HYPERLINK("https://www.boe.es/gazeta/dias/1806/03/04/pdfs/GMD-1806-20.pdf#page=7","Abrir facsímil")</f>
        <v>Abrir facsímil</v>
      </c>
      <c r="K341" s="15" t="s">
        <v>22</v>
      </c>
    </row>
    <row r="342" spans="1:11" ht="42" customHeight="1">
      <c r="A342" s="4" t="s">
        <v>935</v>
      </c>
      <c r="B342" s="5" t="s">
        <v>936</v>
      </c>
      <c r="C342" s="5" t="s">
        <v>17</v>
      </c>
      <c r="D342" s="5" t="s">
        <v>18</v>
      </c>
      <c r="E342" s="5" t="s">
        <v>213</v>
      </c>
      <c r="F342" s="9">
        <v>73</v>
      </c>
      <c r="G342" s="9">
        <v>757</v>
      </c>
      <c r="H342" s="5" t="s">
        <v>20</v>
      </c>
      <c r="I342" s="5" t="s">
        <v>937</v>
      </c>
      <c r="J342" s="12" t="str">
        <f>HYPERLINK("https://www.boe.es/gazeta/dias/1806/09/05/pdfs/GMD-1806-73.pdf#page=5","Abrir facsímil")</f>
        <v>Abrir facsímil</v>
      </c>
      <c r="K342" s="15" t="s">
        <v>22</v>
      </c>
    </row>
    <row r="343" spans="1:11" ht="42" customHeight="1">
      <c r="A343" s="4" t="s">
        <v>938</v>
      </c>
      <c r="B343" s="5" t="s">
        <v>939</v>
      </c>
      <c r="C343" s="5" t="s">
        <v>17</v>
      </c>
      <c r="D343" s="5" t="s">
        <v>18</v>
      </c>
      <c r="E343" s="5" t="s">
        <v>110</v>
      </c>
      <c r="F343" s="9">
        <v>55</v>
      </c>
      <c r="G343" s="9">
        <v>574</v>
      </c>
      <c r="H343" s="5" t="s">
        <v>20</v>
      </c>
      <c r="I343" s="5" t="s">
        <v>940</v>
      </c>
      <c r="J343" s="12" t="str">
        <f>HYPERLINK("https://www.boe.es/gazeta/dias/1806/07/04/pdfs/GMD-1806-55.pdf#page=10","Abrir facsímil")</f>
        <v>Abrir facsímil</v>
      </c>
      <c r="K343" s="15" t="s">
        <v>22</v>
      </c>
    </row>
    <row r="344" spans="1:11" ht="42" customHeight="1">
      <c r="A344" s="4" t="s">
        <v>941</v>
      </c>
      <c r="B344" s="5" t="s">
        <v>942</v>
      </c>
      <c r="C344" s="5" t="s">
        <v>17</v>
      </c>
      <c r="D344" s="5" t="s">
        <v>18</v>
      </c>
      <c r="E344" s="5" t="s">
        <v>205</v>
      </c>
      <c r="F344" s="9">
        <v>57</v>
      </c>
      <c r="G344" s="9">
        <v>595</v>
      </c>
      <c r="H344" s="5" t="s">
        <v>20</v>
      </c>
      <c r="I344" s="5" t="s">
        <v>943</v>
      </c>
      <c r="J344" s="12" t="str">
        <f>HYPERLINK("https://www.boe.es/gazeta/dias/1806/07/11/pdfs/GMD-1806-57.pdf#page=7","Abrir facsímil")</f>
        <v>Abrir facsímil</v>
      </c>
      <c r="K344" s="15" t="s">
        <v>22</v>
      </c>
    </row>
    <row r="345" spans="1:11" ht="42" customHeight="1">
      <c r="A345" s="4" t="s">
        <v>944</v>
      </c>
      <c r="B345" s="5" t="s">
        <v>945</v>
      </c>
      <c r="C345" s="5" t="s">
        <v>31</v>
      </c>
      <c r="D345" s="5" t="s">
        <v>32</v>
      </c>
      <c r="E345" s="5" t="s">
        <v>946</v>
      </c>
      <c r="F345" s="9" t="s">
        <v>947</v>
      </c>
      <c r="G345" s="9">
        <v>1116</v>
      </c>
      <c r="H345" s="5" t="s">
        <v>20</v>
      </c>
      <c r="I345" s="5" t="s">
        <v>948</v>
      </c>
      <c r="J345" s="12" t="str">
        <f>HYPERLINK("https://www.boe.es/gazeta/dias/1806/12/24/pdfs/GMD-1806-105E.pdf#page=4","Abrir facsímil")</f>
        <v>Abrir facsímil</v>
      </c>
      <c r="K345" s="15" t="s">
        <v>22</v>
      </c>
    </row>
    <row r="346" spans="1:11" ht="42" customHeight="1">
      <c r="A346" s="4" t="s">
        <v>949</v>
      </c>
      <c r="B346" s="5" t="s">
        <v>950</v>
      </c>
      <c r="C346" s="5" t="s">
        <v>17</v>
      </c>
      <c r="D346" s="5" t="s">
        <v>18</v>
      </c>
      <c r="E346" s="5" t="s">
        <v>213</v>
      </c>
      <c r="F346" s="9">
        <v>73</v>
      </c>
      <c r="G346" s="9">
        <v>757</v>
      </c>
      <c r="H346" s="5" t="s">
        <v>20</v>
      </c>
      <c r="I346" s="5" t="s">
        <v>951</v>
      </c>
      <c r="J346" s="12" t="str">
        <f>HYPERLINK("https://www.boe.es/gazeta/dias/1806/09/05/pdfs/GMD-1806-73.pdf#page=5","Abrir facsímil")</f>
        <v>Abrir facsímil</v>
      </c>
      <c r="K346" s="15" t="s">
        <v>22</v>
      </c>
    </row>
    <row r="347" spans="1:11" ht="42" customHeight="1">
      <c r="A347" s="4" t="s">
        <v>952</v>
      </c>
      <c r="B347" s="5" t="s">
        <v>953</v>
      </c>
      <c r="C347" s="5" t="s">
        <v>17</v>
      </c>
      <c r="D347" s="5" t="s">
        <v>18</v>
      </c>
      <c r="E347" s="5" t="s">
        <v>271</v>
      </c>
      <c r="F347" s="9">
        <v>6</v>
      </c>
      <c r="G347" s="9">
        <v>54</v>
      </c>
      <c r="H347" s="5" t="s">
        <v>20</v>
      </c>
      <c r="I347" s="5" t="s">
        <v>954</v>
      </c>
      <c r="J347" s="12" t="str">
        <f>HYPERLINK("https://www.boe.es/gazeta/dias/1806/01/17/pdfs/GMD-1806-6.pdf#page=10","Abrir facsímil")</f>
        <v>Abrir facsímil</v>
      </c>
      <c r="K347" s="15" t="s">
        <v>22</v>
      </c>
    </row>
    <row r="348" spans="1:11" ht="42" customHeight="1">
      <c r="A348" s="4" t="s">
        <v>955</v>
      </c>
      <c r="B348" s="5" t="s">
        <v>955</v>
      </c>
      <c r="C348" s="5" t="s">
        <v>69</v>
      </c>
      <c r="D348" s="5" t="s">
        <v>70</v>
      </c>
      <c r="E348" s="5" t="s">
        <v>96</v>
      </c>
      <c r="F348" s="9">
        <v>62</v>
      </c>
      <c r="G348" s="9">
        <v>646</v>
      </c>
      <c r="H348" s="5" t="s">
        <v>20</v>
      </c>
      <c r="I348" s="5" t="s">
        <v>956</v>
      </c>
      <c r="J348" s="12" t="str">
        <f>HYPERLINK("https://www.boe.es/gazeta/dias/1806/07/29/pdfs/GMD-1806-62.pdf#page=6","Abrir facsímil")</f>
        <v>Abrir facsímil</v>
      </c>
      <c r="K348" s="15" t="s">
        <v>22</v>
      </c>
    </row>
    <row r="349" spans="1:11" ht="42" customHeight="1">
      <c r="A349" s="4" t="s">
        <v>957</v>
      </c>
      <c r="B349" s="5" t="s">
        <v>957</v>
      </c>
      <c r="C349" s="5" t="s">
        <v>69</v>
      </c>
      <c r="D349" s="5" t="s">
        <v>70</v>
      </c>
      <c r="E349" s="5" t="s">
        <v>144</v>
      </c>
      <c r="F349" s="9">
        <v>79</v>
      </c>
      <c r="G349" s="9">
        <v>815</v>
      </c>
      <c r="H349" s="5" t="s">
        <v>20</v>
      </c>
      <c r="I349" s="5" t="s">
        <v>958</v>
      </c>
      <c r="J349" s="12" t="str">
        <f>HYPERLINK("https://www.boe.es/gazeta/dias/1806/09/26/pdfs/GMD-1806-79.pdf#page=7","Abrir facsímil")</f>
        <v>Abrir facsímil</v>
      </c>
      <c r="K349" s="15" t="s">
        <v>22</v>
      </c>
    </row>
    <row r="350" spans="1:11" ht="42" customHeight="1">
      <c r="A350" s="4" t="s">
        <v>959</v>
      </c>
      <c r="B350" s="5" t="s">
        <v>960</v>
      </c>
      <c r="C350" s="5" t="s">
        <v>69</v>
      </c>
      <c r="D350" s="5" t="s">
        <v>70</v>
      </c>
      <c r="E350" s="5" t="s">
        <v>301</v>
      </c>
      <c r="F350" s="9">
        <v>75</v>
      </c>
      <c r="G350" s="9">
        <v>771</v>
      </c>
      <c r="H350" s="5" t="s">
        <v>20</v>
      </c>
      <c r="I350" s="5" t="s">
        <v>961</v>
      </c>
      <c r="J350" s="12" t="str">
        <f>HYPERLINK("https://www.boe.es/gazeta/dias/1806/09/12/pdfs/GMD-1806-75.pdf#page=3","Abrir facsímil")</f>
        <v>Abrir facsímil</v>
      </c>
      <c r="K350" s="15" t="s">
        <v>22</v>
      </c>
    </row>
    <row r="351" spans="1:11" ht="42" customHeight="1">
      <c r="A351" s="4" t="s">
        <v>962</v>
      </c>
      <c r="B351" s="5" t="s">
        <v>962</v>
      </c>
      <c r="C351" s="5" t="s">
        <v>31</v>
      </c>
      <c r="D351" s="5" t="s">
        <v>32</v>
      </c>
      <c r="E351" s="5" t="s">
        <v>290</v>
      </c>
      <c r="F351" s="9">
        <v>1</v>
      </c>
      <c r="G351" s="9">
        <v>8</v>
      </c>
      <c r="H351" s="5" t="s">
        <v>20</v>
      </c>
      <c r="I351" s="5" t="s">
        <v>963</v>
      </c>
      <c r="J351" s="12" t="str">
        <f>HYPERLINK("https://www.boe.es/gazeta/dias/1806/01/03/pdfs/GMD-1806-1.pdf#page=8","Abrir facsímil")</f>
        <v>Abrir facsímil</v>
      </c>
      <c r="K351" s="15" t="s">
        <v>22</v>
      </c>
    </row>
    <row r="352" spans="1:11" ht="42" customHeight="1">
      <c r="A352" s="4" t="s">
        <v>964</v>
      </c>
      <c r="B352" s="5" t="s">
        <v>965</v>
      </c>
      <c r="C352" s="5" t="s">
        <v>17</v>
      </c>
      <c r="D352" s="5" t="s">
        <v>18</v>
      </c>
      <c r="E352" s="5" t="s">
        <v>161</v>
      </c>
      <c r="F352" s="9">
        <v>11</v>
      </c>
      <c r="G352" s="9">
        <v>96</v>
      </c>
      <c r="H352" s="5" t="s">
        <v>20</v>
      </c>
      <c r="I352" s="5" t="s">
        <v>966</v>
      </c>
      <c r="J352" s="12" t="str">
        <f>HYPERLINK("https://www.boe.es/gazeta/dias/1806/01/31/pdfs/GMD-1806-11.pdf#page=4","Abrir facsímil")</f>
        <v>Abrir facsímil</v>
      </c>
      <c r="K352" s="15" t="s">
        <v>22</v>
      </c>
    </row>
    <row r="353" spans="1:11" ht="42" customHeight="1">
      <c r="A353" s="4" t="s">
        <v>967</v>
      </c>
      <c r="B353" s="5" t="s">
        <v>968</v>
      </c>
      <c r="C353" s="5" t="s">
        <v>31</v>
      </c>
      <c r="D353" s="5" t="s">
        <v>32</v>
      </c>
      <c r="E353" s="5" t="s">
        <v>716</v>
      </c>
      <c r="F353" s="9">
        <v>56</v>
      </c>
      <c r="G353" s="9">
        <v>584</v>
      </c>
      <c r="H353" s="5" t="s">
        <v>20</v>
      </c>
      <c r="I353" s="5" t="s">
        <v>969</v>
      </c>
      <c r="J353" s="12" t="str">
        <f>HYPERLINK("https://www.boe.es/gazeta/dias/1806/07/08/pdfs/GMD-1806-56.pdf#page=8","Abrir facsímil")</f>
        <v>Abrir facsímil</v>
      </c>
      <c r="K353" s="15" t="s">
        <v>22</v>
      </c>
    </row>
    <row r="354" spans="1:11" ht="42" customHeight="1">
      <c r="A354" s="4" t="s">
        <v>970</v>
      </c>
      <c r="B354" s="5" t="s">
        <v>971</v>
      </c>
      <c r="C354" s="5" t="s">
        <v>75</v>
      </c>
      <c r="D354" s="5" t="s">
        <v>43</v>
      </c>
      <c r="E354" s="5" t="s">
        <v>172</v>
      </c>
      <c r="F354" s="9">
        <v>17</v>
      </c>
      <c r="G354" s="9">
        <v>151</v>
      </c>
      <c r="H354" s="5" t="s">
        <v>20</v>
      </c>
      <c r="I354" s="5" t="s">
        <v>972</v>
      </c>
      <c r="J354" s="12" t="str">
        <f>HYPERLINK("https://www.boe.es/gazeta/dias/1806/02/21/pdfs/GMD-1806-17.pdf#page=7","Abrir facsímil")</f>
        <v>Abrir facsímil</v>
      </c>
      <c r="K354" s="15" t="s">
        <v>22</v>
      </c>
    </row>
    <row r="355" spans="1:11" ht="42" customHeight="1">
      <c r="A355" s="4" t="s">
        <v>973</v>
      </c>
      <c r="B355" s="5" t="s">
        <v>973</v>
      </c>
      <c r="C355" s="5" t="s">
        <v>36</v>
      </c>
      <c r="D355" s="5" t="s">
        <v>37</v>
      </c>
      <c r="E355" s="5" t="s">
        <v>172</v>
      </c>
      <c r="F355" s="9">
        <v>17</v>
      </c>
      <c r="G355" s="9">
        <v>152</v>
      </c>
      <c r="H355" s="5" t="s">
        <v>20</v>
      </c>
      <c r="I355" s="5" t="s">
        <v>974</v>
      </c>
      <c r="J355" s="12" t="str">
        <f>HYPERLINK("https://www.boe.es/gazeta/dias/1806/02/21/pdfs/GMD-1806-17.pdf#page=8","Abrir facsímil")</f>
        <v>Abrir facsímil</v>
      </c>
      <c r="K355" s="15" t="s">
        <v>22</v>
      </c>
    </row>
    <row r="356" spans="1:11" ht="42" customHeight="1">
      <c r="A356" s="4" t="s">
        <v>975</v>
      </c>
      <c r="B356" s="5" t="s">
        <v>976</v>
      </c>
      <c r="C356" s="5" t="s">
        <v>31</v>
      </c>
      <c r="D356" s="5" t="s">
        <v>32</v>
      </c>
      <c r="E356" s="5" t="s">
        <v>113</v>
      </c>
      <c r="F356" s="9">
        <v>28</v>
      </c>
      <c r="G356" s="9">
        <v>273</v>
      </c>
      <c r="H356" s="5" t="s">
        <v>20</v>
      </c>
      <c r="I356" s="5" t="s">
        <v>977</v>
      </c>
      <c r="J356" s="12" t="str">
        <f>HYPERLINK("https://www.boe.es/gazeta/dias/1806/04/01/pdfs/GMD-1806-28.pdf#page=1","Abrir facsímil")</f>
        <v>Abrir facsímil</v>
      </c>
      <c r="K356" s="15" t="s">
        <v>22</v>
      </c>
    </row>
    <row r="357" spans="1:11" ht="42" customHeight="1">
      <c r="A357" s="4" t="s">
        <v>978</v>
      </c>
      <c r="B357" s="5" t="s">
        <v>978</v>
      </c>
      <c r="C357" s="5" t="s">
        <v>31</v>
      </c>
      <c r="D357" s="5" t="s">
        <v>32</v>
      </c>
      <c r="E357" s="5" t="s">
        <v>600</v>
      </c>
      <c r="F357" s="9">
        <v>77</v>
      </c>
      <c r="G357" s="9">
        <v>794</v>
      </c>
      <c r="H357" s="5" t="s">
        <v>20</v>
      </c>
      <c r="I357" s="5" t="s">
        <v>979</v>
      </c>
      <c r="J357" s="12" t="str">
        <f>HYPERLINK("https://www.boe.es/gazeta/dias/1806/09/19/pdfs/GMD-1806-77.pdf#page=6","Abrir facsímil")</f>
        <v>Abrir facsímil</v>
      </c>
      <c r="K357" s="15" t="s">
        <v>22</v>
      </c>
    </row>
    <row r="358" spans="1:11" ht="42" customHeight="1">
      <c r="A358" s="4" t="s">
        <v>980</v>
      </c>
      <c r="B358" s="5" t="s">
        <v>981</v>
      </c>
      <c r="C358" s="5" t="s">
        <v>36</v>
      </c>
      <c r="D358" s="5" t="s">
        <v>37</v>
      </c>
      <c r="E358" s="5" t="s">
        <v>220</v>
      </c>
      <c r="F358" s="9">
        <v>24</v>
      </c>
      <c r="G358" s="9">
        <v>236</v>
      </c>
      <c r="H358" s="5" t="s">
        <v>20</v>
      </c>
      <c r="I358" s="5" t="s">
        <v>982</v>
      </c>
      <c r="J358" s="12" t="str">
        <f>HYPERLINK("https://www.boe.es/gazeta/dias/1806/03/18/pdfs/GMD-1806-24.pdf#page=12","Abrir facsímil")</f>
        <v>Abrir facsímil</v>
      </c>
      <c r="K358" s="15" t="s">
        <v>22</v>
      </c>
    </row>
    <row r="359" spans="1:11" ht="42" customHeight="1">
      <c r="A359" s="4" t="s">
        <v>983</v>
      </c>
      <c r="B359" s="5" t="s">
        <v>983</v>
      </c>
      <c r="C359" s="5" t="s">
        <v>17</v>
      </c>
      <c r="D359" s="5" t="s">
        <v>18</v>
      </c>
      <c r="E359" s="5" t="s">
        <v>220</v>
      </c>
      <c r="F359" s="9">
        <v>24</v>
      </c>
      <c r="G359" s="9">
        <v>236</v>
      </c>
      <c r="H359" s="5" t="s">
        <v>20</v>
      </c>
      <c r="I359" s="5" t="s">
        <v>984</v>
      </c>
      <c r="J359" s="12" t="str">
        <f>HYPERLINK("https://www.boe.es/gazeta/dias/1806/03/18/pdfs/GMD-1806-24.pdf#page=12","Abrir facsímil")</f>
        <v>Abrir facsímil</v>
      </c>
      <c r="K359" s="15" t="s">
        <v>22</v>
      </c>
    </row>
    <row r="360" spans="1:11" ht="42" customHeight="1">
      <c r="A360" s="4" t="s">
        <v>985</v>
      </c>
      <c r="B360" s="5" t="s">
        <v>986</v>
      </c>
      <c r="C360" s="5" t="s">
        <v>31</v>
      </c>
      <c r="D360" s="5" t="s">
        <v>32</v>
      </c>
      <c r="E360" s="5" t="s">
        <v>127</v>
      </c>
      <c r="F360" s="9">
        <v>81</v>
      </c>
      <c r="G360" s="9">
        <v>837</v>
      </c>
      <c r="H360" s="5" t="s">
        <v>20</v>
      </c>
      <c r="I360" s="5" t="s">
        <v>987</v>
      </c>
      <c r="J360" s="12" t="str">
        <f>HYPERLINK("https://www.boe.es/gazeta/dias/1806/10/03/pdfs/GMD-1806-81.pdf#page=5","Abrir facsímil")</f>
        <v>Abrir facsímil</v>
      </c>
      <c r="K360" s="15" t="s">
        <v>22</v>
      </c>
    </row>
    <row r="361" spans="1:11" ht="42" customHeight="1">
      <c r="A361" s="4" t="s">
        <v>988</v>
      </c>
      <c r="B361" s="5" t="s">
        <v>989</v>
      </c>
      <c r="C361" s="5" t="s">
        <v>31</v>
      </c>
      <c r="D361" s="5" t="s">
        <v>32</v>
      </c>
      <c r="E361" s="5" t="s">
        <v>127</v>
      </c>
      <c r="F361" s="9">
        <v>81</v>
      </c>
      <c r="G361" s="9">
        <v>837</v>
      </c>
      <c r="H361" s="5" t="s">
        <v>20</v>
      </c>
      <c r="I361" s="5" t="s">
        <v>990</v>
      </c>
      <c r="J361" s="12" t="str">
        <f>HYPERLINK("https://www.boe.es/gazeta/dias/1806/10/03/pdfs/GMD-1806-81.pdf#page=5","Abrir facsímil")</f>
        <v>Abrir facsímil</v>
      </c>
      <c r="K361" s="15" t="s">
        <v>22</v>
      </c>
    </row>
    <row r="362" spans="1:11" ht="42" customHeight="1">
      <c r="A362" s="4" t="s">
        <v>988</v>
      </c>
      <c r="B362" s="5" t="s">
        <v>989</v>
      </c>
      <c r="C362" s="5" t="s">
        <v>31</v>
      </c>
      <c r="D362" s="5" t="s">
        <v>32</v>
      </c>
      <c r="E362" s="5" t="s">
        <v>297</v>
      </c>
      <c r="F362" s="9">
        <v>94</v>
      </c>
      <c r="G362" s="9">
        <v>991</v>
      </c>
      <c r="H362" s="5" t="s">
        <v>20</v>
      </c>
      <c r="I362" s="5" t="s">
        <v>991</v>
      </c>
      <c r="J362" s="12" t="str">
        <f>HYPERLINK("https://www.boe.es/gazeta/dias/1806/11/18/pdfs/GMD-1806-94.pdf#page=11","Abrir facsímil")</f>
        <v>Abrir facsímil</v>
      </c>
      <c r="K362" s="15" t="s">
        <v>22</v>
      </c>
    </row>
    <row r="363" spans="1:11" ht="42" customHeight="1">
      <c r="A363" s="4" t="s">
        <v>992</v>
      </c>
      <c r="B363" s="5" t="s">
        <v>993</v>
      </c>
      <c r="C363" s="5" t="s">
        <v>69</v>
      </c>
      <c r="D363" s="5" t="s">
        <v>70</v>
      </c>
      <c r="E363" s="5" t="s">
        <v>430</v>
      </c>
      <c r="F363" s="9">
        <v>12</v>
      </c>
      <c r="G363" s="9">
        <v>103</v>
      </c>
      <c r="H363" s="5" t="s">
        <v>20</v>
      </c>
      <c r="I363" s="5" t="s">
        <v>994</v>
      </c>
      <c r="J363" s="12" t="str">
        <f>HYPERLINK("https://www.boe.es/gazeta/dias/1806/02/04/pdfs/GMD-1806-12.pdf#page=3","Abrir facsímil")</f>
        <v>Abrir facsímil</v>
      </c>
      <c r="K363" s="15" t="s">
        <v>22</v>
      </c>
    </row>
    <row r="364" spans="1:11" ht="42" customHeight="1">
      <c r="A364" s="4" t="s">
        <v>995</v>
      </c>
      <c r="B364" s="5" t="s">
        <v>995</v>
      </c>
      <c r="C364" s="5" t="s">
        <v>31</v>
      </c>
      <c r="D364" s="5" t="s">
        <v>32</v>
      </c>
      <c r="E364" s="5" t="s">
        <v>580</v>
      </c>
      <c r="F364" s="9">
        <v>23</v>
      </c>
      <c r="G364" s="9">
        <v>217</v>
      </c>
      <c r="H364" s="5" t="s">
        <v>20</v>
      </c>
      <c r="I364" s="5" t="s">
        <v>996</v>
      </c>
      <c r="J364" s="12" t="str">
        <f>HYPERLINK("https://www.boe.es/gazeta/dias/1806/03/14/pdfs/GMD-1806-23.pdf#page=5","Abrir facsímil")</f>
        <v>Abrir facsímil</v>
      </c>
      <c r="K364" s="15" t="s">
        <v>22</v>
      </c>
    </row>
    <row r="365" spans="1:11" ht="42" customHeight="1">
      <c r="A365" s="4" t="s">
        <v>997</v>
      </c>
      <c r="B365" s="5" t="s">
        <v>998</v>
      </c>
      <c r="C365" s="5" t="s">
        <v>31</v>
      </c>
      <c r="D365" s="5" t="s">
        <v>32</v>
      </c>
      <c r="E365" s="5" t="s">
        <v>540</v>
      </c>
      <c r="F365" s="9">
        <v>51</v>
      </c>
      <c r="G365" s="9">
        <v>530</v>
      </c>
      <c r="H365" s="5" t="s">
        <v>20</v>
      </c>
      <c r="I365" s="5" t="s">
        <v>999</v>
      </c>
      <c r="J365" s="12" t="str">
        <f>HYPERLINK("https://www.boe.es/gazeta/dias/1806/06/20/pdfs/GMD-1806-51.pdf#page=10","Abrir facsímil")</f>
        <v>Abrir facsímil</v>
      </c>
      <c r="K365" s="15" t="s">
        <v>22</v>
      </c>
    </row>
    <row r="366" spans="1:11" ht="42" customHeight="1">
      <c r="A366" s="4" t="s">
        <v>1000</v>
      </c>
      <c r="B366" s="5" t="s">
        <v>1001</v>
      </c>
      <c r="C366" s="5" t="s">
        <v>17</v>
      </c>
      <c r="D366" s="5" t="s">
        <v>18</v>
      </c>
      <c r="E366" s="5" t="s">
        <v>209</v>
      </c>
      <c r="F366" s="9">
        <v>95</v>
      </c>
      <c r="G366" s="9">
        <v>1008</v>
      </c>
      <c r="H366" s="5" t="s">
        <v>20</v>
      </c>
      <c r="I366" s="5" t="s">
        <v>1002</v>
      </c>
      <c r="J366" s="12" t="str">
        <f>HYPERLINK("https://www.boe.es/gazeta/dias/1806/11/21/pdfs/GMD-1806-95.pdf#page=16","Abrir facsímil")</f>
        <v>Abrir facsímil</v>
      </c>
      <c r="K366" s="15" t="s">
        <v>22</v>
      </c>
    </row>
    <row r="367" spans="1:11" ht="42" customHeight="1">
      <c r="A367" s="4" t="s">
        <v>1003</v>
      </c>
      <c r="B367" s="5" t="s">
        <v>1004</v>
      </c>
      <c r="C367" s="5" t="s">
        <v>31</v>
      </c>
      <c r="D367" s="5" t="s">
        <v>32</v>
      </c>
      <c r="E367" s="5" t="s">
        <v>1005</v>
      </c>
      <c r="F367" s="9">
        <v>76</v>
      </c>
      <c r="G367" s="9">
        <v>787</v>
      </c>
      <c r="H367" s="5" t="s">
        <v>20</v>
      </c>
      <c r="I367" s="5" t="s">
        <v>1006</v>
      </c>
      <c r="J367" s="12" t="str">
        <f>HYPERLINK("https://www.boe.es/gazeta/dias/1806/09/16/pdfs/GMD-1806-76.pdf#page=7","Abrir facsímil")</f>
        <v>Abrir facsímil</v>
      </c>
      <c r="K367" s="15" t="s">
        <v>22</v>
      </c>
    </row>
    <row r="368" spans="1:11" ht="42" customHeight="1">
      <c r="A368" s="4" t="s">
        <v>1007</v>
      </c>
      <c r="B368" s="5" t="s">
        <v>1008</v>
      </c>
      <c r="C368" s="5" t="s">
        <v>69</v>
      </c>
      <c r="D368" s="5" t="s">
        <v>70</v>
      </c>
      <c r="E368" s="5" t="s">
        <v>191</v>
      </c>
      <c r="F368" s="9">
        <v>103</v>
      </c>
      <c r="G368" s="9">
        <v>1091</v>
      </c>
      <c r="H368" s="5" t="s">
        <v>20</v>
      </c>
      <c r="I368" s="5" t="s">
        <v>1009</v>
      </c>
      <c r="J368" s="12" t="str">
        <f>HYPERLINK("https://www.boe.es/gazeta/dias/1806/12/19/pdfs/GMD-1806-103.pdf#page=3","Abrir facsímil")</f>
        <v>Abrir facsímil</v>
      </c>
      <c r="K368" s="15" t="s">
        <v>22</v>
      </c>
    </row>
    <row r="369" spans="1:11" ht="42" customHeight="1">
      <c r="A369" s="4" t="s">
        <v>1010</v>
      </c>
      <c r="B369" s="5" t="s">
        <v>1011</v>
      </c>
      <c r="C369" s="5" t="s">
        <v>17</v>
      </c>
      <c r="D369" s="5" t="s">
        <v>18</v>
      </c>
      <c r="E369" s="5" t="s">
        <v>82</v>
      </c>
      <c r="F369" s="9">
        <v>48</v>
      </c>
      <c r="G369" s="9">
        <v>496</v>
      </c>
      <c r="H369" s="5" t="s">
        <v>20</v>
      </c>
      <c r="I369" s="5" t="s">
        <v>1012</v>
      </c>
      <c r="J369" s="12" t="str">
        <f>HYPERLINK("https://www.boe.es/gazeta/dias/1806/06/10/pdfs/GMD-1806-48.pdf#page=8","Abrir facsímil")</f>
        <v>Abrir facsímil</v>
      </c>
      <c r="K369" s="15" t="s">
        <v>22</v>
      </c>
    </row>
    <row r="370" spans="1:11" ht="42" customHeight="1">
      <c r="A370" s="4" t="s">
        <v>1013</v>
      </c>
      <c r="B370" s="5" t="s">
        <v>1014</v>
      </c>
      <c r="C370" s="5" t="s">
        <v>17</v>
      </c>
      <c r="D370" s="5" t="s">
        <v>18</v>
      </c>
      <c r="E370" s="5" t="s">
        <v>76</v>
      </c>
      <c r="F370" s="9">
        <v>98</v>
      </c>
      <c r="G370" s="9">
        <v>1033</v>
      </c>
      <c r="H370" s="5" t="s">
        <v>20</v>
      </c>
      <c r="I370" s="5" t="s">
        <v>1015</v>
      </c>
      <c r="J370" s="12" t="str">
        <f>HYPERLINK("https://www.boe.es/gazeta/dias/1806/12/02/pdfs/GMD-1806-98.pdf#page=1","Abrir facsímil")</f>
        <v>Abrir facsímil</v>
      </c>
      <c r="K370" s="15" t="s">
        <v>22</v>
      </c>
    </row>
    <row r="371" spans="1:11" ht="42" customHeight="1">
      <c r="A371" s="4" t="s">
        <v>1016</v>
      </c>
      <c r="B371" s="5" t="s">
        <v>1017</v>
      </c>
      <c r="C371" s="5" t="s">
        <v>75</v>
      </c>
      <c r="D371" s="5" t="s">
        <v>43</v>
      </c>
      <c r="E371" s="5" t="s">
        <v>79</v>
      </c>
      <c r="F371" s="9">
        <v>68</v>
      </c>
      <c r="G371" s="9">
        <v>711</v>
      </c>
      <c r="H371" s="5" t="s">
        <v>20</v>
      </c>
      <c r="I371" s="5" t="s">
        <v>1018</v>
      </c>
      <c r="J371" s="12" t="str">
        <f>HYPERLINK("https://www.boe.es/gazeta/dias/1806/08/19/pdfs/GMD-1806-68.pdf#page=7","Abrir facsímil")</f>
        <v>Abrir facsímil</v>
      </c>
      <c r="K371" s="15" t="s">
        <v>22</v>
      </c>
    </row>
    <row r="372" spans="1:11" ht="42" customHeight="1">
      <c r="A372" s="4" t="s">
        <v>1016</v>
      </c>
      <c r="B372" s="5" t="s">
        <v>1017</v>
      </c>
      <c r="C372" s="5" t="s">
        <v>75</v>
      </c>
      <c r="D372" s="5" t="s">
        <v>43</v>
      </c>
      <c r="E372" s="5" t="s">
        <v>213</v>
      </c>
      <c r="F372" s="9">
        <v>73</v>
      </c>
      <c r="G372" s="9">
        <v>759</v>
      </c>
      <c r="H372" s="5" t="s">
        <v>20</v>
      </c>
      <c r="I372" s="5" t="s">
        <v>1019</v>
      </c>
      <c r="J372" s="12" t="str">
        <f>HYPERLINK("https://www.boe.es/gazeta/dias/1806/09/05/pdfs/GMD-1806-73.pdf#page=7","Abrir facsímil")</f>
        <v>Abrir facsímil</v>
      </c>
      <c r="K372" s="15" t="s">
        <v>22</v>
      </c>
    </row>
    <row r="373" spans="1:11" ht="42" customHeight="1">
      <c r="A373" s="4" t="s">
        <v>1016</v>
      </c>
      <c r="B373" s="5" t="s">
        <v>1017</v>
      </c>
      <c r="C373" s="5" t="s">
        <v>75</v>
      </c>
      <c r="D373" s="5" t="s">
        <v>43</v>
      </c>
      <c r="E373" s="5" t="s">
        <v>600</v>
      </c>
      <c r="F373" s="9">
        <v>77</v>
      </c>
      <c r="G373" s="9">
        <v>796</v>
      </c>
      <c r="H373" s="5" t="s">
        <v>20</v>
      </c>
      <c r="I373" s="5" t="s">
        <v>1020</v>
      </c>
      <c r="J373" s="12" t="str">
        <f>HYPERLINK("https://www.boe.es/gazeta/dias/1806/09/19/pdfs/GMD-1806-77.pdf#page=8","Abrir facsímil")</f>
        <v>Abrir facsímil</v>
      </c>
      <c r="K373" s="15" t="s">
        <v>22</v>
      </c>
    </row>
    <row r="374" spans="1:11" ht="42" customHeight="1">
      <c r="A374" s="4" t="s">
        <v>1016</v>
      </c>
      <c r="B374" s="5" t="s">
        <v>1017</v>
      </c>
      <c r="C374" s="5" t="s">
        <v>75</v>
      </c>
      <c r="D374" s="5" t="s">
        <v>43</v>
      </c>
      <c r="E374" s="5" t="s">
        <v>148</v>
      </c>
      <c r="F374" s="9">
        <v>78</v>
      </c>
      <c r="G374" s="9">
        <v>805</v>
      </c>
      <c r="H374" s="5" t="s">
        <v>20</v>
      </c>
      <c r="I374" s="5" t="s">
        <v>1021</v>
      </c>
      <c r="J374" s="12" t="str">
        <f>HYPERLINK("https://www.boe.es/gazeta/dias/1806/09/23/pdfs/GMD-1806-78.pdf#page=9","Abrir facsímil")</f>
        <v>Abrir facsímil</v>
      </c>
      <c r="K374" s="15" t="s">
        <v>22</v>
      </c>
    </row>
    <row r="375" spans="1:11" ht="42" customHeight="1">
      <c r="A375" s="4" t="s">
        <v>1016</v>
      </c>
      <c r="B375" s="5" t="s">
        <v>1017</v>
      </c>
      <c r="C375" s="5" t="s">
        <v>75</v>
      </c>
      <c r="D375" s="5" t="s">
        <v>43</v>
      </c>
      <c r="E375" s="5" t="s">
        <v>33</v>
      </c>
      <c r="F375" s="9">
        <v>82</v>
      </c>
      <c r="G375" s="9">
        <v>851</v>
      </c>
      <c r="H375" s="5" t="s">
        <v>20</v>
      </c>
      <c r="I375" s="5" t="s">
        <v>1022</v>
      </c>
      <c r="J375" s="12" t="str">
        <f>HYPERLINK("https://www.boe.es/gazeta/dias/1806/10/07/pdfs/GMD-1806-82.pdf#page=11","Abrir facsímil")</f>
        <v>Abrir facsímil</v>
      </c>
      <c r="K375" s="15" t="s">
        <v>22</v>
      </c>
    </row>
    <row r="376" spans="1:11" ht="42" customHeight="1">
      <c r="A376" s="4" t="s">
        <v>1016</v>
      </c>
      <c r="B376" s="5" t="s">
        <v>1017</v>
      </c>
      <c r="C376" s="5" t="s">
        <v>75</v>
      </c>
      <c r="D376" s="5" t="s">
        <v>43</v>
      </c>
      <c r="E376" s="5" t="s">
        <v>231</v>
      </c>
      <c r="F376" s="9">
        <v>89</v>
      </c>
      <c r="G376" s="9">
        <v>922</v>
      </c>
      <c r="H376" s="5" t="s">
        <v>20</v>
      </c>
      <c r="I376" s="5" t="s">
        <v>1023</v>
      </c>
      <c r="J376" s="12" t="str">
        <f>HYPERLINK("https://www.boe.es/gazeta/dias/1806/10/31/pdfs/GMD-1806-89.pdf#page=10","Abrir facsímil")</f>
        <v>Abrir facsímil</v>
      </c>
      <c r="K376" s="15" t="s">
        <v>22</v>
      </c>
    </row>
    <row r="377" spans="1:11" ht="42" customHeight="1">
      <c r="A377" s="4" t="s">
        <v>1016</v>
      </c>
      <c r="B377" s="5" t="s">
        <v>1017</v>
      </c>
      <c r="C377" s="5" t="s">
        <v>75</v>
      </c>
      <c r="D377" s="5" t="s">
        <v>43</v>
      </c>
      <c r="E377" s="5" t="s">
        <v>570</v>
      </c>
      <c r="F377" s="9">
        <v>93</v>
      </c>
      <c r="G377" s="9">
        <v>980</v>
      </c>
      <c r="H377" s="5" t="s">
        <v>20</v>
      </c>
      <c r="I377" s="5" t="s">
        <v>1024</v>
      </c>
      <c r="J377" s="12" t="str">
        <f>HYPERLINK("https://www.boe.es/gazeta/dias/1806/11/14/pdfs/GMD-1806-93.pdf#page=16","Abrir facsímil")</f>
        <v>Abrir facsímil</v>
      </c>
      <c r="K377" s="15" t="s">
        <v>22</v>
      </c>
    </row>
    <row r="378" spans="1:11" ht="42" customHeight="1">
      <c r="A378" s="4" t="s">
        <v>1016</v>
      </c>
      <c r="B378" s="5" t="s">
        <v>1017</v>
      </c>
      <c r="C378" s="5" t="s">
        <v>75</v>
      </c>
      <c r="D378" s="5" t="s">
        <v>43</v>
      </c>
      <c r="E378" s="5" t="s">
        <v>76</v>
      </c>
      <c r="F378" s="9">
        <v>98</v>
      </c>
      <c r="G378" s="9">
        <v>1044</v>
      </c>
      <c r="H378" s="5" t="s">
        <v>20</v>
      </c>
      <c r="I378" s="5" t="s">
        <v>1025</v>
      </c>
      <c r="J378" s="12" t="str">
        <f>HYPERLINK("https://www.boe.es/gazeta/dias/1806/12/02/pdfs/GMD-1806-98.pdf#page=12","Abrir facsímil")</f>
        <v>Abrir facsímil</v>
      </c>
      <c r="K378" s="15" t="s">
        <v>22</v>
      </c>
    </row>
    <row r="379" spans="1:11" ht="42" customHeight="1">
      <c r="A379" s="4" t="s">
        <v>1016</v>
      </c>
      <c r="B379" s="5" t="s">
        <v>1017</v>
      </c>
      <c r="C379" s="5" t="s">
        <v>36</v>
      </c>
      <c r="D379" s="5" t="s">
        <v>37</v>
      </c>
      <c r="E379" s="5" t="s">
        <v>312</v>
      </c>
      <c r="F379" s="9">
        <v>100</v>
      </c>
      <c r="G379" s="9">
        <v>1067</v>
      </c>
      <c r="H379" s="5" t="s">
        <v>20</v>
      </c>
      <c r="I379" s="5" t="s">
        <v>1026</v>
      </c>
      <c r="J379" s="12" t="str">
        <f>HYPERLINK("https://www.boe.es/gazeta/dias/1806/12/09/pdfs/GMD-1806-100.pdf#page=11","Abrir facsímil")</f>
        <v>Abrir facsímil</v>
      </c>
      <c r="K379" s="15" t="s">
        <v>22</v>
      </c>
    </row>
    <row r="380" spans="1:11" ht="42" customHeight="1">
      <c r="A380" s="4" t="s">
        <v>1027</v>
      </c>
      <c r="B380" s="5" t="s">
        <v>1028</v>
      </c>
      <c r="C380" s="5" t="s">
        <v>69</v>
      </c>
      <c r="D380" s="5" t="s">
        <v>70</v>
      </c>
      <c r="E380" s="5" t="s">
        <v>540</v>
      </c>
      <c r="F380" s="9">
        <v>51</v>
      </c>
      <c r="G380" s="9">
        <v>524</v>
      </c>
      <c r="H380" s="5" t="s">
        <v>20</v>
      </c>
      <c r="I380" s="5" t="s">
        <v>1029</v>
      </c>
      <c r="J380" s="12" t="str">
        <f>HYPERLINK("https://www.boe.es/gazeta/dias/1806/06/20/pdfs/GMD-1806-51.pdf#page=4","Abrir facsímil")</f>
        <v>Abrir facsímil</v>
      </c>
      <c r="K380" s="15" t="s">
        <v>22</v>
      </c>
    </row>
    <row r="381" spans="1:11" ht="42" customHeight="1">
      <c r="A381" s="4" t="s">
        <v>1027</v>
      </c>
      <c r="B381" s="5" t="s">
        <v>1028</v>
      </c>
      <c r="C381" s="5" t="s">
        <v>69</v>
      </c>
      <c r="D381" s="5" t="s">
        <v>70</v>
      </c>
      <c r="E381" s="5" t="s">
        <v>657</v>
      </c>
      <c r="F381" s="9">
        <v>96</v>
      </c>
      <c r="G381" s="9">
        <v>1015</v>
      </c>
      <c r="H381" s="5" t="s">
        <v>20</v>
      </c>
      <c r="I381" s="5" t="s">
        <v>1030</v>
      </c>
      <c r="J381" s="12" t="str">
        <f>HYPERLINK("https://www.boe.es/gazeta/dias/1806/11/25/pdfs/GMD-1806-96.pdf#page=7","Abrir facsímil")</f>
        <v>Abrir facsímil</v>
      </c>
      <c r="K381" s="15" t="s">
        <v>22</v>
      </c>
    </row>
    <row r="382" spans="1:11" ht="42" customHeight="1">
      <c r="A382" s="4" t="s">
        <v>1027</v>
      </c>
      <c r="B382" s="5" t="s">
        <v>1028</v>
      </c>
      <c r="C382" s="5" t="s">
        <v>69</v>
      </c>
      <c r="D382" s="5" t="s">
        <v>70</v>
      </c>
      <c r="E382" s="5" t="s">
        <v>1031</v>
      </c>
      <c r="F382" s="9">
        <v>107</v>
      </c>
      <c r="G382" s="9">
        <v>1127</v>
      </c>
      <c r="H382" s="5" t="s">
        <v>20</v>
      </c>
      <c r="I382" s="5" t="s">
        <v>1032</v>
      </c>
      <c r="J382" s="12" t="str">
        <f>HYPERLINK("https://www.boe.es/gazeta/dias/1806/12/30/pdfs/GMD-1806-107.pdf#page=3","Abrir facsímil")</f>
        <v>Abrir facsímil</v>
      </c>
      <c r="K382" s="15" t="s">
        <v>22</v>
      </c>
    </row>
    <row r="383" spans="1:11" ht="42" customHeight="1">
      <c r="A383" s="4" t="s">
        <v>1033</v>
      </c>
      <c r="B383" s="5" t="s">
        <v>1034</v>
      </c>
      <c r="C383" s="5" t="s">
        <v>69</v>
      </c>
      <c r="D383" s="5" t="s">
        <v>70</v>
      </c>
      <c r="E383" s="5" t="s">
        <v>38</v>
      </c>
      <c r="F383" s="9">
        <v>92</v>
      </c>
      <c r="G383" s="9">
        <v>961</v>
      </c>
      <c r="H383" s="5" t="s">
        <v>20</v>
      </c>
      <c r="I383" s="5" t="s">
        <v>1035</v>
      </c>
      <c r="J383" s="12" t="str">
        <f>HYPERLINK("https://www.boe.es/gazeta/dias/1806/11/11/pdfs/GMD-1806-92.pdf#page=13","Abrir facsímil")</f>
        <v>Abrir facsímil</v>
      </c>
      <c r="K383" s="15" t="s">
        <v>22</v>
      </c>
    </row>
    <row r="384" spans="1:11" ht="42" customHeight="1">
      <c r="A384" s="4" t="s">
        <v>1036</v>
      </c>
      <c r="B384" s="5" t="s">
        <v>1037</v>
      </c>
      <c r="C384" s="5" t="s">
        <v>17</v>
      </c>
      <c r="D384" s="5" t="s">
        <v>18</v>
      </c>
      <c r="E384" s="5" t="s">
        <v>93</v>
      </c>
      <c r="F384" s="9">
        <v>72</v>
      </c>
      <c r="G384" s="9">
        <v>747</v>
      </c>
      <c r="H384" s="5" t="s">
        <v>20</v>
      </c>
      <c r="I384" s="5" t="s">
        <v>1038</v>
      </c>
      <c r="J384" s="12" t="str">
        <f>HYPERLINK("https://www.boe.es/gazeta/dias/1806/09/02/pdfs/GMD-1806-72.pdf#page=7","Abrir facsímil")</f>
        <v>Abrir facsímil</v>
      </c>
      <c r="K384" s="15" t="s">
        <v>22</v>
      </c>
    </row>
    <row r="385" spans="1:11" ht="42" customHeight="1">
      <c r="A385" s="4" t="s">
        <v>1039</v>
      </c>
      <c r="B385" s="5" t="s">
        <v>1040</v>
      </c>
      <c r="C385" s="5" t="s">
        <v>69</v>
      </c>
      <c r="D385" s="5" t="s">
        <v>70</v>
      </c>
      <c r="E385" s="5" t="s">
        <v>657</v>
      </c>
      <c r="F385" s="9">
        <v>96</v>
      </c>
      <c r="G385" s="9">
        <v>1015</v>
      </c>
      <c r="H385" s="5" t="s">
        <v>20</v>
      </c>
      <c r="I385" s="5" t="s">
        <v>1041</v>
      </c>
      <c r="J385" s="12" t="str">
        <f>HYPERLINK("https://www.boe.es/gazeta/dias/1806/11/25/pdfs/GMD-1806-96.pdf#page=7","Abrir facsímil")</f>
        <v>Abrir facsímil</v>
      </c>
      <c r="K385" s="15" t="s">
        <v>22</v>
      </c>
    </row>
    <row r="386" spans="1:11" ht="42" customHeight="1">
      <c r="A386" s="4" t="s">
        <v>1042</v>
      </c>
      <c r="B386" s="5" t="s">
        <v>1042</v>
      </c>
      <c r="C386" s="5" t="s">
        <v>69</v>
      </c>
      <c r="D386" s="5" t="s">
        <v>70</v>
      </c>
      <c r="E386" s="5" t="s">
        <v>309</v>
      </c>
      <c r="F386" s="9">
        <v>41</v>
      </c>
      <c r="G386" s="9">
        <v>402</v>
      </c>
      <c r="H386" s="5" t="s">
        <v>20</v>
      </c>
      <c r="I386" s="5" t="s">
        <v>1043</v>
      </c>
      <c r="J386" s="12" t="str">
        <f>HYPERLINK("https://www.boe.es/gazeta/dias/1806/05/16/pdfs/GMD-1806-41.pdf#page=2","Abrir facsímil")</f>
        <v>Abrir facsímil</v>
      </c>
      <c r="K386" s="15" t="s">
        <v>22</v>
      </c>
    </row>
    <row r="387" spans="1:11" ht="42" customHeight="1">
      <c r="A387" s="4" t="s">
        <v>1044</v>
      </c>
      <c r="B387" s="5" t="s">
        <v>1044</v>
      </c>
      <c r="C387" s="5" t="s">
        <v>31</v>
      </c>
      <c r="D387" s="5" t="s">
        <v>32</v>
      </c>
      <c r="E387" s="5" t="s">
        <v>540</v>
      </c>
      <c r="F387" s="9">
        <v>51</v>
      </c>
      <c r="G387" s="9">
        <v>530</v>
      </c>
      <c r="H387" s="5" t="s">
        <v>20</v>
      </c>
      <c r="I387" s="5" t="s">
        <v>1045</v>
      </c>
      <c r="J387" s="12" t="str">
        <f>HYPERLINK("https://www.boe.es/gazeta/dias/1806/06/20/pdfs/GMD-1806-51.pdf#page=10","Abrir facsímil")</f>
        <v>Abrir facsímil</v>
      </c>
      <c r="K387" s="15" t="s">
        <v>22</v>
      </c>
    </row>
    <row r="388" spans="1:11" ht="42" customHeight="1">
      <c r="A388" s="4" t="s">
        <v>1046</v>
      </c>
      <c r="B388" s="5" t="s">
        <v>1047</v>
      </c>
      <c r="C388" s="5" t="s">
        <v>31</v>
      </c>
      <c r="D388" s="5" t="s">
        <v>32</v>
      </c>
      <c r="E388" s="5" t="s">
        <v>110</v>
      </c>
      <c r="F388" s="9">
        <v>55</v>
      </c>
      <c r="G388" s="9">
        <v>572</v>
      </c>
      <c r="H388" s="5" t="s">
        <v>20</v>
      </c>
      <c r="I388" s="5" t="s">
        <v>1048</v>
      </c>
      <c r="J388" s="12" t="str">
        <f>HYPERLINK("https://www.boe.es/gazeta/dias/1806/07/04/pdfs/GMD-1806-55.pdf#page=8","Abrir facsímil")</f>
        <v>Abrir facsímil</v>
      </c>
      <c r="K388" s="15" t="s">
        <v>22</v>
      </c>
    </row>
    <row r="389" spans="1:11" ht="42" customHeight="1">
      <c r="A389" s="4" t="s">
        <v>1049</v>
      </c>
      <c r="B389" s="5" t="s">
        <v>1050</v>
      </c>
      <c r="C389" s="5" t="s">
        <v>69</v>
      </c>
      <c r="D389" s="5" t="s">
        <v>70</v>
      </c>
      <c r="E389" s="5" t="s">
        <v>62</v>
      </c>
      <c r="F389" s="9">
        <v>45</v>
      </c>
      <c r="G389" s="9">
        <v>452</v>
      </c>
      <c r="H389" s="5" t="s">
        <v>20</v>
      </c>
      <c r="I389" s="5" t="s">
        <v>1051</v>
      </c>
      <c r="J389" s="12" t="str">
        <f>HYPERLINK("https://www.boe.es/gazeta/dias/1806/05/30/pdfs/GMD-1806-45.pdf#page=4","Abrir facsímil")</f>
        <v>Abrir facsímil</v>
      </c>
      <c r="K389" s="15" t="s">
        <v>22</v>
      </c>
    </row>
    <row r="390" spans="1:11" ht="42" customHeight="1">
      <c r="A390" s="4" t="s">
        <v>1052</v>
      </c>
      <c r="B390" s="5" t="s">
        <v>1052</v>
      </c>
      <c r="C390" s="5" t="s">
        <v>36</v>
      </c>
      <c r="D390" s="5" t="s">
        <v>37</v>
      </c>
      <c r="E390" s="5" t="s">
        <v>501</v>
      </c>
      <c r="F390" s="9">
        <v>39</v>
      </c>
      <c r="G390" s="9">
        <v>387</v>
      </c>
      <c r="H390" s="5" t="s">
        <v>20</v>
      </c>
      <c r="I390" s="5" t="s">
        <v>1053</v>
      </c>
      <c r="J390" s="12" t="str">
        <f>HYPERLINK("https://www.boe.es/gazeta/dias/1806/05/09/pdfs/GMD-1806-39.pdf#page=11","Abrir facsímil")</f>
        <v>Abrir facsímil</v>
      </c>
      <c r="K390" s="15" t="s">
        <v>22</v>
      </c>
    </row>
    <row r="391" spans="1:11" ht="42" customHeight="1">
      <c r="A391" s="4" t="s">
        <v>1054</v>
      </c>
      <c r="B391" s="5" t="s">
        <v>1055</v>
      </c>
      <c r="C391" s="5" t="s">
        <v>31</v>
      </c>
      <c r="D391" s="5" t="s">
        <v>32</v>
      </c>
      <c r="E391" s="5" t="s">
        <v>209</v>
      </c>
      <c r="F391" s="9">
        <v>95</v>
      </c>
      <c r="G391" s="9">
        <v>996</v>
      </c>
      <c r="H391" s="5" t="s">
        <v>20</v>
      </c>
      <c r="I391" s="5" t="s">
        <v>1056</v>
      </c>
      <c r="J391" s="12" t="str">
        <f>HYPERLINK("https://www.boe.es/gazeta/dias/1806/11/21/pdfs/GMD-1806-95.pdf#page=4","Abrir facsímil")</f>
        <v>Abrir facsímil</v>
      </c>
      <c r="K391" s="15" t="s">
        <v>22</v>
      </c>
    </row>
    <row r="392" spans="1:11" ht="42" customHeight="1">
      <c r="A392" s="4" t="s">
        <v>1057</v>
      </c>
      <c r="B392" s="5" t="s">
        <v>1058</v>
      </c>
      <c r="C392" s="5" t="s">
        <v>69</v>
      </c>
      <c r="D392" s="5" t="s">
        <v>70</v>
      </c>
      <c r="E392" s="5" t="s">
        <v>327</v>
      </c>
      <c r="F392" s="9">
        <v>104</v>
      </c>
      <c r="G392" s="9">
        <v>1102</v>
      </c>
      <c r="H392" s="5" t="s">
        <v>20</v>
      </c>
      <c r="I392" s="5" t="s">
        <v>1059</v>
      </c>
      <c r="J392" s="12" t="str">
        <f>HYPERLINK("https://www.boe.es/gazeta/dias/1806/12/23/pdfs/GMD-1806-104.pdf#page=2","Abrir facsímil")</f>
        <v>Abrir facsímil</v>
      </c>
      <c r="K392" s="15" t="s">
        <v>22</v>
      </c>
    </row>
    <row r="393" spans="1:11" ht="42" customHeight="1">
      <c r="A393" s="4" t="s">
        <v>1060</v>
      </c>
      <c r="B393" s="5" t="s">
        <v>1061</v>
      </c>
      <c r="C393" s="5" t="s">
        <v>69</v>
      </c>
      <c r="D393" s="5" t="s">
        <v>70</v>
      </c>
      <c r="E393" s="5" t="s">
        <v>483</v>
      </c>
      <c r="F393" s="9">
        <v>58</v>
      </c>
      <c r="G393" s="9">
        <v>598</v>
      </c>
      <c r="H393" s="5" t="s">
        <v>20</v>
      </c>
      <c r="I393" s="5" t="s">
        <v>1062</v>
      </c>
      <c r="J393" s="12" t="str">
        <f>HYPERLINK("https://www.boe.es/gazeta/dias/1806/07/15/pdfs/GMD-1806-58.pdf#page=2","Abrir facsímil")</f>
        <v>Abrir facsímil</v>
      </c>
      <c r="K393" s="15" t="s">
        <v>22</v>
      </c>
    </row>
    <row r="394" spans="1:11" ht="42" customHeight="1">
      <c r="A394" s="4" t="s">
        <v>1060</v>
      </c>
      <c r="B394" s="5" t="s">
        <v>1061</v>
      </c>
      <c r="C394" s="5" t="s">
        <v>31</v>
      </c>
      <c r="D394" s="5" t="s">
        <v>32</v>
      </c>
      <c r="E394" s="5" t="s">
        <v>396</v>
      </c>
      <c r="F394" s="9">
        <v>91</v>
      </c>
      <c r="G394" s="9">
        <v>939</v>
      </c>
      <c r="H394" s="5" t="s">
        <v>20</v>
      </c>
      <c r="I394" s="5" t="s">
        <v>1063</v>
      </c>
      <c r="J394" s="12" t="str">
        <f>HYPERLINK("https://www.boe.es/gazeta/dias/1806/11/07/pdfs/GMD-1806-91.pdf#page=3","Abrir facsímil")</f>
        <v>Abrir facsímil</v>
      </c>
      <c r="K394" s="15" t="s">
        <v>22</v>
      </c>
    </row>
    <row r="395" spans="1:11" ht="42" customHeight="1">
      <c r="A395" s="4" t="s">
        <v>1064</v>
      </c>
      <c r="B395" s="5" t="s">
        <v>1065</v>
      </c>
      <c r="C395" s="5" t="s">
        <v>42</v>
      </c>
      <c r="D395" s="5" t="s">
        <v>43</v>
      </c>
      <c r="E395" s="5" t="s">
        <v>327</v>
      </c>
      <c r="F395" s="9">
        <v>104</v>
      </c>
      <c r="G395" s="9">
        <v>1110</v>
      </c>
      <c r="H395" s="5" t="s">
        <v>20</v>
      </c>
      <c r="I395" s="5" t="s">
        <v>1066</v>
      </c>
      <c r="J395" s="12" t="str">
        <f>HYPERLINK("https://www.boe.es/gazeta/dias/1806/12/23/pdfs/GMD-1806-104.pdf#page=10","Abrir facsímil")</f>
        <v>Abrir facsímil</v>
      </c>
      <c r="K395" s="15" t="s">
        <v>22</v>
      </c>
    </row>
    <row r="396" spans="1:11" ht="42" customHeight="1">
      <c r="A396" s="4" t="s">
        <v>1067</v>
      </c>
      <c r="B396" s="5" t="s">
        <v>1068</v>
      </c>
      <c r="C396" s="5" t="s">
        <v>42</v>
      </c>
      <c r="D396" s="5" t="s">
        <v>43</v>
      </c>
      <c r="E396" s="5" t="s">
        <v>44</v>
      </c>
      <c r="F396" s="9">
        <v>42</v>
      </c>
      <c r="G396" s="9">
        <v>421</v>
      </c>
      <c r="H396" s="5" t="s">
        <v>20</v>
      </c>
      <c r="I396" s="5" t="s">
        <v>1069</v>
      </c>
      <c r="J396" s="12" t="str">
        <f>HYPERLINK("https://www.boe.es/gazeta/dias/1806/05/20/pdfs/GMD-1806-42.pdf#page=9","Abrir facsímil")</f>
        <v>Abrir facsímil</v>
      </c>
      <c r="K396" s="15" t="s">
        <v>22</v>
      </c>
    </row>
    <row r="397" spans="1:11" ht="42" customHeight="1">
      <c r="A397" s="4" t="s">
        <v>1070</v>
      </c>
      <c r="B397" s="5" t="s">
        <v>1071</v>
      </c>
      <c r="C397" s="5" t="s">
        <v>17</v>
      </c>
      <c r="D397" s="5" t="s">
        <v>18</v>
      </c>
      <c r="E397" s="5" t="s">
        <v>290</v>
      </c>
      <c r="F397" s="9">
        <v>1</v>
      </c>
      <c r="G397" s="9">
        <v>8</v>
      </c>
      <c r="H397" s="5" t="s">
        <v>20</v>
      </c>
      <c r="I397" s="5" t="s">
        <v>1072</v>
      </c>
      <c r="J397" s="12" t="str">
        <f>HYPERLINK("https://www.boe.es/gazeta/dias/1806/01/03/pdfs/GMD-1806-1.pdf#page=8","Abrir facsímil")</f>
        <v>Abrir facsímil</v>
      </c>
      <c r="K397" s="15" t="s">
        <v>22</v>
      </c>
    </row>
    <row r="398" spans="1:11" ht="42" customHeight="1">
      <c r="A398" s="4" t="s">
        <v>1073</v>
      </c>
      <c r="B398" s="5" t="s">
        <v>1073</v>
      </c>
      <c r="C398" s="5" t="s">
        <v>69</v>
      </c>
      <c r="D398" s="5" t="s">
        <v>70</v>
      </c>
      <c r="E398" s="5" t="s">
        <v>62</v>
      </c>
      <c r="F398" s="9">
        <v>45</v>
      </c>
      <c r="G398" s="9">
        <v>455</v>
      </c>
      <c r="H398" s="5" t="s">
        <v>20</v>
      </c>
      <c r="I398" s="5" t="s">
        <v>1074</v>
      </c>
      <c r="J398" s="12" t="str">
        <f>HYPERLINK("https://www.boe.es/gazeta/dias/1806/05/30/pdfs/GMD-1806-45.pdf#page=7","Abrir facsímil")</f>
        <v>Abrir facsímil</v>
      </c>
      <c r="K398" s="15" t="s">
        <v>22</v>
      </c>
    </row>
    <row r="399" spans="1:11" ht="42" customHeight="1">
      <c r="A399" s="4" t="s">
        <v>1075</v>
      </c>
      <c r="B399" s="5" t="s">
        <v>1076</v>
      </c>
      <c r="C399" s="5" t="s">
        <v>31</v>
      </c>
      <c r="D399" s="5" t="s">
        <v>32</v>
      </c>
      <c r="E399" s="5" t="s">
        <v>367</v>
      </c>
      <c r="F399" s="9">
        <v>87</v>
      </c>
      <c r="G399" s="9">
        <v>901</v>
      </c>
      <c r="H399" s="5" t="s">
        <v>20</v>
      </c>
      <c r="I399" s="5" t="s">
        <v>1077</v>
      </c>
      <c r="J399" s="12" t="str">
        <f>HYPERLINK("https://www.boe.es/gazeta/dias/1806/10/24/pdfs/GMD-1806-87.pdf#page=9","Abrir facsímil")</f>
        <v>Abrir facsímil</v>
      </c>
      <c r="K399" s="15" t="s">
        <v>22</v>
      </c>
    </row>
    <row r="400" spans="1:11" ht="42" customHeight="1">
      <c r="A400" s="4" t="s">
        <v>1078</v>
      </c>
      <c r="B400" s="5" t="s">
        <v>1079</v>
      </c>
      <c r="C400" s="5" t="s">
        <v>31</v>
      </c>
      <c r="D400" s="5" t="s">
        <v>32</v>
      </c>
      <c r="E400" s="5" t="s">
        <v>1080</v>
      </c>
      <c r="F400" s="9">
        <v>49</v>
      </c>
      <c r="G400" s="9">
        <v>505</v>
      </c>
      <c r="H400" s="5" t="s">
        <v>20</v>
      </c>
      <c r="I400" s="5" t="s">
        <v>1081</v>
      </c>
      <c r="J400" s="12" t="str">
        <f>HYPERLINK("https://www.boe.es/gazeta/dias/1806/06/13/pdfs/GMD-1806-49.pdf#page=5","Abrir facsímil")</f>
        <v>Abrir facsímil</v>
      </c>
      <c r="K400" s="15" t="s">
        <v>22</v>
      </c>
    </row>
    <row r="401" spans="1:11" ht="42" customHeight="1">
      <c r="A401" s="4" t="s">
        <v>1082</v>
      </c>
      <c r="B401" s="5" t="s">
        <v>1083</v>
      </c>
      <c r="C401" s="5" t="s">
        <v>36</v>
      </c>
      <c r="D401" s="5" t="s">
        <v>37</v>
      </c>
      <c r="E401" s="5" t="s">
        <v>434</v>
      </c>
      <c r="F401" s="9">
        <v>74</v>
      </c>
      <c r="G401" s="9" t="s">
        <v>1084</v>
      </c>
      <c r="H401" s="5" t="s">
        <v>20</v>
      </c>
      <c r="I401" s="5" t="s">
        <v>1085</v>
      </c>
      <c r="J401" s="12" t="str">
        <f>HYPERLINK("https://www.boe.es/gazeta/dias/1806/09/09/pdfs/GMD-C-1806-74.pdf#page=4","Abrir facsímil")</f>
        <v>Abrir facsímil</v>
      </c>
      <c r="K401" s="15" t="s">
        <v>22</v>
      </c>
    </row>
    <row r="402" spans="1:11" ht="42" customHeight="1">
      <c r="A402" s="4" t="s">
        <v>1086</v>
      </c>
      <c r="B402" s="5" t="s">
        <v>1087</v>
      </c>
      <c r="C402" s="5" t="s">
        <v>69</v>
      </c>
      <c r="D402" s="5" t="s">
        <v>70</v>
      </c>
      <c r="E402" s="5" t="s">
        <v>870</v>
      </c>
      <c r="F402" s="9">
        <v>35</v>
      </c>
      <c r="G402" s="9">
        <v>337</v>
      </c>
      <c r="H402" s="5" t="s">
        <v>20</v>
      </c>
      <c r="I402" s="5" t="s">
        <v>1088</v>
      </c>
      <c r="J402" s="12" t="str">
        <f>HYPERLINK("https://www.boe.es/gazeta/dias/1806/04/25/pdfs/GMD-1806-35.pdf#page=1","Abrir facsímil")</f>
        <v>Abrir facsímil</v>
      </c>
      <c r="K402" s="15" t="s">
        <v>22</v>
      </c>
    </row>
    <row r="403" spans="1:11" ht="42" customHeight="1">
      <c r="A403" s="4" t="s">
        <v>1086</v>
      </c>
      <c r="B403" s="5" t="s">
        <v>1087</v>
      </c>
      <c r="C403" s="5" t="s">
        <v>69</v>
      </c>
      <c r="D403" s="5" t="s">
        <v>70</v>
      </c>
      <c r="E403" s="5" t="s">
        <v>1031</v>
      </c>
      <c r="F403" s="9">
        <v>107</v>
      </c>
      <c r="G403" s="9">
        <v>1127</v>
      </c>
      <c r="H403" s="5" t="s">
        <v>20</v>
      </c>
      <c r="I403" s="5" t="s">
        <v>1089</v>
      </c>
      <c r="J403" s="12" t="str">
        <f>HYPERLINK("https://www.boe.es/gazeta/dias/1806/12/30/pdfs/GMD-1806-107.pdf#page=3","Abrir facsímil")</f>
        <v>Abrir facsímil</v>
      </c>
      <c r="K403" s="15" t="s">
        <v>22</v>
      </c>
    </row>
    <row r="404" spans="1:11" ht="42" customHeight="1">
      <c r="A404" s="4" t="s">
        <v>1090</v>
      </c>
      <c r="B404" s="5" t="s">
        <v>1090</v>
      </c>
      <c r="C404" s="5" t="s">
        <v>36</v>
      </c>
      <c r="D404" s="5" t="s">
        <v>37</v>
      </c>
      <c r="E404" s="5" t="s">
        <v>501</v>
      </c>
      <c r="F404" s="9">
        <v>39</v>
      </c>
      <c r="G404" s="9">
        <v>379</v>
      </c>
      <c r="H404" s="5" t="s">
        <v>20</v>
      </c>
      <c r="I404" s="5" t="s">
        <v>1091</v>
      </c>
      <c r="J404" s="12" t="str">
        <f>HYPERLINK("https://www.boe.es/gazeta/dias/1806/05/09/pdfs/GMD-1806-39.pdf#page=3","Abrir facsímil")</f>
        <v>Abrir facsímil</v>
      </c>
      <c r="K404" s="15" t="s">
        <v>22</v>
      </c>
    </row>
    <row r="405" spans="1:11" ht="42" customHeight="1">
      <c r="A405" s="4" t="s">
        <v>1092</v>
      </c>
      <c r="B405" s="5" t="s">
        <v>1093</v>
      </c>
      <c r="C405" s="5" t="s">
        <v>69</v>
      </c>
      <c r="D405" s="5" t="s">
        <v>70</v>
      </c>
      <c r="E405" s="5" t="s">
        <v>44</v>
      </c>
      <c r="F405" s="9">
        <v>42</v>
      </c>
      <c r="G405" s="9">
        <v>416</v>
      </c>
      <c r="H405" s="5" t="s">
        <v>20</v>
      </c>
      <c r="I405" s="5" t="s">
        <v>1094</v>
      </c>
      <c r="J405" s="12" t="str">
        <f>HYPERLINK("https://www.boe.es/gazeta/dias/1806/05/20/pdfs/GMD-1806-42.pdf#page=4","Abrir facsímil")</f>
        <v>Abrir facsímil</v>
      </c>
      <c r="K405" s="15" t="s">
        <v>22</v>
      </c>
    </row>
    <row r="406" spans="1:11" ht="42" customHeight="1">
      <c r="A406" s="4" t="s">
        <v>1095</v>
      </c>
      <c r="B406" s="5" t="s">
        <v>1096</v>
      </c>
      <c r="C406" s="5" t="s">
        <v>69</v>
      </c>
      <c r="D406" s="5" t="s">
        <v>70</v>
      </c>
      <c r="E406" s="5" t="s">
        <v>340</v>
      </c>
      <c r="F406" s="9">
        <v>31</v>
      </c>
      <c r="G406" s="9">
        <v>301</v>
      </c>
      <c r="H406" s="5" t="s">
        <v>20</v>
      </c>
      <c r="I406" s="5" t="s">
        <v>1097</v>
      </c>
      <c r="J406" s="12" t="str">
        <f>HYPERLINK("https://www.boe.es/gazeta/dias/1806/04/11/pdfs/GMD-1806-31.pdf#page=5","Abrir facsímil")</f>
        <v>Abrir facsímil</v>
      </c>
      <c r="K406" s="15" t="s">
        <v>22</v>
      </c>
    </row>
    <row r="407" spans="1:11" ht="42" customHeight="1">
      <c r="A407" s="4" t="s">
        <v>1098</v>
      </c>
      <c r="B407" s="5" t="s">
        <v>1099</v>
      </c>
      <c r="C407" s="5" t="s">
        <v>69</v>
      </c>
      <c r="D407" s="5" t="s">
        <v>70</v>
      </c>
      <c r="E407" s="5" t="s">
        <v>327</v>
      </c>
      <c r="F407" s="9">
        <v>104</v>
      </c>
      <c r="G407" s="9">
        <v>1102</v>
      </c>
      <c r="H407" s="5" t="s">
        <v>20</v>
      </c>
      <c r="I407" s="5" t="s">
        <v>1100</v>
      </c>
      <c r="J407" s="12" t="str">
        <f>HYPERLINK("https://www.boe.es/gazeta/dias/1806/12/23/pdfs/GMD-1806-104.pdf#page=2","Abrir facsímil")</f>
        <v>Abrir facsímil</v>
      </c>
      <c r="K407" s="15" t="s">
        <v>22</v>
      </c>
    </row>
    <row r="408" spans="1:11" ht="42" customHeight="1">
      <c r="A408" s="4" t="s">
        <v>1101</v>
      </c>
      <c r="B408" s="5" t="s">
        <v>1101</v>
      </c>
      <c r="C408" s="5" t="s">
        <v>17</v>
      </c>
      <c r="D408" s="5" t="s">
        <v>18</v>
      </c>
      <c r="E408" s="5" t="s">
        <v>580</v>
      </c>
      <c r="F408" s="9">
        <v>23</v>
      </c>
      <c r="G408" s="9">
        <v>218</v>
      </c>
      <c r="H408" s="5" t="s">
        <v>20</v>
      </c>
      <c r="I408" s="5" t="s">
        <v>1102</v>
      </c>
      <c r="J408" s="12" t="str">
        <f>HYPERLINK("https://www.boe.es/gazeta/dias/1806/03/14/pdfs/GMD-1806-23.pdf#page=6","Abrir facsímil")</f>
        <v>Abrir facsímil</v>
      </c>
      <c r="K408" s="15" t="s">
        <v>22</v>
      </c>
    </row>
    <row r="409" spans="1:11" ht="42" customHeight="1">
      <c r="A409" s="4" t="s">
        <v>1103</v>
      </c>
      <c r="B409" s="5" t="s">
        <v>1103</v>
      </c>
      <c r="C409" s="5" t="s">
        <v>69</v>
      </c>
      <c r="D409" s="5" t="s">
        <v>70</v>
      </c>
      <c r="E409" s="5" t="s">
        <v>59</v>
      </c>
      <c r="F409" s="9">
        <v>21</v>
      </c>
      <c r="G409" s="9">
        <v>190</v>
      </c>
      <c r="H409" s="5" t="s">
        <v>20</v>
      </c>
      <c r="I409" s="5" t="s">
        <v>1104</v>
      </c>
      <c r="J409" s="12" t="str">
        <f>HYPERLINK("https://www.boe.es/gazeta/dias/1806/03/07/pdfs/GMD-1806-21.pdf#page=2","Abrir facsímil")</f>
        <v>Abrir facsímil</v>
      </c>
      <c r="K409" s="15" t="s">
        <v>22</v>
      </c>
    </row>
    <row r="410" spans="1:11" ht="42" customHeight="1">
      <c r="A410" s="4" t="s">
        <v>1105</v>
      </c>
      <c r="B410" s="5" t="s">
        <v>1106</v>
      </c>
      <c r="C410" s="5" t="s">
        <v>31</v>
      </c>
      <c r="D410" s="5" t="s">
        <v>32</v>
      </c>
      <c r="E410" s="5" t="s">
        <v>178</v>
      </c>
      <c r="F410" s="9">
        <v>36</v>
      </c>
      <c r="G410" s="9">
        <v>350</v>
      </c>
      <c r="H410" s="5" t="s">
        <v>20</v>
      </c>
      <c r="I410" s="5" t="s">
        <v>1107</v>
      </c>
      <c r="J410" s="12" t="str">
        <f>HYPERLINK("https://www.boe.es/gazeta/dias/1806/04/29/pdfs/GMD-1806-36.pdf#page=6","Abrir facsímil")</f>
        <v>Abrir facsímil</v>
      </c>
      <c r="K410" s="15" t="s">
        <v>22</v>
      </c>
    </row>
    <row r="411" spans="1:11" ht="42" customHeight="1">
      <c r="A411" s="4" t="s">
        <v>1108</v>
      </c>
      <c r="B411" s="5" t="s">
        <v>1109</v>
      </c>
      <c r="C411" s="5" t="s">
        <v>31</v>
      </c>
      <c r="D411" s="5" t="s">
        <v>32</v>
      </c>
      <c r="E411" s="5" t="s">
        <v>93</v>
      </c>
      <c r="F411" s="9">
        <v>72</v>
      </c>
      <c r="G411" s="9">
        <v>749</v>
      </c>
      <c r="H411" s="5" t="s">
        <v>20</v>
      </c>
      <c r="I411" s="5" t="s">
        <v>1110</v>
      </c>
      <c r="J411" s="12" t="str">
        <f>HYPERLINK("https://www.boe.es/gazeta/dias/1806/09/02/pdfs/GMD-1806-72.pdf#page=9","Abrir facsímil")</f>
        <v>Abrir facsímil</v>
      </c>
      <c r="K411" s="15" t="s">
        <v>22</v>
      </c>
    </row>
    <row r="412" spans="1:11" ht="42" customHeight="1">
      <c r="A412" s="4" t="s">
        <v>1111</v>
      </c>
      <c r="B412" s="5" t="s">
        <v>1112</v>
      </c>
      <c r="C412" s="5" t="s">
        <v>69</v>
      </c>
      <c r="D412" s="5" t="s">
        <v>70</v>
      </c>
      <c r="E412" s="5" t="s">
        <v>90</v>
      </c>
      <c r="F412" s="9">
        <v>60</v>
      </c>
      <c r="G412" s="9">
        <v>622</v>
      </c>
      <c r="H412" s="5" t="s">
        <v>20</v>
      </c>
      <c r="I412" s="5" t="s">
        <v>1113</v>
      </c>
      <c r="J412" s="12" t="str">
        <f>HYPERLINK("https://www.boe.es/gazeta/dias/1806/07/22/pdfs/GMD-1806-60.pdf#page=6","Abrir facsímil")</f>
        <v>Abrir facsímil</v>
      </c>
      <c r="K412" s="15" t="s">
        <v>22</v>
      </c>
    </row>
    <row r="413" spans="1:11" ht="42" customHeight="1">
      <c r="A413" s="4" t="s">
        <v>1114</v>
      </c>
      <c r="B413" s="5" t="s">
        <v>1115</v>
      </c>
      <c r="C413" s="5" t="s">
        <v>69</v>
      </c>
      <c r="D413" s="5" t="s">
        <v>70</v>
      </c>
      <c r="E413" s="5" t="s">
        <v>367</v>
      </c>
      <c r="F413" s="9">
        <v>87</v>
      </c>
      <c r="G413" s="9">
        <v>894</v>
      </c>
      <c r="H413" s="5" t="s">
        <v>20</v>
      </c>
      <c r="I413" s="5" t="s">
        <v>1116</v>
      </c>
      <c r="J413" s="12" t="str">
        <f>HYPERLINK("https://www.boe.es/gazeta/dias/1806/10/24/pdfs/GMD-1806-87.pdf#page=2","Abrir facsímil")</f>
        <v>Abrir facsímil</v>
      </c>
      <c r="K413" s="15" t="s">
        <v>22</v>
      </c>
    </row>
    <row r="414" spans="1:11" ht="42" customHeight="1">
      <c r="A414" s="4" t="s">
        <v>1117</v>
      </c>
      <c r="B414" s="5" t="s">
        <v>1118</v>
      </c>
      <c r="C414" s="5" t="s">
        <v>447</v>
      </c>
      <c r="D414" s="5" t="s">
        <v>448</v>
      </c>
      <c r="E414" s="5" t="s">
        <v>304</v>
      </c>
      <c r="F414" s="9">
        <v>47</v>
      </c>
      <c r="G414" s="9">
        <v>483</v>
      </c>
      <c r="H414" s="5" t="s">
        <v>20</v>
      </c>
      <c r="I414" s="5" t="s">
        <v>1119</v>
      </c>
      <c r="J414" s="12" t="str">
        <f>HYPERLINK("https://www.boe.es/gazeta/dias/1806/06/06/pdfs/GMD-C-1806-47.pdf#page=3","Abrir facsímil")</f>
        <v>Abrir facsímil</v>
      </c>
      <c r="K414" s="15" t="s">
        <v>22</v>
      </c>
    </row>
    <row r="415" spans="1:11" ht="42" customHeight="1">
      <c r="A415" s="4" t="s">
        <v>1117</v>
      </c>
      <c r="B415" s="5" t="s">
        <v>1118</v>
      </c>
      <c r="C415" s="5" t="s">
        <v>447</v>
      </c>
      <c r="D415" s="5" t="s">
        <v>448</v>
      </c>
      <c r="E415" s="5" t="s">
        <v>304</v>
      </c>
      <c r="F415" s="9">
        <v>47</v>
      </c>
      <c r="G415" s="9">
        <v>486</v>
      </c>
      <c r="H415" s="5" t="s">
        <v>20</v>
      </c>
      <c r="I415" s="5" t="s">
        <v>1120</v>
      </c>
      <c r="J415" s="12" t="str">
        <f>HYPERLINK("https://www.boe.es/gazeta/dias/1806/06/06/pdfs/GMD-C-1806-47.pdf#page=6","Abrir facsímil")</f>
        <v>Abrir facsímil</v>
      </c>
      <c r="K415" s="15" t="s">
        <v>22</v>
      </c>
    </row>
    <row r="416" spans="1:11" ht="42" customHeight="1">
      <c r="A416" s="4" t="s">
        <v>1121</v>
      </c>
      <c r="B416" s="5" t="s">
        <v>1122</v>
      </c>
      <c r="C416" s="5" t="s">
        <v>31</v>
      </c>
      <c r="D416" s="5" t="s">
        <v>32</v>
      </c>
      <c r="E416" s="5" t="s">
        <v>285</v>
      </c>
      <c r="F416" s="9">
        <v>13</v>
      </c>
      <c r="G416" s="9">
        <v>114</v>
      </c>
      <c r="H416" s="5" t="s">
        <v>20</v>
      </c>
      <c r="I416" s="5" t="s">
        <v>1123</v>
      </c>
      <c r="J416" s="12" t="str">
        <f>HYPERLINK("https://www.boe.es/gazeta/dias/1806/02/07/pdfs/GMD-1806-13.pdf#page=6","Abrir facsímil")</f>
        <v>Abrir facsímil</v>
      </c>
      <c r="K416" s="15" t="s">
        <v>22</v>
      </c>
    </row>
    <row r="417" spans="1:11" ht="42" customHeight="1">
      <c r="A417" s="4" t="s">
        <v>1124</v>
      </c>
      <c r="B417" s="5" t="s">
        <v>1125</v>
      </c>
      <c r="C417" s="5" t="s">
        <v>42</v>
      </c>
      <c r="D417" s="5" t="s">
        <v>43</v>
      </c>
      <c r="E417" s="5" t="s">
        <v>911</v>
      </c>
      <c r="F417" s="9">
        <v>64</v>
      </c>
      <c r="G417" s="9">
        <v>671</v>
      </c>
      <c r="H417" s="5" t="s">
        <v>20</v>
      </c>
      <c r="I417" s="5" t="s">
        <v>1126</v>
      </c>
      <c r="J417" s="12" t="str">
        <f>HYPERLINK("https://www.boe.es/gazeta/dias/1806/08/05/pdfs/GMD-1806-64.pdf#page=7","Abrir facsímil")</f>
        <v>Abrir facsímil</v>
      </c>
      <c r="K417" s="15" t="s">
        <v>22</v>
      </c>
    </row>
    <row r="418" spans="1:11" ht="42" customHeight="1">
      <c r="A418" s="4" t="s">
        <v>1127</v>
      </c>
      <c r="B418" s="5" t="s">
        <v>1127</v>
      </c>
      <c r="C418" s="5" t="s">
        <v>75</v>
      </c>
      <c r="D418" s="5" t="s">
        <v>43</v>
      </c>
      <c r="E418" s="5" t="s">
        <v>870</v>
      </c>
      <c r="F418" s="9">
        <v>35</v>
      </c>
      <c r="G418" s="9">
        <v>343</v>
      </c>
      <c r="H418" s="5" t="s">
        <v>20</v>
      </c>
      <c r="I418" s="5" t="s">
        <v>1128</v>
      </c>
      <c r="J418" s="12" t="str">
        <f>HYPERLINK("https://www.boe.es/gazeta/dias/1806/04/25/pdfs/GMD-1806-35.pdf#page=7","Abrir facsímil")</f>
        <v>Abrir facsímil</v>
      </c>
      <c r="K418" s="15" t="s">
        <v>22</v>
      </c>
    </row>
    <row r="419" spans="1:11" ht="42" customHeight="1">
      <c r="A419" s="4" t="s">
        <v>1129</v>
      </c>
      <c r="B419" s="5" t="s">
        <v>1129</v>
      </c>
      <c r="C419" s="5" t="s">
        <v>75</v>
      </c>
      <c r="D419" s="5" t="s">
        <v>43</v>
      </c>
      <c r="E419" s="5" t="s">
        <v>455</v>
      </c>
      <c r="F419" s="9">
        <v>85</v>
      </c>
      <c r="G419" s="9">
        <v>883</v>
      </c>
      <c r="H419" s="5" t="s">
        <v>20</v>
      </c>
      <c r="I419" s="5" t="s">
        <v>1130</v>
      </c>
      <c r="J419" s="12" t="str">
        <f>HYPERLINK("https://www.boe.es/gazeta/dias/1806/10/17/pdfs/GMD-1806-85.pdf#page=11","Abrir facsímil")</f>
        <v>Abrir facsímil</v>
      </c>
      <c r="K419" s="15" t="s">
        <v>22</v>
      </c>
    </row>
    <row r="420" spans="1:11" ht="42" customHeight="1">
      <c r="A420" s="4" t="s">
        <v>1131</v>
      </c>
      <c r="B420" s="5" t="s">
        <v>1131</v>
      </c>
      <c r="C420" s="5" t="s">
        <v>31</v>
      </c>
      <c r="D420" s="5" t="s">
        <v>32</v>
      </c>
      <c r="E420" s="5" t="s">
        <v>483</v>
      </c>
      <c r="F420" s="9">
        <v>58</v>
      </c>
      <c r="G420" s="9">
        <v>602</v>
      </c>
      <c r="H420" s="5" t="s">
        <v>20</v>
      </c>
      <c r="I420" s="5" t="s">
        <v>1132</v>
      </c>
      <c r="J420" s="12" t="str">
        <f>HYPERLINK("https://www.boe.es/gazeta/dias/1806/07/15/pdfs/GMD-1806-58.pdf#page=6","Abrir facsímil")</f>
        <v>Abrir facsímil</v>
      </c>
      <c r="K420" s="15" t="s">
        <v>22</v>
      </c>
    </row>
    <row r="421" spans="1:11" ht="42" customHeight="1">
      <c r="A421" s="4" t="s">
        <v>1133</v>
      </c>
      <c r="B421" s="5" t="s">
        <v>1133</v>
      </c>
      <c r="C421" s="5" t="s">
        <v>17</v>
      </c>
      <c r="D421" s="5" t="s">
        <v>18</v>
      </c>
      <c r="E421" s="5" t="s">
        <v>55</v>
      </c>
      <c r="F421" s="9">
        <v>20</v>
      </c>
      <c r="G421" s="9">
        <v>183</v>
      </c>
      <c r="H421" s="5" t="s">
        <v>20</v>
      </c>
      <c r="I421" s="5" t="s">
        <v>1134</v>
      </c>
      <c r="J421" s="12" t="str">
        <f>HYPERLINK("https://www.boe.es/gazeta/dias/1806/03/04/pdfs/GMD-1806-20.pdf#page=7","Abrir facsímil")</f>
        <v>Abrir facsímil</v>
      </c>
      <c r="K421" s="15" t="s">
        <v>22</v>
      </c>
    </row>
    <row r="422" spans="1:11" ht="42" customHeight="1">
      <c r="A422" s="4" t="s">
        <v>1135</v>
      </c>
      <c r="B422" s="5" t="s">
        <v>1135</v>
      </c>
      <c r="C422" s="5" t="s">
        <v>17</v>
      </c>
      <c r="D422" s="5" t="s">
        <v>18</v>
      </c>
      <c r="E422" s="5" t="s">
        <v>213</v>
      </c>
      <c r="F422" s="9">
        <v>73</v>
      </c>
      <c r="G422" s="9">
        <v>757</v>
      </c>
      <c r="H422" s="5" t="s">
        <v>20</v>
      </c>
      <c r="I422" s="5" t="s">
        <v>1136</v>
      </c>
      <c r="J422" s="12" t="str">
        <f>HYPERLINK("https://www.boe.es/gazeta/dias/1806/09/05/pdfs/GMD-1806-73.pdf#page=5","Abrir facsímil")</f>
        <v>Abrir facsímil</v>
      </c>
      <c r="K422" s="15" t="s">
        <v>22</v>
      </c>
    </row>
    <row r="423" spans="1:11" ht="42" customHeight="1">
      <c r="A423" s="4" t="s">
        <v>1137</v>
      </c>
      <c r="B423" s="5" t="s">
        <v>1137</v>
      </c>
      <c r="C423" s="5" t="s">
        <v>31</v>
      </c>
      <c r="D423" s="5" t="s">
        <v>32</v>
      </c>
      <c r="E423" s="5" t="s">
        <v>185</v>
      </c>
      <c r="F423" s="9">
        <v>46</v>
      </c>
      <c r="G423" s="9">
        <v>470</v>
      </c>
      <c r="H423" s="5" t="s">
        <v>20</v>
      </c>
      <c r="I423" s="5" t="s">
        <v>1138</v>
      </c>
      <c r="J423" s="12" t="str">
        <f>HYPERLINK("https://www.boe.es/gazeta/dias/1806/06/03/pdfs/GMD-1806-46.pdf#page=10","Abrir facsímil")</f>
        <v>Abrir facsímil</v>
      </c>
      <c r="K423" s="15" t="s">
        <v>22</v>
      </c>
    </row>
    <row r="424" spans="1:11" ht="42" customHeight="1">
      <c r="A424" s="4" t="s">
        <v>1139</v>
      </c>
      <c r="B424" s="5" t="s">
        <v>1139</v>
      </c>
      <c r="C424" s="5" t="s">
        <v>31</v>
      </c>
      <c r="D424" s="5" t="s">
        <v>32</v>
      </c>
      <c r="E424" s="5" t="s">
        <v>494</v>
      </c>
      <c r="F424" s="9">
        <v>69</v>
      </c>
      <c r="G424" s="9">
        <v>722</v>
      </c>
      <c r="H424" s="5" t="s">
        <v>20</v>
      </c>
      <c r="I424" s="5" t="s">
        <v>1140</v>
      </c>
      <c r="J424" s="12" t="str">
        <f>HYPERLINK("https://www.boe.es/gazeta/dias/1806/08/22/pdfs/GMD-1806-69.pdf#page=10","Abrir facsímil")</f>
        <v>Abrir facsímil</v>
      </c>
      <c r="K424" s="15" t="s">
        <v>22</v>
      </c>
    </row>
    <row r="425" spans="1:11" ht="42" customHeight="1">
      <c r="A425" s="4" t="s">
        <v>1141</v>
      </c>
      <c r="B425" s="5" t="s">
        <v>1141</v>
      </c>
      <c r="C425" s="5" t="s">
        <v>31</v>
      </c>
      <c r="D425" s="5" t="s">
        <v>32</v>
      </c>
      <c r="E425" s="5" t="s">
        <v>24</v>
      </c>
      <c r="F425" s="9">
        <v>32</v>
      </c>
      <c r="G425" s="9">
        <v>315</v>
      </c>
      <c r="H425" s="5" t="s">
        <v>20</v>
      </c>
      <c r="I425" s="5" t="s">
        <v>1142</v>
      </c>
      <c r="J425" s="12" t="str">
        <f>HYPERLINK("https://www.boe.es/gazeta/dias/1806/04/15/pdfs/GMD-1806-32.pdf#page=7","Abrir facsímil")</f>
        <v>Abrir facsímil</v>
      </c>
      <c r="K425" s="15" t="s">
        <v>22</v>
      </c>
    </row>
    <row r="426" spans="1:11" ht="42" customHeight="1">
      <c r="A426" s="4" t="s">
        <v>1143</v>
      </c>
      <c r="B426" s="5" t="s">
        <v>1144</v>
      </c>
      <c r="C426" s="5" t="s">
        <v>69</v>
      </c>
      <c r="D426" s="5" t="s">
        <v>70</v>
      </c>
      <c r="E426" s="5" t="s">
        <v>455</v>
      </c>
      <c r="F426" s="9">
        <v>85</v>
      </c>
      <c r="G426" s="9">
        <v>876</v>
      </c>
      <c r="H426" s="5" t="s">
        <v>20</v>
      </c>
      <c r="I426" s="5" t="s">
        <v>1145</v>
      </c>
      <c r="J426" s="12" t="str">
        <f>HYPERLINK("https://www.boe.es/gazeta/dias/1806/10/17/pdfs/GMD-1806-85.pdf#page=4","Abrir facsímil")</f>
        <v>Abrir facsímil</v>
      </c>
      <c r="K426" s="15" t="s">
        <v>22</v>
      </c>
    </row>
    <row r="427" spans="1:11" ht="42" customHeight="1">
      <c r="A427" s="4" t="s">
        <v>1146</v>
      </c>
      <c r="B427" s="5" t="s">
        <v>1147</v>
      </c>
      <c r="C427" s="5" t="s">
        <v>17</v>
      </c>
      <c r="D427" s="5" t="s">
        <v>18</v>
      </c>
      <c r="E427" s="5" t="s">
        <v>188</v>
      </c>
      <c r="F427" s="9">
        <v>2</v>
      </c>
      <c r="G427" s="9">
        <v>17</v>
      </c>
      <c r="H427" s="5" t="s">
        <v>20</v>
      </c>
      <c r="I427" s="5" t="s">
        <v>1148</v>
      </c>
      <c r="J427" s="12" t="str">
        <f>HYPERLINK("https://www.boe.es/gazeta/dias/1806/01/07/pdfs/GMD-1806-2.pdf#page=5","Abrir facsímil")</f>
        <v>Abrir facsímil</v>
      </c>
      <c r="K427" s="15" t="s">
        <v>22</v>
      </c>
    </row>
    <row r="428" spans="1:11" ht="42" customHeight="1">
      <c r="A428" s="4" t="s">
        <v>1146</v>
      </c>
      <c r="B428" s="5" t="s">
        <v>1147</v>
      </c>
      <c r="C428" s="5" t="s">
        <v>706</v>
      </c>
      <c r="D428" s="5" t="s">
        <v>707</v>
      </c>
      <c r="E428" s="5" t="s">
        <v>195</v>
      </c>
      <c r="F428" s="9" t="s">
        <v>708</v>
      </c>
      <c r="G428" s="9">
        <v>41</v>
      </c>
      <c r="H428" s="5" t="s">
        <v>20</v>
      </c>
      <c r="I428" s="5" t="s">
        <v>1149</v>
      </c>
      <c r="J428" s="12" t="str">
        <f>HYPERLINK("https://www.boe.es/gazeta/dias/1806/01/14/pdfs/GMD-1806-5E.pdf#page=1","Abrir facsímil")</f>
        <v>Abrir facsímil</v>
      </c>
      <c r="K428" s="15" t="s">
        <v>22</v>
      </c>
    </row>
    <row r="429" spans="1:11" ht="42" customHeight="1">
      <c r="A429" s="4" t="s">
        <v>1146</v>
      </c>
      <c r="B429" s="5" t="s">
        <v>1147</v>
      </c>
      <c r="C429" s="5" t="s">
        <v>69</v>
      </c>
      <c r="D429" s="5" t="s">
        <v>70</v>
      </c>
      <c r="E429" s="5" t="s">
        <v>113</v>
      </c>
      <c r="F429" s="9">
        <v>28</v>
      </c>
      <c r="G429" s="9">
        <v>274</v>
      </c>
      <c r="H429" s="5" t="s">
        <v>20</v>
      </c>
      <c r="I429" s="5" t="s">
        <v>1150</v>
      </c>
      <c r="J429" s="12" t="str">
        <f>HYPERLINK("https://www.boe.es/gazeta/dias/1806/04/01/pdfs/GMD-1806-28.pdf#page=2","Abrir facsímil")</f>
        <v>Abrir facsímil</v>
      </c>
      <c r="K429" s="15" t="s">
        <v>22</v>
      </c>
    </row>
    <row r="430" spans="1:11" ht="42" customHeight="1">
      <c r="A430" s="4" t="s">
        <v>1146</v>
      </c>
      <c r="B430" s="5" t="s">
        <v>1147</v>
      </c>
      <c r="C430" s="5" t="s">
        <v>69</v>
      </c>
      <c r="D430" s="5" t="s">
        <v>70</v>
      </c>
      <c r="E430" s="5" t="s">
        <v>540</v>
      </c>
      <c r="F430" s="9">
        <v>51</v>
      </c>
      <c r="G430" s="9">
        <v>523</v>
      </c>
      <c r="H430" s="5" t="s">
        <v>20</v>
      </c>
      <c r="I430" s="5" t="s">
        <v>1151</v>
      </c>
      <c r="J430" s="12" t="str">
        <f>HYPERLINK("https://www.boe.es/gazeta/dias/1806/06/20/pdfs/GMD-1806-51.pdf#page=3","Abrir facsímil")</f>
        <v>Abrir facsímil</v>
      </c>
      <c r="K430" s="15" t="s">
        <v>22</v>
      </c>
    </row>
    <row r="431" spans="1:11" ht="42" customHeight="1">
      <c r="A431" s="4" t="s">
        <v>1146</v>
      </c>
      <c r="B431" s="5" t="s">
        <v>1147</v>
      </c>
      <c r="C431" s="5" t="s">
        <v>31</v>
      </c>
      <c r="D431" s="5" t="s">
        <v>32</v>
      </c>
      <c r="E431" s="5" t="s">
        <v>540</v>
      </c>
      <c r="F431" s="9">
        <v>51</v>
      </c>
      <c r="G431" s="9">
        <v>529</v>
      </c>
      <c r="H431" s="5" t="s">
        <v>20</v>
      </c>
      <c r="I431" s="5" t="s">
        <v>1152</v>
      </c>
      <c r="J431" s="12" t="str">
        <f>HYPERLINK("https://www.boe.es/gazeta/dias/1806/06/20/pdfs/GMD-1806-51.pdf#page=9","Abrir facsímil")</f>
        <v>Abrir facsímil</v>
      </c>
      <c r="K431" s="15" t="s">
        <v>22</v>
      </c>
    </row>
    <row r="432" spans="1:11" ht="42" customHeight="1">
      <c r="A432" s="4" t="s">
        <v>1146</v>
      </c>
      <c r="B432" s="5" t="s">
        <v>1147</v>
      </c>
      <c r="C432" s="5" t="s">
        <v>69</v>
      </c>
      <c r="D432" s="5" t="s">
        <v>70</v>
      </c>
      <c r="E432" s="5" t="s">
        <v>716</v>
      </c>
      <c r="F432" s="9">
        <v>56</v>
      </c>
      <c r="G432" s="9">
        <v>581</v>
      </c>
      <c r="H432" s="5" t="s">
        <v>20</v>
      </c>
      <c r="I432" s="5" t="s">
        <v>1153</v>
      </c>
      <c r="J432" s="12" t="str">
        <f>HYPERLINK("https://www.boe.es/gazeta/dias/1806/07/08/pdfs/GMD-1806-56.pdf#page=5","Abrir facsímil")</f>
        <v>Abrir facsímil</v>
      </c>
      <c r="K432" s="15" t="s">
        <v>22</v>
      </c>
    </row>
    <row r="433" spans="1:11" ht="42" customHeight="1">
      <c r="A433" s="4" t="s">
        <v>1146</v>
      </c>
      <c r="B433" s="5" t="s">
        <v>1147</v>
      </c>
      <c r="C433" s="5" t="s">
        <v>31</v>
      </c>
      <c r="D433" s="5" t="s">
        <v>32</v>
      </c>
      <c r="E433" s="5" t="s">
        <v>213</v>
      </c>
      <c r="F433" s="9">
        <v>73</v>
      </c>
      <c r="G433" s="9">
        <v>759</v>
      </c>
      <c r="H433" s="5" t="s">
        <v>20</v>
      </c>
      <c r="I433" s="5" t="s">
        <v>1154</v>
      </c>
      <c r="J433" s="12" t="str">
        <f>HYPERLINK("https://www.boe.es/gazeta/dias/1806/09/05/pdfs/GMD-1806-73.pdf#page=7","Abrir facsímil")</f>
        <v>Abrir facsímil</v>
      </c>
      <c r="K433" s="15" t="s">
        <v>22</v>
      </c>
    </row>
    <row r="434" spans="1:11" ht="42" customHeight="1">
      <c r="A434" s="4" t="s">
        <v>1146</v>
      </c>
      <c r="B434" s="5" t="s">
        <v>1147</v>
      </c>
      <c r="C434" s="5" t="s">
        <v>69</v>
      </c>
      <c r="D434" s="5" t="s">
        <v>70</v>
      </c>
      <c r="E434" s="5" t="s">
        <v>367</v>
      </c>
      <c r="F434" s="9">
        <v>87</v>
      </c>
      <c r="G434" s="9">
        <v>894</v>
      </c>
      <c r="H434" s="5" t="s">
        <v>20</v>
      </c>
      <c r="I434" s="5" t="s">
        <v>1155</v>
      </c>
      <c r="J434" s="12" t="str">
        <f>HYPERLINK("https://www.boe.es/gazeta/dias/1806/10/24/pdfs/GMD-1806-87.pdf#page=2","Abrir facsímil")</f>
        <v>Abrir facsímil</v>
      </c>
      <c r="K434" s="15" t="s">
        <v>22</v>
      </c>
    </row>
    <row r="435" spans="1:11" ht="42" customHeight="1">
      <c r="A435" s="4" t="s">
        <v>1146</v>
      </c>
      <c r="B435" s="5" t="s">
        <v>1147</v>
      </c>
      <c r="C435" s="5" t="s">
        <v>31</v>
      </c>
      <c r="D435" s="5" t="s">
        <v>32</v>
      </c>
      <c r="E435" s="5" t="s">
        <v>367</v>
      </c>
      <c r="F435" s="9">
        <v>87</v>
      </c>
      <c r="G435" s="9">
        <v>899</v>
      </c>
      <c r="H435" s="5" t="s">
        <v>20</v>
      </c>
      <c r="I435" s="5" t="s">
        <v>1156</v>
      </c>
      <c r="J435" s="12" t="str">
        <f>HYPERLINK("https://www.boe.es/gazeta/dias/1806/10/24/pdfs/GMD-1806-87.pdf#page=7","Abrir facsímil")</f>
        <v>Abrir facsímil</v>
      </c>
      <c r="K435" s="15" t="s">
        <v>22</v>
      </c>
    </row>
    <row r="436" spans="1:11" ht="42" customHeight="1">
      <c r="A436" s="4" t="s">
        <v>1146</v>
      </c>
      <c r="B436" s="5" t="s">
        <v>1147</v>
      </c>
      <c r="C436" s="5" t="s">
        <v>69</v>
      </c>
      <c r="D436" s="5" t="s">
        <v>70</v>
      </c>
      <c r="E436" s="5" t="s">
        <v>38</v>
      </c>
      <c r="F436" s="9">
        <v>92</v>
      </c>
      <c r="G436" s="9">
        <v>956</v>
      </c>
      <c r="H436" s="5" t="s">
        <v>20</v>
      </c>
      <c r="I436" s="5" t="s">
        <v>1157</v>
      </c>
      <c r="J436" s="12" t="str">
        <f>HYPERLINK("https://www.boe.es/gazeta/dias/1806/11/11/pdfs/GMD-1806-92.pdf#page=8","Abrir facsímil")</f>
        <v>Abrir facsímil</v>
      </c>
      <c r="K436" s="15" t="s">
        <v>22</v>
      </c>
    </row>
    <row r="437" spans="1:11" ht="42" customHeight="1">
      <c r="A437" s="4" t="s">
        <v>1146</v>
      </c>
      <c r="B437" s="5" t="s">
        <v>1147</v>
      </c>
      <c r="C437" s="5" t="s">
        <v>69</v>
      </c>
      <c r="D437" s="5" t="s">
        <v>70</v>
      </c>
      <c r="E437" s="5" t="s">
        <v>657</v>
      </c>
      <c r="F437" s="9">
        <v>96</v>
      </c>
      <c r="G437" s="9">
        <v>1016</v>
      </c>
      <c r="H437" s="5" t="s">
        <v>20</v>
      </c>
      <c r="I437" s="5" t="s">
        <v>1158</v>
      </c>
      <c r="J437" s="12" t="str">
        <f>HYPERLINK("https://www.boe.es/gazeta/dias/1806/11/25/pdfs/GMD-1806-96.pdf#page=8","Abrir facsímil")</f>
        <v>Abrir facsímil</v>
      </c>
      <c r="K437" s="15" t="s">
        <v>22</v>
      </c>
    </row>
    <row r="438" spans="1:11" ht="42" customHeight="1">
      <c r="A438" s="4" t="s">
        <v>1159</v>
      </c>
      <c r="B438" s="5" t="s">
        <v>1160</v>
      </c>
      <c r="C438" s="5" t="s">
        <v>17</v>
      </c>
      <c r="D438" s="5" t="s">
        <v>18</v>
      </c>
      <c r="E438" s="5" t="s">
        <v>689</v>
      </c>
      <c r="F438" s="9">
        <v>37</v>
      </c>
      <c r="G438" s="9">
        <v>361</v>
      </c>
      <c r="H438" s="5" t="s">
        <v>20</v>
      </c>
      <c r="I438" s="5" t="s">
        <v>1161</v>
      </c>
      <c r="J438" s="12" t="str">
        <f>HYPERLINK("https://www.boe.es/gazeta/dias/1806/05/02/pdfs/GMD-1806-37.pdf#page=9","Abrir facsímil")</f>
        <v>Abrir facsímil</v>
      </c>
      <c r="K438" s="15" t="s">
        <v>22</v>
      </c>
    </row>
    <row r="439" spans="1:11" ht="42" customHeight="1">
      <c r="A439" s="4" t="s">
        <v>1162</v>
      </c>
      <c r="B439" s="5" t="s">
        <v>1163</v>
      </c>
      <c r="C439" s="5" t="s">
        <v>42</v>
      </c>
      <c r="D439" s="5" t="s">
        <v>43</v>
      </c>
      <c r="E439" s="5" t="s">
        <v>383</v>
      </c>
      <c r="F439" s="9">
        <v>54</v>
      </c>
      <c r="G439" s="9">
        <v>562</v>
      </c>
      <c r="H439" s="5" t="s">
        <v>20</v>
      </c>
      <c r="I439" s="5" t="s">
        <v>1164</v>
      </c>
      <c r="J439" s="12" t="str">
        <f>HYPERLINK("https://www.boe.es/gazeta/dias/1806/07/01/pdfs/GMD-1806-54.pdf#page=6","Abrir facsímil")</f>
        <v>Abrir facsímil</v>
      </c>
      <c r="K439" s="15" t="s">
        <v>22</v>
      </c>
    </row>
    <row r="440" spans="1:11" ht="42" customHeight="1">
      <c r="A440" s="4" t="s">
        <v>1165</v>
      </c>
      <c r="B440" s="5" t="s">
        <v>1165</v>
      </c>
      <c r="C440" s="5" t="s">
        <v>36</v>
      </c>
      <c r="D440" s="5" t="s">
        <v>37</v>
      </c>
      <c r="E440" s="5" t="s">
        <v>103</v>
      </c>
      <c r="F440" s="9">
        <v>61</v>
      </c>
      <c r="G440" s="9">
        <v>639</v>
      </c>
      <c r="H440" s="5" t="s">
        <v>20</v>
      </c>
      <c r="I440" s="5" t="s">
        <v>1166</v>
      </c>
      <c r="J440" s="12" t="str">
        <f>HYPERLINK("https://www.boe.es/gazeta/dias/1806/07/25/pdfs/GMD-1806-61.pdf#page=11","Abrir facsímil")</f>
        <v>Abrir facsímil</v>
      </c>
      <c r="K440" s="15" t="s">
        <v>22</v>
      </c>
    </row>
    <row r="441" spans="1:11" ht="42" customHeight="1">
      <c r="A441" s="4" t="s">
        <v>1167</v>
      </c>
      <c r="B441" s="5" t="s">
        <v>1167</v>
      </c>
      <c r="C441" s="5" t="s">
        <v>31</v>
      </c>
      <c r="D441" s="5" t="s">
        <v>32</v>
      </c>
      <c r="E441" s="5" t="s">
        <v>144</v>
      </c>
      <c r="F441" s="9">
        <v>79</v>
      </c>
      <c r="G441" s="9">
        <v>818</v>
      </c>
      <c r="H441" s="5" t="s">
        <v>20</v>
      </c>
      <c r="I441" s="5" t="s">
        <v>1168</v>
      </c>
      <c r="J441" s="12" t="str">
        <f>HYPERLINK("https://www.boe.es/gazeta/dias/1806/09/26/pdfs/GMD-1806-79.pdf#page=10","Abrir facsímil")</f>
        <v>Abrir facsímil</v>
      </c>
      <c r="K441" s="15" t="s">
        <v>22</v>
      </c>
    </row>
    <row r="442" spans="1:11" ht="42" customHeight="1">
      <c r="A442" s="4" t="s">
        <v>1169</v>
      </c>
      <c r="B442" s="5" t="s">
        <v>1169</v>
      </c>
      <c r="C442" s="5" t="s">
        <v>31</v>
      </c>
      <c r="D442" s="5" t="s">
        <v>32</v>
      </c>
      <c r="E442" s="5" t="s">
        <v>86</v>
      </c>
      <c r="F442" s="9">
        <v>53</v>
      </c>
      <c r="G442" s="9">
        <v>552</v>
      </c>
      <c r="H442" s="5" t="s">
        <v>20</v>
      </c>
      <c r="I442" s="5" t="s">
        <v>1170</v>
      </c>
      <c r="J442" s="12" t="str">
        <f>HYPERLINK("https://www.boe.es/gazeta/dias/1806/06/27/pdfs/GMD-1806-53.pdf#page=8","Abrir facsímil")</f>
        <v>Abrir facsímil</v>
      </c>
      <c r="K442" s="15" t="s">
        <v>22</v>
      </c>
    </row>
    <row r="443" spans="1:11" ht="42" customHeight="1">
      <c r="A443" s="4" t="s">
        <v>1171</v>
      </c>
      <c r="B443" s="5" t="s">
        <v>1171</v>
      </c>
      <c r="C443" s="5" t="s">
        <v>31</v>
      </c>
      <c r="D443" s="5" t="s">
        <v>32</v>
      </c>
      <c r="E443" s="5" t="s">
        <v>82</v>
      </c>
      <c r="F443" s="9">
        <v>48</v>
      </c>
      <c r="G443" s="9">
        <v>496</v>
      </c>
      <c r="H443" s="5" t="s">
        <v>20</v>
      </c>
      <c r="I443" s="5" t="s">
        <v>1172</v>
      </c>
      <c r="J443" s="12" t="str">
        <f>HYPERLINK("https://www.boe.es/gazeta/dias/1806/06/10/pdfs/GMD-1806-48.pdf#page=8","Abrir facsímil")</f>
        <v>Abrir facsímil</v>
      </c>
      <c r="K443" s="15" t="s">
        <v>22</v>
      </c>
    </row>
    <row r="444" spans="1:11" ht="42" customHeight="1">
      <c r="A444" s="4" t="s">
        <v>1173</v>
      </c>
      <c r="B444" s="5" t="s">
        <v>1174</v>
      </c>
      <c r="C444" s="5" t="s">
        <v>31</v>
      </c>
      <c r="D444" s="5" t="s">
        <v>32</v>
      </c>
      <c r="E444" s="5" t="s">
        <v>327</v>
      </c>
      <c r="F444" s="9">
        <v>104</v>
      </c>
      <c r="G444" s="9">
        <v>1110</v>
      </c>
      <c r="H444" s="5" t="s">
        <v>20</v>
      </c>
      <c r="I444" s="5" t="s">
        <v>1175</v>
      </c>
      <c r="J444" s="12" t="str">
        <f>HYPERLINK("https://www.boe.es/gazeta/dias/1806/12/23/pdfs/GMD-1806-104.pdf#page=10","Abrir facsímil")</f>
        <v>Abrir facsímil</v>
      </c>
      <c r="K444" s="15" t="s">
        <v>22</v>
      </c>
    </row>
    <row r="445" spans="1:11" ht="42" customHeight="1">
      <c r="A445" s="4" t="s">
        <v>1176</v>
      </c>
      <c r="B445" s="5" t="s">
        <v>1177</v>
      </c>
      <c r="C445" s="5" t="s">
        <v>17</v>
      </c>
      <c r="D445" s="5" t="s">
        <v>18</v>
      </c>
      <c r="E445" s="5" t="s">
        <v>188</v>
      </c>
      <c r="F445" s="9">
        <v>2</v>
      </c>
      <c r="G445" s="9">
        <v>19</v>
      </c>
      <c r="H445" s="5" t="s">
        <v>20</v>
      </c>
      <c r="I445" s="5" t="s">
        <v>1178</v>
      </c>
      <c r="J445" s="12" t="str">
        <f>HYPERLINK("https://www.boe.es/gazeta/dias/1806/01/07/pdfs/GMD-1806-2.pdf#page=7","Abrir facsímil")</f>
        <v>Abrir facsímil</v>
      </c>
      <c r="K445" s="15" t="s">
        <v>22</v>
      </c>
    </row>
    <row r="446" spans="1:11" ht="42" customHeight="1">
      <c r="A446" s="4" t="s">
        <v>1179</v>
      </c>
      <c r="B446" s="5" t="s">
        <v>1180</v>
      </c>
      <c r="C446" s="5" t="s">
        <v>69</v>
      </c>
      <c r="D446" s="5" t="s">
        <v>70</v>
      </c>
      <c r="E446" s="5" t="s">
        <v>816</v>
      </c>
      <c r="F446" s="9">
        <v>86</v>
      </c>
      <c r="G446" s="9">
        <v>887</v>
      </c>
      <c r="H446" s="5" t="s">
        <v>20</v>
      </c>
      <c r="I446" s="5" t="s">
        <v>1181</v>
      </c>
      <c r="J446" s="12" t="str">
        <f>HYPERLINK("https://www.boe.es/gazeta/dias/1806/10/21/pdfs/GMD-1806-86.pdf#page=3","Abrir facsímil")</f>
        <v>Abrir facsímil</v>
      </c>
      <c r="K446" s="15" t="s">
        <v>22</v>
      </c>
    </row>
    <row r="447" spans="1:11" ht="42" customHeight="1">
      <c r="A447" s="4" t="s">
        <v>1182</v>
      </c>
      <c r="B447" s="5" t="s">
        <v>1183</v>
      </c>
      <c r="C447" s="5" t="s">
        <v>69</v>
      </c>
      <c r="D447" s="5" t="s">
        <v>70</v>
      </c>
      <c r="E447" s="5" t="s">
        <v>367</v>
      </c>
      <c r="F447" s="9">
        <v>87</v>
      </c>
      <c r="G447" s="9">
        <v>893</v>
      </c>
      <c r="H447" s="5" t="s">
        <v>20</v>
      </c>
      <c r="I447" s="5" t="s">
        <v>1184</v>
      </c>
      <c r="J447" s="12" t="str">
        <f>HYPERLINK("https://www.boe.es/gazeta/dias/1806/10/24/pdfs/GMD-1806-87.pdf#page=1","Abrir facsímil")</f>
        <v>Abrir facsímil</v>
      </c>
      <c r="K447" s="15" t="s">
        <v>22</v>
      </c>
    </row>
    <row r="448" spans="1:11" ht="42" customHeight="1">
      <c r="A448" s="4" t="s">
        <v>1182</v>
      </c>
      <c r="B448" s="5" t="s">
        <v>1183</v>
      </c>
      <c r="C448" s="5" t="s">
        <v>31</v>
      </c>
      <c r="D448" s="5" t="s">
        <v>32</v>
      </c>
      <c r="E448" s="5" t="s">
        <v>367</v>
      </c>
      <c r="F448" s="9">
        <v>87</v>
      </c>
      <c r="G448" s="9">
        <v>894</v>
      </c>
      <c r="H448" s="5" t="s">
        <v>20</v>
      </c>
      <c r="I448" s="5" t="s">
        <v>1185</v>
      </c>
      <c r="J448" s="12" t="str">
        <f>HYPERLINK("https://www.boe.es/gazeta/dias/1806/10/24/pdfs/GMD-1806-87.pdf#page=2","Abrir facsímil")</f>
        <v>Abrir facsímil</v>
      </c>
      <c r="K448" s="15" t="s">
        <v>22</v>
      </c>
    </row>
    <row r="449" spans="1:11" ht="42" customHeight="1">
      <c r="A449" s="4" t="s">
        <v>1186</v>
      </c>
      <c r="B449" s="5" t="s">
        <v>1187</v>
      </c>
      <c r="C449" s="5" t="s">
        <v>31</v>
      </c>
      <c r="D449" s="5" t="s">
        <v>32</v>
      </c>
      <c r="E449" s="5" t="s">
        <v>202</v>
      </c>
      <c r="F449" s="9">
        <v>30</v>
      </c>
      <c r="G449" s="9">
        <v>290</v>
      </c>
      <c r="H449" s="5" t="s">
        <v>20</v>
      </c>
      <c r="I449" s="5" t="s">
        <v>1188</v>
      </c>
      <c r="J449" s="12" t="str">
        <f>HYPERLINK("https://www.boe.es/gazeta/dias/1806/04/08/pdfs/GMD-1806-30.pdf#page=2","Abrir facsímil")</f>
        <v>Abrir facsímil</v>
      </c>
      <c r="K449" s="15" t="s">
        <v>22</v>
      </c>
    </row>
    <row r="450" spans="1:11" ht="42" customHeight="1">
      <c r="A450" s="4" t="s">
        <v>1189</v>
      </c>
      <c r="B450" s="5" t="s">
        <v>1190</v>
      </c>
      <c r="C450" s="5" t="s">
        <v>69</v>
      </c>
      <c r="D450" s="5" t="s">
        <v>70</v>
      </c>
      <c r="E450" s="5" t="s">
        <v>100</v>
      </c>
      <c r="F450" s="9">
        <v>7</v>
      </c>
      <c r="G450" s="9">
        <v>59</v>
      </c>
      <c r="H450" s="5" t="s">
        <v>20</v>
      </c>
      <c r="I450" s="5" t="s">
        <v>1191</v>
      </c>
      <c r="J450" s="12" t="str">
        <f>HYPERLINK("https://www.boe.es/gazeta/dias/1806/01/21/pdfs/GMD-1806-7.pdf#page=3","Abrir facsímil")</f>
        <v>Abrir facsímil</v>
      </c>
      <c r="K450" s="15" t="s">
        <v>22</v>
      </c>
    </row>
    <row r="451" spans="1:11" ht="42" customHeight="1">
      <c r="A451" s="4" t="s">
        <v>1189</v>
      </c>
      <c r="B451" s="5" t="s">
        <v>1190</v>
      </c>
      <c r="C451" s="5" t="s">
        <v>69</v>
      </c>
      <c r="D451" s="5" t="s">
        <v>70</v>
      </c>
      <c r="E451" s="5" t="s">
        <v>474</v>
      </c>
      <c r="F451" s="9">
        <v>10</v>
      </c>
      <c r="G451" s="9">
        <v>85</v>
      </c>
      <c r="H451" s="5" t="s">
        <v>20</v>
      </c>
      <c r="I451" s="5" t="s">
        <v>1192</v>
      </c>
      <c r="J451" s="12" t="str">
        <f>HYPERLINK("https://www.boe.es/gazeta/dias/1806/01/28/pdfs/GMD-1806-10.pdf#page=1","Abrir facsímil")</f>
        <v>Abrir facsímil</v>
      </c>
      <c r="K451" s="15" t="s">
        <v>22</v>
      </c>
    </row>
    <row r="452" spans="1:11" ht="42" customHeight="1">
      <c r="A452" s="4" t="s">
        <v>1189</v>
      </c>
      <c r="B452" s="5" t="s">
        <v>1190</v>
      </c>
      <c r="C452" s="5" t="s">
        <v>69</v>
      </c>
      <c r="D452" s="5" t="s">
        <v>70</v>
      </c>
      <c r="E452" s="5" t="s">
        <v>474</v>
      </c>
      <c r="F452" s="9">
        <v>10</v>
      </c>
      <c r="G452" s="9">
        <v>86</v>
      </c>
      <c r="H452" s="5" t="s">
        <v>20</v>
      </c>
      <c r="I452" s="5" t="s">
        <v>1193</v>
      </c>
      <c r="J452" s="12" t="str">
        <f>HYPERLINK("https://www.boe.es/gazeta/dias/1806/01/28/pdfs/GMD-1806-10.pdf#page=2","Abrir facsímil")</f>
        <v>Abrir facsímil</v>
      </c>
      <c r="K452" s="15" t="s">
        <v>22</v>
      </c>
    </row>
    <row r="453" spans="1:11" ht="42" customHeight="1">
      <c r="A453" s="4" t="s">
        <v>1189</v>
      </c>
      <c r="B453" s="5" t="s">
        <v>1190</v>
      </c>
      <c r="C453" s="5" t="s">
        <v>69</v>
      </c>
      <c r="D453" s="5" t="s">
        <v>70</v>
      </c>
      <c r="E453" s="5" t="s">
        <v>430</v>
      </c>
      <c r="F453" s="9">
        <v>12</v>
      </c>
      <c r="G453" s="9">
        <v>105</v>
      </c>
      <c r="H453" s="5" t="s">
        <v>20</v>
      </c>
      <c r="I453" s="5" t="s">
        <v>1194</v>
      </c>
      <c r="J453" s="12" t="str">
        <f>HYPERLINK("https://www.boe.es/gazeta/dias/1806/02/04/pdfs/GMD-1806-12.pdf#page=5","Abrir facsímil")</f>
        <v>Abrir facsímil</v>
      </c>
      <c r="K453" s="15" t="s">
        <v>22</v>
      </c>
    </row>
    <row r="454" spans="1:11" ht="42" customHeight="1">
      <c r="A454" s="4" t="s">
        <v>1189</v>
      </c>
      <c r="B454" s="5" t="s">
        <v>1190</v>
      </c>
      <c r="C454" s="5" t="s">
        <v>75</v>
      </c>
      <c r="D454" s="5" t="s">
        <v>43</v>
      </c>
      <c r="E454" s="5" t="s">
        <v>55</v>
      </c>
      <c r="F454" s="9">
        <v>20</v>
      </c>
      <c r="G454" s="9">
        <v>183</v>
      </c>
      <c r="H454" s="5" t="s">
        <v>20</v>
      </c>
      <c r="I454" s="5" t="s">
        <v>1195</v>
      </c>
      <c r="J454" s="12" t="str">
        <f>HYPERLINK("https://www.boe.es/gazeta/dias/1806/03/04/pdfs/GMD-1806-20.pdf#page=7","Abrir facsímil")</f>
        <v>Abrir facsímil</v>
      </c>
      <c r="K454" s="15" t="s">
        <v>22</v>
      </c>
    </row>
    <row r="455" spans="1:11" ht="42" customHeight="1">
      <c r="A455" s="4" t="s">
        <v>1189</v>
      </c>
      <c r="B455" s="5" t="s">
        <v>1190</v>
      </c>
      <c r="C455" s="5" t="s">
        <v>17</v>
      </c>
      <c r="D455" s="5" t="s">
        <v>18</v>
      </c>
      <c r="E455" s="5" t="s">
        <v>220</v>
      </c>
      <c r="F455" s="9">
        <v>24</v>
      </c>
      <c r="G455" s="9">
        <v>230</v>
      </c>
      <c r="H455" s="5" t="s">
        <v>20</v>
      </c>
      <c r="I455" s="5" t="s">
        <v>1196</v>
      </c>
      <c r="J455" s="12" t="str">
        <f>HYPERLINK("https://www.boe.es/gazeta/dias/1806/03/18/pdfs/GMD-1806-24.pdf#page=6","Abrir facsímil")</f>
        <v>Abrir facsímil</v>
      </c>
      <c r="K455" s="15" t="s">
        <v>22</v>
      </c>
    </row>
    <row r="456" spans="1:11" ht="42" customHeight="1">
      <c r="A456" s="4" t="s">
        <v>1189</v>
      </c>
      <c r="B456" s="5" t="s">
        <v>1190</v>
      </c>
      <c r="C456" s="5" t="s">
        <v>31</v>
      </c>
      <c r="D456" s="5" t="s">
        <v>32</v>
      </c>
      <c r="E456" s="5" t="s">
        <v>689</v>
      </c>
      <c r="F456" s="9">
        <v>37</v>
      </c>
      <c r="G456" s="9">
        <v>356</v>
      </c>
      <c r="H456" s="5" t="s">
        <v>20</v>
      </c>
      <c r="I456" s="5" t="s">
        <v>1197</v>
      </c>
      <c r="J456" s="12" t="str">
        <f>HYPERLINK("https://www.boe.es/gazeta/dias/1806/05/02/pdfs/GMD-1806-37.pdf#page=4","Abrir facsímil")</f>
        <v>Abrir facsímil</v>
      </c>
      <c r="K456" s="15" t="s">
        <v>22</v>
      </c>
    </row>
    <row r="457" spans="1:11" ht="42" customHeight="1">
      <c r="A457" s="4" t="s">
        <v>1189</v>
      </c>
      <c r="B457" s="5" t="s">
        <v>1190</v>
      </c>
      <c r="C457" s="5" t="s">
        <v>69</v>
      </c>
      <c r="D457" s="5" t="s">
        <v>70</v>
      </c>
      <c r="E457" s="5" t="s">
        <v>661</v>
      </c>
      <c r="F457" s="9">
        <v>38</v>
      </c>
      <c r="G457" s="9">
        <v>371</v>
      </c>
      <c r="H457" s="5" t="s">
        <v>20</v>
      </c>
      <c r="I457" s="5" t="s">
        <v>1198</v>
      </c>
      <c r="J457" s="12" t="str">
        <f>HYPERLINK("https://www.boe.es/gazeta/dias/1806/05/06/pdfs/GMD-1806-38.pdf#page=7","Abrir facsímil")</f>
        <v>Abrir facsímil</v>
      </c>
      <c r="K457" s="15" t="s">
        <v>22</v>
      </c>
    </row>
    <row r="458" spans="1:11" ht="42" customHeight="1">
      <c r="A458" s="4" t="s">
        <v>1189</v>
      </c>
      <c r="B458" s="5" t="s">
        <v>1190</v>
      </c>
      <c r="C458" s="5" t="s">
        <v>31</v>
      </c>
      <c r="D458" s="5" t="s">
        <v>32</v>
      </c>
      <c r="E458" s="5" t="s">
        <v>127</v>
      </c>
      <c r="F458" s="9">
        <v>81</v>
      </c>
      <c r="G458" s="9">
        <v>834</v>
      </c>
      <c r="H458" s="5" t="s">
        <v>20</v>
      </c>
      <c r="I458" s="5" t="s">
        <v>1199</v>
      </c>
      <c r="J458" s="12" t="str">
        <f>HYPERLINK("https://www.boe.es/gazeta/dias/1806/10/03/pdfs/GMD-1806-81.pdf#page=2","Abrir facsímil")</f>
        <v>Abrir facsímil</v>
      </c>
      <c r="K458" s="15" t="s">
        <v>22</v>
      </c>
    </row>
    <row r="459" spans="1:11" ht="42" customHeight="1">
      <c r="A459" s="4" t="s">
        <v>1200</v>
      </c>
      <c r="B459" s="5" t="s">
        <v>1201</v>
      </c>
      <c r="C459" s="5" t="s">
        <v>69</v>
      </c>
      <c r="D459" s="5" t="s">
        <v>70</v>
      </c>
      <c r="E459" s="5" t="s">
        <v>859</v>
      </c>
      <c r="F459" s="9">
        <v>63</v>
      </c>
      <c r="G459" s="9">
        <v>659</v>
      </c>
      <c r="H459" s="5" t="s">
        <v>20</v>
      </c>
      <c r="I459" s="5" t="s">
        <v>1202</v>
      </c>
      <c r="J459" s="12" t="str">
        <f>HYPERLINK("https://www.boe.es/gazeta/dias/1806/08/01/pdfs/GMD-1806-63.pdf#page=7","Abrir facsímil")</f>
        <v>Abrir facsímil</v>
      </c>
      <c r="K459" s="15" t="s">
        <v>22</v>
      </c>
    </row>
    <row r="460" spans="1:11" ht="42" customHeight="1">
      <c r="A460" s="4" t="s">
        <v>1203</v>
      </c>
      <c r="B460" s="5" t="s">
        <v>1204</v>
      </c>
      <c r="C460" s="5" t="s">
        <v>17</v>
      </c>
      <c r="D460" s="5" t="s">
        <v>18</v>
      </c>
      <c r="E460" s="5" t="s">
        <v>202</v>
      </c>
      <c r="F460" s="9">
        <v>30</v>
      </c>
      <c r="G460" s="9">
        <v>294</v>
      </c>
      <c r="H460" s="5" t="s">
        <v>20</v>
      </c>
      <c r="I460" s="5" t="s">
        <v>1205</v>
      </c>
      <c r="J460" s="12" t="str">
        <f>HYPERLINK("https://www.boe.es/gazeta/dias/1806/04/08/pdfs/GMD-1806-30.pdf#page=6","Abrir facsímil")</f>
        <v>Abrir facsímil</v>
      </c>
      <c r="K460" s="15" t="s">
        <v>22</v>
      </c>
    </row>
    <row r="461" spans="1:11" ht="42" customHeight="1">
      <c r="A461" s="4" t="s">
        <v>1206</v>
      </c>
      <c r="B461" s="5" t="s">
        <v>1207</v>
      </c>
      <c r="C461" s="5" t="s">
        <v>69</v>
      </c>
      <c r="D461" s="5" t="s">
        <v>70</v>
      </c>
      <c r="E461" s="5" t="s">
        <v>24</v>
      </c>
      <c r="F461" s="9">
        <v>32</v>
      </c>
      <c r="G461" s="9">
        <v>313</v>
      </c>
      <c r="H461" s="5" t="s">
        <v>20</v>
      </c>
      <c r="I461" s="5" t="s">
        <v>1208</v>
      </c>
      <c r="J461" s="12" t="str">
        <f>HYPERLINK("https://www.boe.es/gazeta/dias/1806/04/15/pdfs/GMD-1806-32.pdf#page=5","Abrir facsímil")</f>
        <v>Abrir facsímil</v>
      </c>
      <c r="K461" s="15" t="s">
        <v>22</v>
      </c>
    </row>
    <row r="462" spans="1:11" ht="42" customHeight="1">
      <c r="A462" s="4" t="s">
        <v>1209</v>
      </c>
      <c r="B462" s="5" t="s">
        <v>1210</v>
      </c>
      <c r="C462" s="5" t="s">
        <v>31</v>
      </c>
      <c r="D462" s="5" t="s">
        <v>32</v>
      </c>
      <c r="E462" s="5" t="s">
        <v>570</v>
      </c>
      <c r="F462" s="9">
        <v>93</v>
      </c>
      <c r="G462" s="9">
        <v>972</v>
      </c>
      <c r="H462" s="5" t="s">
        <v>20</v>
      </c>
      <c r="I462" s="5" t="s">
        <v>1211</v>
      </c>
      <c r="J462" s="12" t="str">
        <f>HYPERLINK("https://www.boe.es/gazeta/dias/1806/11/14/pdfs/GMD-1806-93.pdf#page=8","Abrir facsímil")</f>
        <v>Abrir facsímil</v>
      </c>
      <c r="K462" s="15" t="s">
        <v>22</v>
      </c>
    </row>
    <row r="463" spans="1:11" ht="42" customHeight="1">
      <c r="A463" s="4" t="s">
        <v>1209</v>
      </c>
      <c r="B463" s="5" t="s">
        <v>1210</v>
      </c>
      <c r="C463" s="5" t="s">
        <v>69</v>
      </c>
      <c r="D463" s="5" t="s">
        <v>70</v>
      </c>
      <c r="E463" s="5" t="s">
        <v>570</v>
      </c>
      <c r="F463" s="9">
        <v>93</v>
      </c>
      <c r="G463" s="9">
        <v>973</v>
      </c>
      <c r="H463" s="5" t="s">
        <v>20</v>
      </c>
      <c r="I463" s="5" t="s">
        <v>1212</v>
      </c>
      <c r="J463" s="12" t="str">
        <f>HYPERLINK("https://www.boe.es/gazeta/dias/1806/11/14/pdfs/GMD-1806-93.pdf#page=9","Abrir facsímil")</f>
        <v>Abrir facsímil</v>
      </c>
      <c r="K463" s="15" t="s">
        <v>22</v>
      </c>
    </row>
    <row r="464" spans="1:11" ht="42" customHeight="1">
      <c r="A464" s="4" t="s">
        <v>1213</v>
      </c>
      <c r="B464" s="5" t="s">
        <v>1214</v>
      </c>
      <c r="C464" s="5" t="s">
        <v>75</v>
      </c>
      <c r="D464" s="5" t="s">
        <v>43</v>
      </c>
      <c r="E464" s="5" t="s">
        <v>297</v>
      </c>
      <c r="F464" s="9">
        <v>94</v>
      </c>
      <c r="G464" s="9">
        <v>991</v>
      </c>
      <c r="H464" s="5" t="s">
        <v>20</v>
      </c>
      <c r="I464" s="5" t="s">
        <v>1215</v>
      </c>
      <c r="J464" s="12" t="str">
        <f>HYPERLINK("https://www.boe.es/gazeta/dias/1806/11/18/pdfs/GMD-1806-94.pdf#page=11","Abrir facsímil")</f>
        <v>Abrir facsímil</v>
      </c>
      <c r="K464" s="15" t="s">
        <v>22</v>
      </c>
    </row>
    <row r="465" spans="1:11" ht="42" customHeight="1">
      <c r="A465" s="4" t="s">
        <v>1216</v>
      </c>
      <c r="B465" s="5" t="s">
        <v>1217</v>
      </c>
      <c r="C465" s="5" t="s">
        <v>17</v>
      </c>
      <c r="D465" s="5" t="s">
        <v>18</v>
      </c>
      <c r="E465" s="5" t="s">
        <v>76</v>
      </c>
      <c r="F465" s="9">
        <v>98</v>
      </c>
      <c r="G465" s="9">
        <v>1035</v>
      </c>
      <c r="H465" s="5" t="s">
        <v>20</v>
      </c>
      <c r="I465" s="5" t="s">
        <v>1218</v>
      </c>
      <c r="J465" s="12" t="str">
        <f>HYPERLINK("https://www.boe.es/gazeta/dias/1806/12/02/pdfs/GMD-1806-98.pdf#page=3","Abrir facsímil")</f>
        <v>Abrir facsímil</v>
      </c>
      <c r="K465" s="15" t="s">
        <v>22</v>
      </c>
    </row>
    <row r="466" spans="1:11" ht="42" customHeight="1">
      <c r="A466" s="4" t="s">
        <v>1219</v>
      </c>
      <c r="B466" s="5" t="s">
        <v>1220</v>
      </c>
      <c r="C466" s="5" t="s">
        <v>31</v>
      </c>
      <c r="D466" s="5" t="s">
        <v>32</v>
      </c>
      <c r="E466" s="5" t="s">
        <v>213</v>
      </c>
      <c r="F466" s="9">
        <v>73</v>
      </c>
      <c r="G466" s="9">
        <v>758</v>
      </c>
      <c r="H466" s="5" t="s">
        <v>20</v>
      </c>
      <c r="I466" s="5" t="s">
        <v>1221</v>
      </c>
      <c r="J466" s="12" t="str">
        <f>HYPERLINK("https://www.boe.es/gazeta/dias/1806/09/05/pdfs/GMD-1806-73.pdf#page=6","Abrir facsímil")</f>
        <v>Abrir facsímil</v>
      </c>
      <c r="K466" s="15" t="s">
        <v>22</v>
      </c>
    </row>
    <row r="467" spans="1:11" ht="42" customHeight="1">
      <c r="A467" s="4" t="s">
        <v>1222</v>
      </c>
      <c r="B467" s="5" t="s">
        <v>1223</v>
      </c>
      <c r="C467" s="5" t="s">
        <v>17</v>
      </c>
      <c r="D467" s="5" t="s">
        <v>18</v>
      </c>
      <c r="E467" s="5" t="s">
        <v>309</v>
      </c>
      <c r="F467" s="9">
        <v>41</v>
      </c>
      <c r="G467" s="9">
        <v>406</v>
      </c>
      <c r="H467" s="5" t="s">
        <v>20</v>
      </c>
      <c r="I467" s="5" t="s">
        <v>1224</v>
      </c>
      <c r="J467" s="12" t="str">
        <f>HYPERLINK("https://www.boe.es/gazeta/dias/1806/05/16/pdfs/GMD-1806-41.pdf#page=6","Abrir facsímil")</f>
        <v>Abrir facsímil</v>
      </c>
      <c r="K467" s="15" t="s">
        <v>22</v>
      </c>
    </row>
    <row r="468" spans="1:11" ht="42" customHeight="1">
      <c r="A468" s="4" t="s">
        <v>1225</v>
      </c>
      <c r="B468" s="5" t="s">
        <v>1226</v>
      </c>
      <c r="C468" s="5" t="s">
        <v>17</v>
      </c>
      <c r="D468" s="5" t="s">
        <v>18</v>
      </c>
      <c r="E468" s="5" t="s">
        <v>178</v>
      </c>
      <c r="F468" s="9">
        <v>36</v>
      </c>
      <c r="G468" s="9">
        <v>350</v>
      </c>
      <c r="H468" s="5" t="s">
        <v>20</v>
      </c>
      <c r="I468" s="5" t="s">
        <v>1227</v>
      </c>
      <c r="J468" s="12" t="str">
        <f>HYPERLINK("https://www.boe.es/gazeta/dias/1806/04/29/pdfs/GMD-1806-36.pdf#page=6","Abrir facsímil")</f>
        <v>Abrir facsímil</v>
      </c>
      <c r="K468" s="15" t="s">
        <v>22</v>
      </c>
    </row>
    <row r="469" spans="1:11" ht="42" customHeight="1">
      <c r="A469" s="4" t="s">
        <v>1228</v>
      </c>
      <c r="B469" s="5" t="s">
        <v>1229</v>
      </c>
      <c r="C469" s="5" t="s">
        <v>42</v>
      </c>
      <c r="D469" s="5" t="s">
        <v>43</v>
      </c>
      <c r="E469" s="5" t="s">
        <v>103</v>
      </c>
      <c r="F469" s="9">
        <v>61</v>
      </c>
      <c r="G469" s="9">
        <v>639</v>
      </c>
      <c r="H469" s="5" t="s">
        <v>20</v>
      </c>
      <c r="I469" s="5" t="s">
        <v>1230</v>
      </c>
      <c r="J469" s="12" t="str">
        <f>HYPERLINK("https://www.boe.es/gazeta/dias/1806/07/25/pdfs/GMD-1806-61.pdf#page=11","Abrir facsímil")</f>
        <v>Abrir facsímil</v>
      </c>
      <c r="K469" s="15" t="s">
        <v>22</v>
      </c>
    </row>
    <row r="470" spans="1:11" ht="42" customHeight="1">
      <c r="A470" s="4" t="s">
        <v>1231</v>
      </c>
      <c r="B470" s="5" t="s">
        <v>1231</v>
      </c>
      <c r="C470" s="5" t="s">
        <v>36</v>
      </c>
      <c r="D470" s="5" t="s">
        <v>37</v>
      </c>
      <c r="E470" s="5" t="s">
        <v>301</v>
      </c>
      <c r="F470" s="9">
        <v>75</v>
      </c>
      <c r="G470" s="9">
        <v>772</v>
      </c>
      <c r="H470" s="5" t="s">
        <v>20</v>
      </c>
      <c r="I470" s="5" t="s">
        <v>1232</v>
      </c>
      <c r="J470" s="12" t="str">
        <f>HYPERLINK("https://www.boe.es/gazeta/dias/1806/09/12/pdfs/GMD-1806-75.pdf#page=4","Abrir facsímil")</f>
        <v>Abrir facsímil</v>
      </c>
      <c r="K470" s="15" t="s">
        <v>22</v>
      </c>
    </row>
    <row r="471" spans="1:11" ht="42" customHeight="1">
      <c r="A471" s="4" t="s">
        <v>1233</v>
      </c>
      <c r="B471" s="5" t="s">
        <v>1234</v>
      </c>
      <c r="C471" s="5" t="s">
        <v>69</v>
      </c>
      <c r="D471" s="5" t="s">
        <v>70</v>
      </c>
      <c r="E471" s="5" t="s">
        <v>127</v>
      </c>
      <c r="F471" s="9">
        <v>81</v>
      </c>
      <c r="G471" s="9">
        <v>833</v>
      </c>
      <c r="H471" s="5" t="s">
        <v>20</v>
      </c>
      <c r="I471" s="5" t="s">
        <v>1235</v>
      </c>
      <c r="J471" s="12" t="str">
        <f>HYPERLINK("https://www.boe.es/gazeta/dias/1806/10/03/pdfs/GMD-1806-81.pdf#page=1","Abrir facsímil")</f>
        <v>Abrir facsímil</v>
      </c>
      <c r="K471" s="15" t="s">
        <v>22</v>
      </c>
    </row>
    <row r="472" spans="1:11" ht="42" customHeight="1">
      <c r="A472" s="4" t="s">
        <v>1236</v>
      </c>
      <c r="B472" s="5" t="s">
        <v>1237</v>
      </c>
      <c r="C472" s="5" t="s">
        <v>17</v>
      </c>
      <c r="D472" s="5" t="s">
        <v>18</v>
      </c>
      <c r="E472" s="5" t="s">
        <v>136</v>
      </c>
      <c r="F472" s="9">
        <v>50</v>
      </c>
      <c r="G472" s="9">
        <v>513</v>
      </c>
      <c r="H472" s="5" t="s">
        <v>20</v>
      </c>
      <c r="I472" s="5" t="s">
        <v>1238</v>
      </c>
      <c r="J472" s="12" t="str">
        <f>HYPERLINK("https://www.boe.es/gazeta/dias/1806/06/17/pdfs/GMD-1806-50.pdf#page=5","Abrir facsímil")</f>
        <v>Abrir facsímil</v>
      </c>
      <c r="K472" s="15" t="s">
        <v>22</v>
      </c>
    </row>
    <row r="473" spans="1:11" ht="42" customHeight="1">
      <c r="A473" s="4" t="s">
        <v>1239</v>
      </c>
      <c r="B473" s="5" t="s">
        <v>1239</v>
      </c>
      <c r="C473" s="5" t="s">
        <v>69</v>
      </c>
      <c r="D473" s="5" t="s">
        <v>70</v>
      </c>
      <c r="E473" s="5" t="s">
        <v>540</v>
      </c>
      <c r="F473" s="9">
        <v>51</v>
      </c>
      <c r="G473" s="9">
        <v>522</v>
      </c>
      <c r="H473" s="5" t="s">
        <v>20</v>
      </c>
      <c r="I473" s="5" t="s">
        <v>1240</v>
      </c>
      <c r="J473" s="12" t="str">
        <f>HYPERLINK("https://www.boe.es/gazeta/dias/1806/06/20/pdfs/GMD-1806-51.pdf#page=2","Abrir facsímil")</f>
        <v>Abrir facsímil</v>
      </c>
      <c r="K473" s="15" t="s">
        <v>22</v>
      </c>
    </row>
    <row r="474" spans="1:11" ht="42" customHeight="1">
      <c r="A474" s="4" t="s">
        <v>1241</v>
      </c>
      <c r="B474" s="5" t="s">
        <v>1242</v>
      </c>
      <c r="C474" s="5" t="s">
        <v>69</v>
      </c>
      <c r="D474" s="5" t="s">
        <v>70</v>
      </c>
      <c r="E474" s="5" t="s">
        <v>657</v>
      </c>
      <c r="F474" s="9">
        <v>96</v>
      </c>
      <c r="G474" s="9">
        <v>1016</v>
      </c>
      <c r="H474" s="5" t="s">
        <v>20</v>
      </c>
      <c r="I474" s="5" t="s">
        <v>1243</v>
      </c>
      <c r="J474" s="12" t="str">
        <f>HYPERLINK("https://www.boe.es/gazeta/dias/1806/11/25/pdfs/GMD-1806-96.pdf#page=8","Abrir facsímil")</f>
        <v>Abrir facsímil</v>
      </c>
      <c r="K474" s="15" t="s">
        <v>22</v>
      </c>
    </row>
    <row r="475" spans="1:11" ht="42" customHeight="1">
      <c r="A475" s="4" t="s">
        <v>1244</v>
      </c>
      <c r="B475" s="5" t="s">
        <v>1244</v>
      </c>
      <c r="C475" s="5" t="s">
        <v>69</v>
      </c>
      <c r="D475" s="5" t="s">
        <v>70</v>
      </c>
      <c r="E475" s="5" t="s">
        <v>245</v>
      </c>
      <c r="F475" s="9">
        <v>106</v>
      </c>
      <c r="G475" s="9">
        <v>1120</v>
      </c>
      <c r="H475" s="5" t="s">
        <v>20</v>
      </c>
      <c r="I475" s="5" t="s">
        <v>1245</v>
      </c>
      <c r="J475" s="12" t="str">
        <f>HYPERLINK("https://www.boe.es/gazeta/dias/1806/12/26/pdfs/GMD-1806-106.pdf#page=4","Abrir facsímil")</f>
        <v>Abrir facsímil</v>
      </c>
      <c r="K475" s="15" t="s">
        <v>22</v>
      </c>
    </row>
    <row r="476" spans="1:11" ht="42" customHeight="1">
      <c r="A476" s="4" t="s">
        <v>1246</v>
      </c>
      <c r="B476" s="5" t="s">
        <v>1246</v>
      </c>
      <c r="C476" s="5" t="s">
        <v>17</v>
      </c>
      <c r="D476" s="5" t="s">
        <v>18</v>
      </c>
      <c r="E476" s="5" t="s">
        <v>103</v>
      </c>
      <c r="F476" s="9">
        <v>61</v>
      </c>
      <c r="G476" s="9">
        <v>635</v>
      </c>
      <c r="H476" s="5" t="s">
        <v>20</v>
      </c>
      <c r="I476" s="5" t="s">
        <v>1247</v>
      </c>
      <c r="J476" s="12" t="str">
        <f>HYPERLINK("https://www.boe.es/gazeta/dias/1806/07/25/pdfs/GMD-1806-61.pdf#page=7","Abrir facsímil")</f>
        <v>Abrir facsímil</v>
      </c>
      <c r="K476" s="15" t="s">
        <v>22</v>
      </c>
    </row>
    <row r="477" spans="1:11" ht="42" customHeight="1">
      <c r="A477" s="4" t="s">
        <v>1248</v>
      </c>
      <c r="B477" s="5" t="s">
        <v>1248</v>
      </c>
      <c r="C477" s="5" t="s">
        <v>69</v>
      </c>
      <c r="D477" s="5" t="s">
        <v>70</v>
      </c>
      <c r="E477" s="5" t="s">
        <v>144</v>
      </c>
      <c r="F477" s="9">
        <v>79</v>
      </c>
      <c r="G477" s="9">
        <v>817</v>
      </c>
      <c r="H477" s="5" t="s">
        <v>20</v>
      </c>
      <c r="I477" s="5" t="s">
        <v>1249</v>
      </c>
      <c r="J477" s="12" t="str">
        <f>HYPERLINK("https://www.boe.es/gazeta/dias/1806/09/26/pdfs/GMD-1806-79.pdf#page=9","Abrir facsímil")</f>
        <v>Abrir facsímil</v>
      </c>
      <c r="K477" s="15" t="s">
        <v>22</v>
      </c>
    </row>
    <row r="478" spans="1:11" ht="42" customHeight="1">
      <c r="A478" s="4" t="s">
        <v>1250</v>
      </c>
      <c r="B478" s="5" t="s">
        <v>1251</v>
      </c>
      <c r="C478" s="5" t="s">
        <v>69</v>
      </c>
      <c r="D478" s="5" t="s">
        <v>70</v>
      </c>
      <c r="E478" s="5" t="s">
        <v>297</v>
      </c>
      <c r="F478" s="9">
        <v>94</v>
      </c>
      <c r="G478" s="9">
        <v>983</v>
      </c>
      <c r="H478" s="5" t="s">
        <v>20</v>
      </c>
      <c r="I478" s="5" t="s">
        <v>1252</v>
      </c>
      <c r="J478" s="12" t="str">
        <f>HYPERLINK("https://www.boe.es/gazeta/dias/1806/11/18/pdfs/GMD-1806-94.pdf#page=3","Abrir facsímil")</f>
        <v>Abrir facsímil</v>
      </c>
      <c r="K478" s="15" t="s">
        <v>22</v>
      </c>
    </row>
    <row r="479" spans="1:11" ht="42" customHeight="1">
      <c r="A479" s="4" t="s">
        <v>1250</v>
      </c>
      <c r="B479" s="5" t="s">
        <v>1251</v>
      </c>
      <c r="C479" s="5" t="s">
        <v>17</v>
      </c>
      <c r="D479" s="5" t="s">
        <v>18</v>
      </c>
      <c r="E479" s="5" t="s">
        <v>76</v>
      </c>
      <c r="F479" s="9">
        <v>98</v>
      </c>
      <c r="G479" s="9">
        <v>1035</v>
      </c>
      <c r="H479" s="5" t="s">
        <v>20</v>
      </c>
      <c r="I479" s="5" t="s">
        <v>1253</v>
      </c>
      <c r="J479" s="12" t="str">
        <f>HYPERLINK("https://www.boe.es/gazeta/dias/1806/12/02/pdfs/GMD-1806-98.pdf#page=3","Abrir facsímil")</f>
        <v>Abrir facsímil</v>
      </c>
      <c r="K479" s="15" t="s">
        <v>22</v>
      </c>
    </row>
    <row r="480" spans="1:11" ht="42" customHeight="1">
      <c r="A480" s="4" t="s">
        <v>1254</v>
      </c>
      <c r="B480" s="5" t="s">
        <v>1255</v>
      </c>
      <c r="C480" s="5" t="s">
        <v>69</v>
      </c>
      <c r="D480" s="5" t="s">
        <v>70</v>
      </c>
      <c r="E480" s="5" t="s">
        <v>181</v>
      </c>
      <c r="F480" s="9">
        <v>99</v>
      </c>
      <c r="G480" s="9">
        <v>1051</v>
      </c>
      <c r="H480" s="5" t="s">
        <v>20</v>
      </c>
      <c r="I480" s="5" t="s">
        <v>1256</v>
      </c>
      <c r="J480" s="12" t="str">
        <f>HYPERLINK("https://www.boe.es/gazeta/dias/1806/12/05/pdfs/GMD-1806-99.pdf#page=7","Abrir facsímil")</f>
        <v>Abrir facsímil</v>
      </c>
      <c r="K480" s="15" t="s">
        <v>22</v>
      </c>
    </row>
    <row r="481" spans="1:11" ht="42" customHeight="1">
      <c r="A481" s="4" t="s">
        <v>1257</v>
      </c>
      <c r="B481" s="5" t="s">
        <v>1258</v>
      </c>
      <c r="C481" s="5" t="s">
        <v>17</v>
      </c>
      <c r="D481" s="5" t="s">
        <v>18</v>
      </c>
      <c r="E481" s="5" t="s">
        <v>209</v>
      </c>
      <c r="F481" s="9">
        <v>95</v>
      </c>
      <c r="G481" s="9">
        <v>996</v>
      </c>
      <c r="H481" s="5" t="s">
        <v>20</v>
      </c>
      <c r="I481" s="5" t="s">
        <v>1259</v>
      </c>
      <c r="J481" s="12" t="str">
        <f>HYPERLINK("https://www.boe.es/gazeta/dias/1806/11/21/pdfs/GMD-1806-95.pdf#page=4","Abrir facsímil")</f>
        <v>Abrir facsímil</v>
      </c>
      <c r="K481" s="15" t="s">
        <v>22</v>
      </c>
    </row>
    <row r="482" spans="1:11" ht="42" customHeight="1">
      <c r="A482" s="4" t="s">
        <v>1260</v>
      </c>
      <c r="B482" s="5" t="s">
        <v>1261</v>
      </c>
      <c r="C482" s="5" t="s">
        <v>69</v>
      </c>
      <c r="D482" s="5" t="s">
        <v>70</v>
      </c>
      <c r="E482" s="5" t="s">
        <v>96</v>
      </c>
      <c r="F482" s="9">
        <v>62</v>
      </c>
      <c r="G482" s="9">
        <v>645</v>
      </c>
      <c r="H482" s="5" t="s">
        <v>20</v>
      </c>
      <c r="I482" s="5" t="s">
        <v>1262</v>
      </c>
      <c r="J482" s="12" t="str">
        <f>HYPERLINK("https://www.boe.es/gazeta/dias/1806/07/29/pdfs/GMD-1806-62.pdf#page=5","Abrir facsímil")</f>
        <v>Abrir facsímil</v>
      </c>
      <c r="K482" s="15" t="s">
        <v>22</v>
      </c>
    </row>
    <row r="483" spans="1:11" ht="42" customHeight="1">
      <c r="A483" s="4" t="s">
        <v>1263</v>
      </c>
      <c r="B483" s="5" t="s">
        <v>1263</v>
      </c>
      <c r="C483" s="5" t="s">
        <v>36</v>
      </c>
      <c r="D483" s="5" t="s">
        <v>37</v>
      </c>
      <c r="E483" s="5" t="s">
        <v>494</v>
      </c>
      <c r="F483" s="9">
        <v>69</v>
      </c>
      <c r="G483" s="9">
        <v>724</v>
      </c>
      <c r="H483" s="5" t="s">
        <v>20</v>
      </c>
      <c r="I483" s="5" t="s">
        <v>1264</v>
      </c>
      <c r="J483" s="12" t="str">
        <f>HYPERLINK("https://www.boe.es/gazeta/dias/1806/08/22/pdfs/GMD-1806-69.pdf#page=12","Abrir facsímil")</f>
        <v>Abrir facsímil</v>
      </c>
      <c r="K483" s="15" t="s">
        <v>22</v>
      </c>
    </row>
    <row r="484" spans="1:11" ht="42" customHeight="1">
      <c r="A484" s="4" t="s">
        <v>1263</v>
      </c>
      <c r="B484" s="5" t="s">
        <v>1263</v>
      </c>
      <c r="C484" s="5" t="s">
        <v>36</v>
      </c>
      <c r="D484" s="5" t="s">
        <v>37</v>
      </c>
      <c r="E484" s="5" t="s">
        <v>191</v>
      </c>
      <c r="F484" s="9">
        <v>103</v>
      </c>
      <c r="G484" s="9">
        <v>1100</v>
      </c>
      <c r="H484" s="5" t="s">
        <v>20</v>
      </c>
      <c r="I484" s="5" t="s">
        <v>1265</v>
      </c>
      <c r="J484" s="12" t="str">
        <f>HYPERLINK("https://www.boe.es/gazeta/dias/1806/12/19/pdfs/GMD-1806-103.pdf#page=12","Abrir facsímil")</f>
        <v>Abrir facsímil</v>
      </c>
      <c r="K484" s="15" t="s">
        <v>22</v>
      </c>
    </row>
    <row r="485" spans="1:11" ht="42" customHeight="1">
      <c r="A485" s="4" t="s">
        <v>1266</v>
      </c>
      <c r="B485" s="5" t="s">
        <v>1267</v>
      </c>
      <c r="C485" s="5" t="s">
        <v>36</v>
      </c>
      <c r="D485" s="5" t="s">
        <v>37</v>
      </c>
      <c r="E485" s="5" t="s">
        <v>96</v>
      </c>
      <c r="F485" s="9">
        <v>62</v>
      </c>
      <c r="G485" s="9">
        <v>648</v>
      </c>
      <c r="H485" s="5" t="s">
        <v>20</v>
      </c>
      <c r="I485" s="5" t="s">
        <v>1268</v>
      </c>
      <c r="J485" s="12" t="str">
        <f>HYPERLINK("https://www.boe.es/gazeta/dias/1806/07/29/pdfs/GMD-1806-62.pdf#page=8","Abrir facsímil")</f>
        <v>Abrir facsímil</v>
      </c>
      <c r="K485" s="15" t="s">
        <v>22</v>
      </c>
    </row>
    <row r="486" spans="1:11" ht="42" customHeight="1">
      <c r="A486" s="4" t="s">
        <v>1269</v>
      </c>
      <c r="B486" s="5" t="s">
        <v>1270</v>
      </c>
      <c r="C486" s="5" t="s">
        <v>17</v>
      </c>
      <c r="D486" s="5" t="s">
        <v>18</v>
      </c>
      <c r="E486" s="5" t="s">
        <v>188</v>
      </c>
      <c r="F486" s="9">
        <v>2</v>
      </c>
      <c r="G486" s="9">
        <v>18</v>
      </c>
      <c r="H486" s="5" t="s">
        <v>20</v>
      </c>
      <c r="I486" s="5" t="s">
        <v>1271</v>
      </c>
      <c r="J486" s="12" t="str">
        <f>HYPERLINK("https://www.boe.es/gazeta/dias/1806/01/07/pdfs/GMD-1806-2.pdf#page=6","Abrir facsímil")</f>
        <v>Abrir facsímil</v>
      </c>
      <c r="K486" s="15" t="s">
        <v>22</v>
      </c>
    </row>
    <row r="487" spans="1:11" ht="42" customHeight="1">
      <c r="A487" s="4" t="s">
        <v>1272</v>
      </c>
      <c r="B487" s="5" t="s">
        <v>1273</v>
      </c>
      <c r="C487" s="5" t="s">
        <v>75</v>
      </c>
      <c r="D487" s="5" t="s">
        <v>43</v>
      </c>
      <c r="E487" s="5" t="s">
        <v>312</v>
      </c>
      <c r="F487" s="9">
        <v>100</v>
      </c>
      <c r="G487" s="9">
        <v>1067</v>
      </c>
      <c r="H487" s="5" t="s">
        <v>20</v>
      </c>
      <c r="I487" s="5" t="s">
        <v>1274</v>
      </c>
      <c r="J487" s="12" t="str">
        <f>HYPERLINK("https://www.boe.es/gazeta/dias/1806/12/09/pdfs/GMD-1806-100.pdf#page=11","Abrir facsímil")</f>
        <v>Abrir facsímil</v>
      </c>
      <c r="K487" s="15" t="s">
        <v>22</v>
      </c>
    </row>
    <row r="488" spans="1:11" ht="42" customHeight="1">
      <c r="A488" s="4" t="s">
        <v>1275</v>
      </c>
      <c r="B488" s="5" t="s">
        <v>1276</v>
      </c>
      <c r="C488" s="5" t="s">
        <v>36</v>
      </c>
      <c r="D488" s="5" t="s">
        <v>37</v>
      </c>
      <c r="E488" s="5" t="s">
        <v>188</v>
      </c>
      <c r="F488" s="9">
        <v>2</v>
      </c>
      <c r="G488" s="9">
        <v>19</v>
      </c>
      <c r="H488" s="5" t="s">
        <v>20</v>
      </c>
      <c r="I488" s="5" t="s">
        <v>1277</v>
      </c>
      <c r="J488" s="12" t="str">
        <f>HYPERLINK("https://www.boe.es/gazeta/dias/1806/01/07/pdfs/GMD-1806-2.pdf#page=7","Abrir facsímil")</f>
        <v>Abrir facsímil</v>
      </c>
      <c r="K488" s="15" t="s">
        <v>22</v>
      </c>
    </row>
    <row r="489" spans="1:11" ht="42" customHeight="1">
      <c r="A489" s="4" t="s">
        <v>1278</v>
      </c>
      <c r="B489" s="5" t="s">
        <v>1279</v>
      </c>
      <c r="C489" s="5" t="s">
        <v>31</v>
      </c>
      <c r="D489" s="5" t="s">
        <v>32</v>
      </c>
      <c r="E489" s="5" t="s">
        <v>161</v>
      </c>
      <c r="F489" s="9">
        <v>11</v>
      </c>
      <c r="G489" s="9">
        <v>98</v>
      </c>
      <c r="H489" s="5" t="s">
        <v>20</v>
      </c>
      <c r="I489" s="5" t="s">
        <v>1280</v>
      </c>
      <c r="J489" s="12" t="str">
        <f>HYPERLINK("https://www.boe.es/gazeta/dias/1806/01/31/pdfs/GMD-1806-11.pdf#page=6","Abrir facsímil")</f>
        <v>Abrir facsímil</v>
      </c>
      <c r="K489" s="15" t="s">
        <v>22</v>
      </c>
    </row>
    <row r="490" spans="1:11" ht="42" customHeight="1">
      <c r="A490" s="4" t="s">
        <v>1281</v>
      </c>
      <c r="B490" s="5" t="s">
        <v>1281</v>
      </c>
      <c r="C490" s="5" t="s">
        <v>36</v>
      </c>
      <c r="D490" s="5" t="s">
        <v>37</v>
      </c>
      <c r="E490" s="5" t="s">
        <v>702</v>
      </c>
      <c r="F490" s="9">
        <v>43</v>
      </c>
      <c r="G490" s="9">
        <v>436</v>
      </c>
      <c r="H490" s="5" t="s">
        <v>20</v>
      </c>
      <c r="I490" s="5" t="s">
        <v>1282</v>
      </c>
      <c r="J490" s="12" t="str">
        <f>HYPERLINK("https://www.boe.es/gazeta/dias/1806/05/23/pdfs/GMD-1806-43.pdf#page=12","Abrir facsímil")</f>
        <v>Abrir facsímil</v>
      </c>
      <c r="K490" s="15" t="s">
        <v>22</v>
      </c>
    </row>
    <row r="491" spans="1:11" ht="42" customHeight="1">
      <c r="A491" s="4" t="s">
        <v>1283</v>
      </c>
      <c r="B491" s="5" t="s">
        <v>1284</v>
      </c>
      <c r="C491" s="5" t="s">
        <v>69</v>
      </c>
      <c r="D491" s="5" t="s">
        <v>70</v>
      </c>
      <c r="E491" s="5" t="s">
        <v>165</v>
      </c>
      <c r="F491" s="9">
        <v>101</v>
      </c>
      <c r="G491" s="9">
        <v>1069</v>
      </c>
      <c r="H491" s="5" t="s">
        <v>20</v>
      </c>
      <c r="I491" s="5" t="s">
        <v>1285</v>
      </c>
      <c r="J491" s="12" t="str">
        <f>HYPERLINK("https://www.boe.es/gazeta/dias/1806/12/12/pdfs/GMD-1806-101.pdf#page=1","Abrir facsímil")</f>
        <v>Abrir facsímil</v>
      </c>
      <c r="K491" s="15" t="s">
        <v>22</v>
      </c>
    </row>
    <row r="492" spans="1:11" ht="42" customHeight="1">
      <c r="A492" s="4" t="s">
        <v>1286</v>
      </c>
      <c r="B492" s="5" t="s">
        <v>1287</v>
      </c>
      <c r="C492" s="5" t="s">
        <v>69</v>
      </c>
      <c r="D492" s="5" t="s">
        <v>70</v>
      </c>
      <c r="E492" s="5" t="s">
        <v>657</v>
      </c>
      <c r="F492" s="9">
        <v>96</v>
      </c>
      <c r="G492" s="9">
        <v>1016</v>
      </c>
      <c r="H492" s="5" t="s">
        <v>20</v>
      </c>
      <c r="I492" s="5" t="s">
        <v>1288</v>
      </c>
      <c r="J492" s="12" t="str">
        <f>HYPERLINK("https://www.boe.es/gazeta/dias/1806/11/25/pdfs/GMD-1806-96.pdf#page=8","Abrir facsímil")</f>
        <v>Abrir facsímil</v>
      </c>
      <c r="K492" s="15" t="s">
        <v>22</v>
      </c>
    </row>
    <row r="493" spans="1:11" ht="42" customHeight="1">
      <c r="A493" s="4" t="s">
        <v>1289</v>
      </c>
      <c r="B493" s="5" t="s">
        <v>1290</v>
      </c>
      <c r="C493" s="5" t="s">
        <v>69</v>
      </c>
      <c r="D493" s="5" t="s">
        <v>70</v>
      </c>
      <c r="E493" s="5" t="s">
        <v>455</v>
      </c>
      <c r="F493" s="9">
        <v>85</v>
      </c>
      <c r="G493" s="9">
        <v>874</v>
      </c>
      <c r="H493" s="5" t="s">
        <v>20</v>
      </c>
      <c r="I493" s="5" t="s">
        <v>1291</v>
      </c>
      <c r="J493" s="12" t="str">
        <f>HYPERLINK("https://www.boe.es/gazeta/dias/1806/10/17/pdfs/GMD-1806-85.pdf#page=2","Abrir facsímil")</f>
        <v>Abrir facsímil</v>
      </c>
      <c r="K493" s="15" t="s">
        <v>22</v>
      </c>
    </row>
    <row r="494" spans="1:11" ht="42" customHeight="1">
      <c r="A494" s="4" t="s">
        <v>1289</v>
      </c>
      <c r="B494" s="5" t="s">
        <v>1290</v>
      </c>
      <c r="C494" s="5" t="s">
        <v>17</v>
      </c>
      <c r="D494" s="5" t="s">
        <v>18</v>
      </c>
      <c r="E494" s="5" t="s">
        <v>209</v>
      </c>
      <c r="F494" s="9">
        <v>95</v>
      </c>
      <c r="G494" s="9">
        <v>1002</v>
      </c>
      <c r="H494" s="5" t="s">
        <v>20</v>
      </c>
      <c r="I494" s="5" t="s">
        <v>1292</v>
      </c>
      <c r="J494" s="12" t="str">
        <f>HYPERLINK("https://www.boe.es/gazeta/dias/1806/11/21/pdfs/GMD-1806-95.pdf#page=10","Abrir facsímil")</f>
        <v>Abrir facsímil</v>
      </c>
      <c r="K494" s="15" t="s">
        <v>22</v>
      </c>
    </row>
    <row r="495" spans="1:11" ht="42" customHeight="1">
      <c r="A495" s="4" t="s">
        <v>1289</v>
      </c>
      <c r="B495" s="5" t="s">
        <v>1290</v>
      </c>
      <c r="C495" s="5" t="s">
        <v>17</v>
      </c>
      <c r="D495" s="5" t="s">
        <v>18</v>
      </c>
      <c r="E495" s="5" t="s">
        <v>209</v>
      </c>
      <c r="F495" s="9">
        <v>95</v>
      </c>
      <c r="G495" s="9">
        <v>1004</v>
      </c>
      <c r="H495" s="5" t="s">
        <v>20</v>
      </c>
      <c r="I495" s="5" t="s">
        <v>1293</v>
      </c>
      <c r="J495" s="12" t="str">
        <f>HYPERLINK("https://www.boe.es/gazeta/dias/1806/11/21/pdfs/GMD-1806-95.pdf#page=12","Abrir facsímil")</f>
        <v>Abrir facsímil</v>
      </c>
      <c r="K495" s="15" t="s">
        <v>22</v>
      </c>
    </row>
    <row r="496" spans="1:11" ht="42" customHeight="1">
      <c r="A496" s="4" t="s">
        <v>1289</v>
      </c>
      <c r="B496" s="5" t="s">
        <v>1290</v>
      </c>
      <c r="C496" s="5" t="s">
        <v>75</v>
      </c>
      <c r="D496" s="5" t="s">
        <v>43</v>
      </c>
      <c r="E496" s="5" t="s">
        <v>209</v>
      </c>
      <c r="F496" s="9">
        <v>95</v>
      </c>
      <c r="G496" s="9">
        <v>999</v>
      </c>
      <c r="H496" s="5" t="s">
        <v>20</v>
      </c>
      <c r="I496" s="5" t="s">
        <v>1294</v>
      </c>
      <c r="J496" s="12" t="str">
        <f>HYPERLINK("https://www.boe.es/gazeta/dias/1806/11/21/pdfs/GMD-1806-95.pdf#page=7","Abrir facsímil")</f>
        <v>Abrir facsímil</v>
      </c>
      <c r="K496" s="15" t="s">
        <v>22</v>
      </c>
    </row>
    <row r="497" spans="1:11" ht="42" customHeight="1">
      <c r="A497" s="4" t="s">
        <v>1289</v>
      </c>
      <c r="B497" s="5" t="s">
        <v>1290</v>
      </c>
      <c r="C497" s="5" t="s">
        <v>69</v>
      </c>
      <c r="D497" s="5" t="s">
        <v>70</v>
      </c>
      <c r="E497" s="5" t="s">
        <v>657</v>
      </c>
      <c r="F497" s="9">
        <v>96</v>
      </c>
      <c r="G497" s="9">
        <v>1014</v>
      </c>
      <c r="H497" s="5" t="s">
        <v>20</v>
      </c>
      <c r="I497" s="5" t="s">
        <v>1295</v>
      </c>
      <c r="J497" s="12" t="str">
        <f>HYPERLINK("https://www.boe.es/gazeta/dias/1806/11/25/pdfs/GMD-1806-96.pdf#page=6","Abrir facsímil")</f>
        <v>Abrir facsímil</v>
      </c>
      <c r="K497" s="15" t="s">
        <v>22</v>
      </c>
    </row>
    <row r="498" spans="1:11" ht="42" customHeight="1">
      <c r="A498" s="4" t="s">
        <v>1289</v>
      </c>
      <c r="B498" s="5" t="s">
        <v>1290</v>
      </c>
      <c r="C498" s="5" t="s">
        <v>75</v>
      </c>
      <c r="D498" s="5" t="s">
        <v>43</v>
      </c>
      <c r="E498" s="5" t="s">
        <v>657</v>
      </c>
      <c r="F498" s="9">
        <v>96</v>
      </c>
      <c r="G498" s="9">
        <v>1016</v>
      </c>
      <c r="H498" s="5" t="s">
        <v>20</v>
      </c>
      <c r="I498" s="5" t="s">
        <v>1296</v>
      </c>
      <c r="J498" s="12" t="str">
        <f>HYPERLINK("https://www.boe.es/gazeta/dias/1806/11/25/pdfs/GMD-1806-96.pdf#page=8","Abrir facsímil")</f>
        <v>Abrir facsímil</v>
      </c>
      <c r="K498" s="15" t="s">
        <v>22</v>
      </c>
    </row>
    <row r="499" spans="1:11" ht="42" customHeight="1">
      <c r="A499" s="4" t="s">
        <v>1289</v>
      </c>
      <c r="B499" s="5" t="s">
        <v>1290</v>
      </c>
      <c r="C499" s="5" t="s">
        <v>17</v>
      </c>
      <c r="D499" s="5" t="s">
        <v>18</v>
      </c>
      <c r="E499" s="5" t="s">
        <v>76</v>
      </c>
      <c r="F499" s="9">
        <v>98</v>
      </c>
      <c r="G499" s="9">
        <v>1035</v>
      </c>
      <c r="H499" s="5" t="s">
        <v>20</v>
      </c>
      <c r="I499" s="5" t="s">
        <v>1297</v>
      </c>
      <c r="J499" s="12" t="str">
        <f>HYPERLINK("https://www.boe.es/gazeta/dias/1806/12/02/pdfs/GMD-1806-98.pdf#page=3","Abrir facsímil")</f>
        <v>Abrir facsímil</v>
      </c>
      <c r="K499" s="15" t="s">
        <v>22</v>
      </c>
    </row>
    <row r="500" spans="1:11" ht="42" customHeight="1">
      <c r="A500" s="4" t="s">
        <v>1289</v>
      </c>
      <c r="B500" s="5" t="s">
        <v>1290</v>
      </c>
      <c r="C500" s="5" t="s">
        <v>17</v>
      </c>
      <c r="D500" s="5" t="s">
        <v>18</v>
      </c>
      <c r="E500" s="5" t="s">
        <v>76</v>
      </c>
      <c r="F500" s="9">
        <v>98</v>
      </c>
      <c r="G500" s="9">
        <v>1037</v>
      </c>
      <c r="H500" s="5" t="s">
        <v>20</v>
      </c>
      <c r="I500" s="5" t="s">
        <v>1298</v>
      </c>
      <c r="J500" s="12" t="str">
        <f>HYPERLINK("https://www.boe.es/gazeta/dias/1806/12/02/pdfs/GMD-1806-98.pdf#page=5","Abrir facsímil")</f>
        <v>Abrir facsímil</v>
      </c>
      <c r="K500" s="15" t="s">
        <v>22</v>
      </c>
    </row>
    <row r="501" spans="1:11" ht="42" customHeight="1">
      <c r="A501" s="4" t="s">
        <v>1289</v>
      </c>
      <c r="B501" s="5" t="s">
        <v>1290</v>
      </c>
      <c r="C501" s="5" t="s">
        <v>17</v>
      </c>
      <c r="D501" s="5" t="s">
        <v>18</v>
      </c>
      <c r="E501" s="5" t="s">
        <v>76</v>
      </c>
      <c r="F501" s="9">
        <v>98</v>
      </c>
      <c r="G501" s="9">
        <v>1038</v>
      </c>
      <c r="H501" s="5" t="s">
        <v>20</v>
      </c>
      <c r="I501" s="5" t="s">
        <v>1299</v>
      </c>
      <c r="J501" s="12" t="str">
        <f>HYPERLINK("https://www.boe.es/gazeta/dias/1806/12/02/pdfs/GMD-1806-98.pdf#page=6","Abrir facsímil")</f>
        <v>Abrir facsímil</v>
      </c>
      <c r="K501" s="15" t="s">
        <v>22</v>
      </c>
    </row>
    <row r="502" spans="1:11" ht="42" customHeight="1">
      <c r="A502" s="4" t="s">
        <v>1289</v>
      </c>
      <c r="B502" s="5" t="s">
        <v>1290</v>
      </c>
      <c r="C502" s="5" t="s">
        <v>17</v>
      </c>
      <c r="D502" s="5" t="s">
        <v>18</v>
      </c>
      <c r="E502" s="5" t="s">
        <v>76</v>
      </c>
      <c r="F502" s="9">
        <v>98</v>
      </c>
      <c r="G502" s="9">
        <v>1042</v>
      </c>
      <c r="H502" s="5" t="s">
        <v>20</v>
      </c>
      <c r="I502" s="5" t="s">
        <v>1300</v>
      </c>
      <c r="J502" s="12" t="str">
        <f>HYPERLINK("https://www.boe.es/gazeta/dias/1806/12/02/pdfs/GMD-1806-98.pdf#page=10","Abrir facsímil")</f>
        <v>Abrir facsímil</v>
      </c>
      <c r="K502" s="15" t="s">
        <v>22</v>
      </c>
    </row>
    <row r="503" spans="1:11" ht="42" customHeight="1">
      <c r="A503" s="4" t="s">
        <v>1289</v>
      </c>
      <c r="B503" s="5" t="s">
        <v>1290</v>
      </c>
      <c r="C503" s="5" t="s">
        <v>69</v>
      </c>
      <c r="D503" s="5" t="s">
        <v>70</v>
      </c>
      <c r="E503" s="5" t="s">
        <v>312</v>
      </c>
      <c r="F503" s="9">
        <v>100</v>
      </c>
      <c r="G503" s="9">
        <v>1061</v>
      </c>
      <c r="H503" s="5" t="s">
        <v>20</v>
      </c>
      <c r="I503" s="5" t="s">
        <v>1301</v>
      </c>
      <c r="J503" s="12" t="str">
        <f>HYPERLINK("https://www.boe.es/gazeta/dias/1806/12/09/pdfs/GMD-1806-100.pdf#page=5","Abrir facsímil")</f>
        <v>Abrir facsímil</v>
      </c>
      <c r="K503" s="15" t="s">
        <v>22</v>
      </c>
    </row>
    <row r="504" spans="1:11" ht="42" customHeight="1">
      <c r="A504" s="4" t="s">
        <v>1289</v>
      </c>
      <c r="B504" s="5" t="s">
        <v>1290</v>
      </c>
      <c r="C504" s="5" t="s">
        <v>69</v>
      </c>
      <c r="D504" s="5" t="s">
        <v>70</v>
      </c>
      <c r="E504" s="5" t="s">
        <v>165</v>
      </c>
      <c r="F504" s="9">
        <v>101</v>
      </c>
      <c r="G504" s="9">
        <v>1069</v>
      </c>
      <c r="H504" s="5" t="s">
        <v>20</v>
      </c>
      <c r="I504" s="5" t="s">
        <v>1302</v>
      </c>
      <c r="J504" s="12" t="str">
        <f>HYPERLINK("https://www.boe.es/gazeta/dias/1806/12/12/pdfs/GMD-1806-101.pdf#page=1","Abrir facsímil")</f>
        <v>Abrir facsímil</v>
      </c>
      <c r="K504" s="15" t="s">
        <v>22</v>
      </c>
    </row>
    <row r="505" spans="1:11" ht="42" customHeight="1">
      <c r="A505" s="4" t="s">
        <v>1303</v>
      </c>
      <c r="B505" s="5" t="s">
        <v>1304</v>
      </c>
      <c r="C505" s="5" t="s">
        <v>31</v>
      </c>
      <c r="D505" s="5" t="s">
        <v>32</v>
      </c>
      <c r="E505" s="5" t="s">
        <v>76</v>
      </c>
      <c r="F505" s="9">
        <v>98</v>
      </c>
      <c r="G505" s="9">
        <v>1042</v>
      </c>
      <c r="H505" s="5" t="s">
        <v>20</v>
      </c>
      <c r="I505" s="5" t="s">
        <v>1305</v>
      </c>
      <c r="J505" s="12" t="str">
        <f>HYPERLINK("https://www.boe.es/gazeta/dias/1806/12/02/pdfs/GMD-1806-98.pdf#page=10","Abrir facsímil")</f>
        <v>Abrir facsímil</v>
      </c>
      <c r="K505" s="15" t="s">
        <v>22</v>
      </c>
    </row>
    <row r="506" spans="1:11" ht="42" customHeight="1">
      <c r="A506" s="4" t="s">
        <v>1306</v>
      </c>
      <c r="B506" s="5" t="s">
        <v>1307</v>
      </c>
      <c r="C506" s="5" t="s">
        <v>69</v>
      </c>
      <c r="D506" s="5" t="s">
        <v>70</v>
      </c>
      <c r="E506" s="5" t="s">
        <v>657</v>
      </c>
      <c r="F506" s="9">
        <v>96</v>
      </c>
      <c r="G506" s="9">
        <v>1016</v>
      </c>
      <c r="H506" s="5" t="s">
        <v>20</v>
      </c>
      <c r="I506" s="5" t="s">
        <v>1308</v>
      </c>
      <c r="J506" s="12" t="str">
        <f>HYPERLINK("https://www.boe.es/gazeta/dias/1806/11/25/pdfs/GMD-1806-96.pdf#page=8","Abrir facsímil")</f>
        <v>Abrir facsímil</v>
      </c>
      <c r="K506" s="15" t="s">
        <v>22</v>
      </c>
    </row>
    <row r="507" spans="1:11" ht="42" customHeight="1">
      <c r="A507" s="4" t="s">
        <v>1309</v>
      </c>
      <c r="B507" s="5" t="s">
        <v>1310</v>
      </c>
      <c r="C507" s="5" t="s">
        <v>69</v>
      </c>
      <c r="D507" s="5" t="s">
        <v>70</v>
      </c>
      <c r="E507" s="5" t="s">
        <v>716</v>
      </c>
      <c r="F507" s="9">
        <v>56</v>
      </c>
      <c r="G507" s="9">
        <v>579</v>
      </c>
      <c r="H507" s="5" t="s">
        <v>20</v>
      </c>
      <c r="I507" s="5" t="s">
        <v>1311</v>
      </c>
      <c r="J507" s="12" t="str">
        <f>HYPERLINK("https://www.boe.es/gazeta/dias/1806/07/08/pdfs/GMD-1806-56.pdf#page=3","Abrir facsímil")</f>
        <v>Abrir facsímil</v>
      </c>
      <c r="K507" s="15" t="s">
        <v>22</v>
      </c>
    </row>
    <row r="508" spans="1:11" ht="42" customHeight="1">
      <c r="A508" s="4" t="s">
        <v>1312</v>
      </c>
      <c r="B508" s="5" t="s">
        <v>1313</v>
      </c>
      <c r="C508" s="5" t="s">
        <v>69</v>
      </c>
      <c r="D508" s="5" t="s">
        <v>70</v>
      </c>
      <c r="E508" s="5" t="s">
        <v>181</v>
      </c>
      <c r="F508" s="9">
        <v>99</v>
      </c>
      <c r="G508" s="9">
        <v>1050</v>
      </c>
      <c r="H508" s="5" t="s">
        <v>20</v>
      </c>
      <c r="I508" s="5" t="s">
        <v>1314</v>
      </c>
      <c r="J508" s="12" t="str">
        <f>HYPERLINK("https://www.boe.es/gazeta/dias/1806/12/05/pdfs/GMD-1806-99.pdf#page=6","Abrir facsímil")</f>
        <v>Abrir facsímil</v>
      </c>
      <c r="K508" s="15" t="s">
        <v>22</v>
      </c>
    </row>
    <row r="509" spans="1:11" ht="42" customHeight="1">
      <c r="A509" s="4" t="s">
        <v>1315</v>
      </c>
      <c r="B509" s="5" t="s">
        <v>1316</v>
      </c>
      <c r="C509" s="5" t="s">
        <v>31</v>
      </c>
      <c r="D509" s="5" t="s">
        <v>32</v>
      </c>
      <c r="E509" s="5" t="s">
        <v>28</v>
      </c>
      <c r="F509" s="9">
        <v>102</v>
      </c>
      <c r="G509" s="9">
        <v>1077</v>
      </c>
      <c r="H509" s="5" t="s">
        <v>20</v>
      </c>
      <c r="I509" s="5" t="s">
        <v>1317</v>
      </c>
      <c r="J509" s="12" t="str">
        <f>HYPERLINK("https://www.boe.es/gazeta/dias/1806/12/16/pdfs/GMD-1806-102.pdf#page=1","Abrir facsímil")</f>
        <v>Abrir facsímil</v>
      </c>
      <c r="K509" s="15" t="s">
        <v>22</v>
      </c>
    </row>
    <row r="510" spans="1:11" ht="42" customHeight="1">
      <c r="A510" s="4" t="s">
        <v>1318</v>
      </c>
      <c r="B510" s="5" t="s">
        <v>1319</v>
      </c>
      <c r="C510" s="5" t="s">
        <v>42</v>
      </c>
      <c r="D510" s="5" t="s">
        <v>43</v>
      </c>
      <c r="E510" s="5" t="s">
        <v>600</v>
      </c>
      <c r="F510" s="9">
        <v>77</v>
      </c>
      <c r="G510" s="9">
        <v>794</v>
      </c>
      <c r="H510" s="5" t="s">
        <v>20</v>
      </c>
      <c r="I510" s="5" t="s">
        <v>1320</v>
      </c>
      <c r="J510" s="12" t="str">
        <f>HYPERLINK("https://www.boe.es/gazeta/dias/1806/09/19/pdfs/GMD-1806-77.pdf#page=6","Abrir facsímil")</f>
        <v>Abrir facsímil</v>
      </c>
      <c r="K510" s="15" t="s">
        <v>22</v>
      </c>
    </row>
    <row r="511" spans="1:11" ht="42" customHeight="1">
      <c r="A511" s="4" t="s">
        <v>1321</v>
      </c>
      <c r="B511" s="5" t="s">
        <v>1322</v>
      </c>
      <c r="C511" s="5" t="s">
        <v>31</v>
      </c>
      <c r="D511" s="5" t="s">
        <v>32</v>
      </c>
      <c r="E511" s="5" t="s">
        <v>191</v>
      </c>
      <c r="F511" s="9">
        <v>103</v>
      </c>
      <c r="G511" s="9">
        <v>1092</v>
      </c>
      <c r="H511" s="5" t="s">
        <v>20</v>
      </c>
      <c r="I511" s="5" t="s">
        <v>1323</v>
      </c>
      <c r="J511" s="12" t="str">
        <f>HYPERLINK("https://www.boe.es/gazeta/dias/1806/12/19/pdfs/GMD-1806-103.pdf#page=4","Abrir facsímil")</f>
        <v>Abrir facsímil</v>
      </c>
      <c r="K511" s="15" t="s">
        <v>22</v>
      </c>
    </row>
    <row r="512" spans="1:11" ht="42" customHeight="1">
      <c r="A512" s="4" t="s">
        <v>1324</v>
      </c>
      <c r="B512" s="5" t="s">
        <v>1325</v>
      </c>
      <c r="C512" s="5" t="s">
        <v>31</v>
      </c>
      <c r="D512" s="5" t="s">
        <v>32</v>
      </c>
      <c r="E512" s="5" t="s">
        <v>127</v>
      </c>
      <c r="F512" s="9">
        <v>81</v>
      </c>
      <c r="G512" s="9">
        <v>837</v>
      </c>
      <c r="H512" s="5" t="s">
        <v>20</v>
      </c>
      <c r="I512" s="5" t="s">
        <v>1326</v>
      </c>
      <c r="J512" s="12" t="str">
        <f>HYPERLINK("https://www.boe.es/gazeta/dias/1806/10/03/pdfs/GMD-1806-81.pdf#page=5","Abrir facsímil")</f>
        <v>Abrir facsímil</v>
      </c>
      <c r="K512" s="15" t="s">
        <v>22</v>
      </c>
    </row>
    <row r="513" spans="1:11" ht="42" customHeight="1">
      <c r="A513" s="4" t="s">
        <v>1327</v>
      </c>
      <c r="B513" s="5" t="s">
        <v>1328</v>
      </c>
      <c r="C513" s="5" t="s">
        <v>42</v>
      </c>
      <c r="D513" s="5" t="s">
        <v>43</v>
      </c>
      <c r="E513" s="5" t="s">
        <v>400</v>
      </c>
      <c r="F513" s="9">
        <v>22</v>
      </c>
      <c r="G513" s="9">
        <v>207</v>
      </c>
      <c r="H513" s="5" t="s">
        <v>20</v>
      </c>
      <c r="I513" s="5" t="s">
        <v>1329</v>
      </c>
      <c r="J513" s="12" t="str">
        <f>HYPERLINK("https://www.boe.es/gazeta/dias/1806/03/11/pdfs/GMD-1806-22.pdf#page=7","Abrir facsímil")</f>
        <v>Abrir facsímil</v>
      </c>
      <c r="K513" s="15" t="s">
        <v>22</v>
      </c>
    </row>
    <row r="514" spans="1:11" ht="42" customHeight="1">
      <c r="A514" s="4" t="s">
        <v>1330</v>
      </c>
      <c r="B514" s="5" t="s">
        <v>1331</v>
      </c>
      <c r="C514" s="5" t="s">
        <v>17</v>
      </c>
      <c r="D514" s="5" t="s">
        <v>18</v>
      </c>
      <c r="E514" s="5" t="s">
        <v>554</v>
      </c>
      <c r="F514" s="9">
        <v>90</v>
      </c>
      <c r="G514" s="9">
        <v>934</v>
      </c>
      <c r="H514" s="5" t="s">
        <v>20</v>
      </c>
      <c r="I514" s="5" t="s">
        <v>1332</v>
      </c>
      <c r="J514" s="12" t="str">
        <f>HYPERLINK("https://www.boe.es/gazeta/dias/1806/11/04/pdfs/GMD-1806-90.pdf#page=10","Abrir facsímil")</f>
        <v>Abrir facsímil</v>
      </c>
      <c r="K514" s="15" t="s">
        <v>22</v>
      </c>
    </row>
    <row r="515" spans="1:11" ht="42" customHeight="1">
      <c r="A515" s="4" t="s">
        <v>1333</v>
      </c>
      <c r="B515" s="5" t="s">
        <v>1334</v>
      </c>
      <c r="C515" s="5" t="s">
        <v>31</v>
      </c>
      <c r="D515" s="5" t="s">
        <v>32</v>
      </c>
      <c r="E515" s="5" t="s">
        <v>48</v>
      </c>
      <c r="F515" s="9">
        <v>67</v>
      </c>
      <c r="G515" s="9">
        <v>699</v>
      </c>
      <c r="H515" s="5" t="s">
        <v>20</v>
      </c>
      <c r="I515" s="5" t="s">
        <v>1335</v>
      </c>
      <c r="J515" s="12" t="str">
        <f>HYPERLINK("https://www.boe.es/gazeta/dias/1806/08/15/pdfs/GMD-1806-67.pdf#page=7","Abrir facsímil")</f>
        <v>Abrir facsímil</v>
      </c>
      <c r="K515" s="15" t="s">
        <v>22</v>
      </c>
    </row>
    <row r="516" spans="1:11" ht="42" customHeight="1">
      <c r="A516" s="4" t="s">
        <v>1336</v>
      </c>
      <c r="B516" s="5" t="s">
        <v>1337</v>
      </c>
      <c r="C516" s="5" t="s">
        <v>75</v>
      </c>
      <c r="D516" s="5" t="s">
        <v>43</v>
      </c>
      <c r="E516" s="5" t="s">
        <v>340</v>
      </c>
      <c r="F516" s="9">
        <v>31</v>
      </c>
      <c r="G516" s="9">
        <v>297</v>
      </c>
      <c r="H516" s="5" t="s">
        <v>20</v>
      </c>
      <c r="I516" s="5" t="s">
        <v>1338</v>
      </c>
      <c r="J516" s="12" t="str">
        <f>HYPERLINK("https://www.boe.es/gazeta/dias/1806/04/11/pdfs/GMD-1806-31.pdf#page=1","Abrir facsímil")</f>
        <v>Abrir facsímil</v>
      </c>
      <c r="K516" s="15" t="s">
        <v>22</v>
      </c>
    </row>
    <row r="517" spans="1:11" ht="42" customHeight="1">
      <c r="A517" s="4" t="s">
        <v>1339</v>
      </c>
      <c r="B517" s="5" t="s">
        <v>1339</v>
      </c>
      <c r="C517" s="5" t="s">
        <v>75</v>
      </c>
      <c r="D517" s="5" t="s">
        <v>43</v>
      </c>
      <c r="E517" s="5" t="s">
        <v>48</v>
      </c>
      <c r="F517" s="9">
        <v>67</v>
      </c>
      <c r="G517" s="9">
        <v>700</v>
      </c>
      <c r="H517" s="5" t="s">
        <v>20</v>
      </c>
      <c r="I517" s="5" t="s">
        <v>1340</v>
      </c>
      <c r="J517" s="12" t="str">
        <f>HYPERLINK("https://www.boe.es/gazeta/dias/1806/08/15/pdfs/GMD-1806-67.pdf#page=8","Abrir facsímil")</f>
        <v>Abrir facsímil</v>
      </c>
      <c r="K517" s="15" t="s">
        <v>22</v>
      </c>
    </row>
    <row r="518" spans="1:11" ht="42" customHeight="1">
      <c r="A518" s="4" t="s">
        <v>1341</v>
      </c>
      <c r="B518" s="5" t="s">
        <v>1342</v>
      </c>
      <c r="C518" s="5" t="s">
        <v>42</v>
      </c>
      <c r="D518" s="5" t="s">
        <v>43</v>
      </c>
      <c r="E518" s="5" t="s">
        <v>113</v>
      </c>
      <c r="F518" s="9">
        <v>28</v>
      </c>
      <c r="G518" s="9">
        <v>280</v>
      </c>
      <c r="H518" s="5" t="s">
        <v>20</v>
      </c>
      <c r="I518" s="5" t="s">
        <v>1343</v>
      </c>
      <c r="J518" s="12" t="str">
        <f>HYPERLINK("https://www.boe.es/gazeta/dias/1806/04/01/pdfs/GMD-1806-28.pdf#page=8","Abrir facsímil")</f>
        <v>Abrir facsímil</v>
      </c>
      <c r="K518" s="15" t="s">
        <v>22</v>
      </c>
    </row>
    <row r="519" spans="1:11" ht="42" customHeight="1">
      <c r="A519" s="4" t="s">
        <v>1344</v>
      </c>
      <c r="B519" s="5" t="s">
        <v>1345</v>
      </c>
      <c r="C519" s="5" t="s">
        <v>36</v>
      </c>
      <c r="D519" s="5" t="s">
        <v>37</v>
      </c>
      <c r="E519" s="5" t="s">
        <v>191</v>
      </c>
      <c r="F519" s="9">
        <v>103</v>
      </c>
      <c r="G519" s="9">
        <v>1100</v>
      </c>
      <c r="H519" s="5" t="s">
        <v>20</v>
      </c>
      <c r="I519" s="5" t="s">
        <v>1346</v>
      </c>
      <c r="J519" s="12" t="str">
        <f>HYPERLINK("https://www.boe.es/gazeta/dias/1806/12/19/pdfs/GMD-1806-103.pdf#page=12","Abrir facsímil")</f>
        <v>Abrir facsímil</v>
      </c>
      <c r="K519" s="15" t="s">
        <v>22</v>
      </c>
    </row>
    <row r="520" spans="1:11" ht="42" customHeight="1">
      <c r="A520" s="4" t="s">
        <v>1347</v>
      </c>
      <c r="B520" s="5" t="s">
        <v>1348</v>
      </c>
      <c r="C520" s="5" t="s">
        <v>31</v>
      </c>
      <c r="D520" s="5" t="s">
        <v>32</v>
      </c>
      <c r="E520" s="5" t="s">
        <v>540</v>
      </c>
      <c r="F520" s="9">
        <v>51</v>
      </c>
      <c r="G520" s="9">
        <v>531</v>
      </c>
      <c r="H520" s="5" t="s">
        <v>20</v>
      </c>
      <c r="I520" s="5" t="s">
        <v>1349</v>
      </c>
      <c r="J520" s="12" t="str">
        <f>HYPERLINK("https://www.boe.es/gazeta/dias/1806/06/20/pdfs/GMD-1806-51.pdf#page=11","Abrir facsímil")</f>
        <v>Abrir facsímil</v>
      </c>
      <c r="K520" s="15" t="s">
        <v>22</v>
      </c>
    </row>
    <row r="521" spans="1:11" ht="42" customHeight="1">
      <c r="A521" s="4" t="s">
        <v>1350</v>
      </c>
      <c r="B521" s="5" t="s">
        <v>1351</v>
      </c>
      <c r="C521" s="5" t="s">
        <v>17</v>
      </c>
      <c r="D521" s="5" t="s">
        <v>18</v>
      </c>
      <c r="E521" s="5" t="s">
        <v>306</v>
      </c>
      <c r="F521" s="9">
        <v>59</v>
      </c>
      <c r="G521" s="9">
        <v>612</v>
      </c>
      <c r="H521" s="5" t="s">
        <v>20</v>
      </c>
      <c r="I521" s="5" t="s">
        <v>1352</v>
      </c>
      <c r="J521" s="12" t="str">
        <f>HYPERLINK("https://www.boe.es/gazeta/dias/1806/07/18/pdfs/GMD-1806-59.pdf#page=8","Abrir facsímil")</f>
        <v>Abrir facsímil</v>
      </c>
      <c r="K521" s="15" t="s">
        <v>22</v>
      </c>
    </row>
    <row r="522" spans="1:11" ht="42" customHeight="1">
      <c r="A522" s="4" t="s">
        <v>1350</v>
      </c>
      <c r="B522" s="5" t="s">
        <v>1351</v>
      </c>
      <c r="C522" s="5" t="s">
        <v>17</v>
      </c>
      <c r="D522" s="5" t="s">
        <v>18</v>
      </c>
      <c r="E522" s="5" t="s">
        <v>600</v>
      </c>
      <c r="F522" s="9">
        <v>77</v>
      </c>
      <c r="G522" s="9">
        <v>794</v>
      </c>
      <c r="H522" s="5" t="s">
        <v>20</v>
      </c>
      <c r="I522" s="5" t="s">
        <v>1353</v>
      </c>
      <c r="J522" s="12" t="str">
        <f>HYPERLINK("https://www.boe.es/gazeta/dias/1806/09/19/pdfs/GMD-1806-77.pdf#page=6","Abrir facsímil")</f>
        <v>Abrir facsímil</v>
      </c>
      <c r="K522" s="15" t="s">
        <v>22</v>
      </c>
    </row>
    <row r="523" spans="1:11" ht="42" customHeight="1">
      <c r="A523" s="4" t="s">
        <v>1354</v>
      </c>
      <c r="B523" s="5" t="s">
        <v>1355</v>
      </c>
      <c r="C523" s="5" t="s">
        <v>69</v>
      </c>
      <c r="D523" s="5" t="s">
        <v>70</v>
      </c>
      <c r="E523" s="5" t="s">
        <v>144</v>
      </c>
      <c r="F523" s="9">
        <v>79</v>
      </c>
      <c r="G523" s="9">
        <v>817</v>
      </c>
      <c r="H523" s="5" t="s">
        <v>20</v>
      </c>
      <c r="I523" s="5" t="s">
        <v>1356</v>
      </c>
      <c r="J523" s="12" t="str">
        <f>HYPERLINK("https://www.boe.es/gazeta/dias/1806/09/26/pdfs/GMD-1806-79.pdf#page=9","Abrir facsímil")</f>
        <v>Abrir facsímil</v>
      </c>
      <c r="K523" s="15" t="s">
        <v>22</v>
      </c>
    </row>
    <row r="524" spans="1:11" ht="42" customHeight="1">
      <c r="A524" s="4" t="s">
        <v>1354</v>
      </c>
      <c r="B524" s="5" t="s">
        <v>1355</v>
      </c>
      <c r="C524" s="5" t="s">
        <v>31</v>
      </c>
      <c r="D524" s="5" t="s">
        <v>32</v>
      </c>
      <c r="E524" s="5" t="s">
        <v>140</v>
      </c>
      <c r="F524" s="9">
        <v>83</v>
      </c>
      <c r="G524" s="9">
        <v>858</v>
      </c>
      <c r="H524" s="5" t="s">
        <v>20</v>
      </c>
      <c r="I524" s="5" t="s">
        <v>1357</v>
      </c>
      <c r="J524" s="12" t="str">
        <f>HYPERLINK("https://www.boe.es/gazeta/dias/1806/10/10/pdfs/GMD-1806-83.pdf#page=6","Abrir facsímil")</f>
        <v>Abrir facsímil</v>
      </c>
      <c r="K524" s="15" t="s">
        <v>22</v>
      </c>
    </row>
    <row r="525" spans="1:11" ht="42" customHeight="1">
      <c r="A525" s="4" t="s">
        <v>1358</v>
      </c>
      <c r="B525" s="5" t="s">
        <v>1359</v>
      </c>
      <c r="C525" s="5" t="s">
        <v>42</v>
      </c>
      <c r="D525" s="5" t="s">
        <v>43</v>
      </c>
      <c r="E525" s="5" t="s">
        <v>238</v>
      </c>
      <c r="F525" s="9">
        <v>18</v>
      </c>
      <c r="G525" s="9">
        <v>160</v>
      </c>
      <c r="H525" s="5" t="s">
        <v>20</v>
      </c>
      <c r="I525" s="5" t="s">
        <v>1360</v>
      </c>
      <c r="J525" s="12" t="str">
        <f>HYPERLINK("https://www.boe.es/gazeta/dias/1806/02/25/pdfs/GMD-1806-18.pdf#page=8","Abrir facsímil")</f>
        <v>Abrir facsímil</v>
      </c>
      <c r="K525" s="15" t="s">
        <v>22</v>
      </c>
    </row>
    <row r="526" spans="1:11" ht="42" customHeight="1">
      <c r="A526" s="4" t="s">
        <v>1361</v>
      </c>
      <c r="B526" s="5" t="s">
        <v>1362</v>
      </c>
      <c r="C526" s="5" t="s">
        <v>31</v>
      </c>
      <c r="D526" s="5" t="s">
        <v>32</v>
      </c>
      <c r="E526" s="5" t="s">
        <v>290</v>
      </c>
      <c r="F526" s="9">
        <v>1</v>
      </c>
      <c r="G526" s="9">
        <v>6</v>
      </c>
      <c r="H526" s="5" t="s">
        <v>20</v>
      </c>
      <c r="I526" s="5" t="s">
        <v>1363</v>
      </c>
      <c r="J526" s="12" t="str">
        <f>HYPERLINK("https://www.boe.es/gazeta/dias/1806/01/03/pdfs/GMD-1806-1.pdf#page=6","Abrir facsímil")</f>
        <v>Abrir facsímil</v>
      </c>
      <c r="K526" s="15" t="s">
        <v>22</v>
      </c>
    </row>
    <row r="527" spans="1:11" ht="42" customHeight="1">
      <c r="A527" s="4" t="s">
        <v>1364</v>
      </c>
      <c r="B527" s="5" t="s">
        <v>1365</v>
      </c>
      <c r="C527" s="5" t="s">
        <v>69</v>
      </c>
      <c r="D527" s="5" t="s">
        <v>70</v>
      </c>
      <c r="E527" s="5" t="s">
        <v>79</v>
      </c>
      <c r="F527" s="9">
        <v>68</v>
      </c>
      <c r="G527" s="9">
        <v>707</v>
      </c>
      <c r="H527" s="5" t="s">
        <v>20</v>
      </c>
      <c r="I527" s="5" t="s">
        <v>1366</v>
      </c>
      <c r="J527" s="12" t="str">
        <f>HYPERLINK("https://www.boe.es/gazeta/dias/1806/08/19/pdfs/GMD-1806-68.pdf#page=3","Abrir facsímil")</f>
        <v>Abrir facsímil</v>
      </c>
      <c r="K527" s="15" t="s">
        <v>22</v>
      </c>
    </row>
    <row r="528" spans="1:11" ht="42" customHeight="1">
      <c r="A528" s="4" t="s">
        <v>1367</v>
      </c>
      <c r="B528" s="5" t="s">
        <v>1368</v>
      </c>
      <c r="C528" s="5" t="s">
        <v>31</v>
      </c>
      <c r="D528" s="5" t="s">
        <v>32</v>
      </c>
      <c r="E528" s="5" t="s">
        <v>130</v>
      </c>
      <c r="F528" s="9">
        <v>66</v>
      </c>
      <c r="G528" s="9">
        <v>688</v>
      </c>
      <c r="H528" s="5" t="s">
        <v>20</v>
      </c>
      <c r="I528" s="5" t="s">
        <v>1369</v>
      </c>
      <c r="J528" s="12" t="str">
        <f>HYPERLINK("https://www.boe.es/gazeta/dias/1806/08/12/pdfs/GMD-1806-66.pdf#page=4","Abrir facsímil")</f>
        <v>Abrir facsímil</v>
      </c>
      <c r="K528" s="15" t="s">
        <v>22</v>
      </c>
    </row>
    <row r="529" spans="1:11" ht="42" customHeight="1">
      <c r="A529" s="4" t="s">
        <v>1370</v>
      </c>
      <c r="B529" s="5" t="s">
        <v>1370</v>
      </c>
      <c r="C529" s="5" t="s">
        <v>31</v>
      </c>
      <c r="D529" s="5" t="s">
        <v>32</v>
      </c>
      <c r="E529" s="5" t="s">
        <v>175</v>
      </c>
      <c r="F529" s="9">
        <v>40</v>
      </c>
      <c r="G529" s="9">
        <v>394</v>
      </c>
      <c r="H529" s="5" t="s">
        <v>20</v>
      </c>
      <c r="I529" s="5" t="s">
        <v>1371</v>
      </c>
      <c r="J529" s="12" t="str">
        <f>HYPERLINK("https://www.boe.es/gazeta/dias/1806/05/13/pdfs/GMD-1806-40.pdf#page=6","Abrir facsímil")</f>
        <v>Abrir facsímil</v>
      </c>
      <c r="K529" s="15" t="s">
        <v>22</v>
      </c>
    </row>
    <row r="530" spans="1:11" ht="42" customHeight="1">
      <c r="A530" s="4" t="s">
        <v>1372</v>
      </c>
      <c r="B530" s="5" t="s">
        <v>1373</v>
      </c>
      <c r="C530" s="5" t="s">
        <v>31</v>
      </c>
      <c r="D530" s="5" t="s">
        <v>32</v>
      </c>
      <c r="E530" s="5" t="s">
        <v>178</v>
      </c>
      <c r="F530" s="9">
        <v>36</v>
      </c>
      <c r="G530" s="9">
        <v>350</v>
      </c>
      <c r="H530" s="5" t="s">
        <v>20</v>
      </c>
      <c r="I530" s="5" t="s">
        <v>1374</v>
      </c>
      <c r="J530" s="12" t="str">
        <f>HYPERLINK("https://www.boe.es/gazeta/dias/1806/04/29/pdfs/GMD-1806-36.pdf#page=6","Abrir facsímil")</f>
        <v>Abrir facsímil</v>
      </c>
      <c r="K530" s="15" t="s">
        <v>22</v>
      </c>
    </row>
    <row r="531" spans="1:11" ht="42" customHeight="1">
      <c r="A531" s="4" t="s">
        <v>1375</v>
      </c>
      <c r="B531" s="5" t="s">
        <v>1376</v>
      </c>
      <c r="C531" s="5" t="s">
        <v>31</v>
      </c>
      <c r="D531" s="5" t="s">
        <v>32</v>
      </c>
      <c r="E531" s="5" t="s">
        <v>140</v>
      </c>
      <c r="F531" s="9">
        <v>83</v>
      </c>
      <c r="G531" s="9">
        <v>860</v>
      </c>
      <c r="H531" s="5" t="s">
        <v>20</v>
      </c>
      <c r="I531" s="5" t="s">
        <v>1377</v>
      </c>
      <c r="J531" s="12" t="str">
        <f>HYPERLINK("https://www.boe.es/gazeta/dias/1806/10/10/pdfs/GMD-1806-83.pdf#page=8","Abrir facsímil")</f>
        <v>Abrir facsímil</v>
      </c>
      <c r="K531" s="15" t="s">
        <v>22</v>
      </c>
    </row>
    <row r="532" spans="1:11" ht="42" customHeight="1">
      <c r="A532" s="4" t="s">
        <v>1378</v>
      </c>
      <c r="B532" s="5" t="s">
        <v>1379</v>
      </c>
      <c r="C532" s="5" t="s">
        <v>31</v>
      </c>
      <c r="D532" s="5" t="s">
        <v>32</v>
      </c>
      <c r="E532" s="5" t="s">
        <v>816</v>
      </c>
      <c r="F532" s="9">
        <v>86</v>
      </c>
      <c r="G532" s="9">
        <v>891</v>
      </c>
      <c r="H532" s="5" t="s">
        <v>20</v>
      </c>
      <c r="I532" s="5" t="s">
        <v>1380</v>
      </c>
      <c r="J532" s="12" t="str">
        <f>HYPERLINK("https://www.boe.es/gazeta/dias/1806/10/21/pdfs/GMD-1806-86.pdf#page=7","Abrir facsímil")</f>
        <v>Abrir facsímil</v>
      </c>
      <c r="K532" s="15" t="s">
        <v>22</v>
      </c>
    </row>
    <row r="533" spans="1:11" ht="42" customHeight="1">
      <c r="A533" s="4" t="s">
        <v>1378</v>
      </c>
      <c r="B533" s="5" t="s">
        <v>1379</v>
      </c>
      <c r="C533" s="5" t="s">
        <v>31</v>
      </c>
      <c r="D533" s="5" t="s">
        <v>32</v>
      </c>
      <c r="E533" s="5" t="s">
        <v>191</v>
      </c>
      <c r="F533" s="9">
        <v>103</v>
      </c>
      <c r="G533" s="9">
        <v>1097</v>
      </c>
      <c r="H533" s="5" t="s">
        <v>20</v>
      </c>
      <c r="I533" s="5" t="s">
        <v>1381</v>
      </c>
      <c r="J533" s="12" t="str">
        <f>HYPERLINK("https://www.boe.es/gazeta/dias/1806/12/19/pdfs/GMD-1806-103.pdf#page=9","Abrir facsímil")</f>
        <v>Abrir facsímil</v>
      </c>
      <c r="K533" s="15" t="s">
        <v>22</v>
      </c>
    </row>
    <row r="534" spans="1:11" ht="42" customHeight="1">
      <c r="A534" s="4" t="s">
        <v>1382</v>
      </c>
      <c r="B534" s="5" t="s">
        <v>1383</v>
      </c>
      <c r="C534" s="5" t="s">
        <v>31</v>
      </c>
      <c r="D534" s="5" t="s">
        <v>32</v>
      </c>
      <c r="E534" s="5" t="s">
        <v>689</v>
      </c>
      <c r="F534" s="9">
        <v>37</v>
      </c>
      <c r="G534" s="9">
        <v>361</v>
      </c>
      <c r="H534" s="5" t="s">
        <v>20</v>
      </c>
      <c r="I534" s="5" t="s">
        <v>1384</v>
      </c>
      <c r="J534" s="12" t="str">
        <f>HYPERLINK("https://www.boe.es/gazeta/dias/1806/05/02/pdfs/GMD-1806-37.pdf#page=9","Abrir facsímil")</f>
        <v>Abrir facsímil</v>
      </c>
      <c r="K534" s="15" t="s">
        <v>22</v>
      </c>
    </row>
    <row r="535" spans="1:11" ht="42" customHeight="1">
      <c r="A535" s="4" t="s">
        <v>1385</v>
      </c>
      <c r="B535" s="5" t="s">
        <v>1385</v>
      </c>
      <c r="C535" s="5" t="s">
        <v>69</v>
      </c>
      <c r="D535" s="5" t="s">
        <v>70</v>
      </c>
      <c r="E535" s="5" t="s">
        <v>59</v>
      </c>
      <c r="F535" s="9">
        <v>21</v>
      </c>
      <c r="G535" s="9">
        <v>193</v>
      </c>
      <c r="H535" s="5" t="s">
        <v>20</v>
      </c>
      <c r="I535" s="5" t="s">
        <v>1386</v>
      </c>
      <c r="J535" s="12" t="str">
        <f>HYPERLINK("https://www.boe.es/gazeta/dias/1806/03/07/pdfs/GMD-1806-21.pdf#page=5","Abrir facsímil")</f>
        <v>Abrir facsímil</v>
      </c>
      <c r="K535" s="15" t="s">
        <v>22</v>
      </c>
    </row>
    <row r="536" spans="1:11" ht="42" customHeight="1">
      <c r="A536" s="4" t="s">
        <v>1387</v>
      </c>
      <c r="B536" s="5" t="s">
        <v>1388</v>
      </c>
      <c r="C536" s="5" t="s">
        <v>17</v>
      </c>
      <c r="D536" s="5" t="s">
        <v>18</v>
      </c>
      <c r="E536" s="5" t="s">
        <v>118</v>
      </c>
      <c r="F536" s="9">
        <v>15</v>
      </c>
      <c r="G536" s="9">
        <v>134</v>
      </c>
      <c r="H536" s="5" t="s">
        <v>20</v>
      </c>
      <c r="I536" s="5" t="s">
        <v>1389</v>
      </c>
      <c r="J536" s="12" t="str">
        <f>HYPERLINK("https://www.boe.es/gazeta/dias/1806/02/14/pdfs/GMD-1806-15.pdf#page=10","Abrir facsímil")</f>
        <v>Abrir facsímil</v>
      </c>
      <c r="K536" s="15" t="s">
        <v>22</v>
      </c>
    </row>
    <row r="537" spans="1:11" ht="42" customHeight="1">
      <c r="A537" s="4" t="s">
        <v>1390</v>
      </c>
      <c r="B537" s="5" t="s">
        <v>1390</v>
      </c>
      <c r="C537" s="5" t="s">
        <v>42</v>
      </c>
      <c r="D537" s="5" t="s">
        <v>43</v>
      </c>
      <c r="E537" s="5" t="s">
        <v>290</v>
      </c>
      <c r="F537" s="9">
        <v>1</v>
      </c>
      <c r="G537" s="9">
        <v>5</v>
      </c>
      <c r="H537" s="5" t="s">
        <v>20</v>
      </c>
      <c r="I537" s="5" t="s">
        <v>1391</v>
      </c>
      <c r="J537" s="12" t="str">
        <f>HYPERLINK("https://www.boe.es/gazeta/dias/1806/01/03/pdfs/GMD-1806-1.pdf#page=5","Abrir facsímil")</f>
        <v>Abrir facsímil</v>
      </c>
      <c r="K537" s="15" t="s">
        <v>22</v>
      </c>
    </row>
    <row r="538" spans="1:11" ht="42" customHeight="1">
      <c r="A538" s="4" t="s">
        <v>1392</v>
      </c>
      <c r="B538" s="5" t="s">
        <v>1393</v>
      </c>
      <c r="C538" s="5" t="s">
        <v>31</v>
      </c>
      <c r="D538" s="5" t="s">
        <v>32</v>
      </c>
      <c r="E538" s="5" t="s">
        <v>130</v>
      </c>
      <c r="F538" s="9">
        <v>66</v>
      </c>
      <c r="G538" s="9">
        <v>690</v>
      </c>
      <c r="H538" s="5" t="s">
        <v>20</v>
      </c>
      <c r="I538" s="5" t="s">
        <v>1394</v>
      </c>
      <c r="J538" s="12" t="str">
        <f>HYPERLINK("https://www.boe.es/gazeta/dias/1806/08/12/pdfs/GMD-1806-66.pdf#page=6","Abrir facsímil")</f>
        <v>Abrir facsímil</v>
      </c>
      <c r="K538" s="15" t="s">
        <v>22</v>
      </c>
    </row>
    <row r="539" spans="1:11" ht="42" customHeight="1">
      <c r="A539" s="4" t="s">
        <v>1395</v>
      </c>
      <c r="B539" s="5" t="s">
        <v>1396</v>
      </c>
      <c r="C539" s="5" t="s">
        <v>17</v>
      </c>
      <c r="D539" s="5" t="s">
        <v>18</v>
      </c>
      <c r="E539" s="5" t="s">
        <v>494</v>
      </c>
      <c r="F539" s="9">
        <v>69</v>
      </c>
      <c r="G539" s="9">
        <v>721</v>
      </c>
      <c r="H539" s="5" t="s">
        <v>20</v>
      </c>
      <c r="I539" s="5" t="s">
        <v>1397</v>
      </c>
      <c r="J539" s="12" t="str">
        <f>HYPERLINK("https://www.boe.es/gazeta/dias/1806/08/22/pdfs/GMD-1806-69.pdf#page=9","Abrir facsímil")</f>
        <v>Abrir facsímil</v>
      </c>
      <c r="K539" s="15" t="s">
        <v>22</v>
      </c>
    </row>
    <row r="540" spans="1:11" ht="42" customHeight="1">
      <c r="A540" s="4" t="s">
        <v>1398</v>
      </c>
      <c r="B540" s="5" t="s">
        <v>1399</v>
      </c>
      <c r="C540" s="5" t="s">
        <v>42</v>
      </c>
      <c r="D540" s="5" t="s">
        <v>43</v>
      </c>
      <c r="E540" s="5" t="s">
        <v>55</v>
      </c>
      <c r="F540" s="9">
        <v>20</v>
      </c>
      <c r="G540" s="9">
        <v>184</v>
      </c>
      <c r="H540" s="5" t="s">
        <v>20</v>
      </c>
      <c r="I540" s="5" t="s">
        <v>1400</v>
      </c>
      <c r="J540" s="12" t="str">
        <f>HYPERLINK("https://www.boe.es/gazeta/dias/1806/03/04/pdfs/GMD-1806-20.pdf#page=8","Abrir facsímil")</f>
        <v>Abrir facsímil</v>
      </c>
      <c r="K540" s="15" t="s">
        <v>22</v>
      </c>
    </row>
    <row r="541" spans="1:11" ht="42" customHeight="1">
      <c r="A541" s="4" t="s">
        <v>1401</v>
      </c>
      <c r="B541" s="5" t="s">
        <v>1401</v>
      </c>
      <c r="C541" s="5" t="s">
        <v>69</v>
      </c>
      <c r="D541" s="5" t="s">
        <v>70</v>
      </c>
      <c r="E541" s="5" t="s">
        <v>271</v>
      </c>
      <c r="F541" s="9">
        <v>6</v>
      </c>
      <c r="G541" s="9">
        <v>46</v>
      </c>
      <c r="H541" s="5" t="s">
        <v>20</v>
      </c>
      <c r="I541" s="5" t="s">
        <v>1402</v>
      </c>
      <c r="J541" s="12" t="str">
        <f>HYPERLINK("https://www.boe.es/gazeta/dias/1806/01/17/pdfs/GMD-1806-6.pdf#page=2","Abrir facsímil")</f>
        <v>Abrir facsímil</v>
      </c>
      <c r="K541" s="15" t="s">
        <v>22</v>
      </c>
    </row>
    <row r="542" spans="1:11" ht="42" customHeight="1">
      <c r="A542" s="4" t="s">
        <v>1403</v>
      </c>
      <c r="B542" s="5" t="s">
        <v>1404</v>
      </c>
      <c r="C542" s="5" t="s">
        <v>17</v>
      </c>
      <c r="D542" s="5" t="s">
        <v>18</v>
      </c>
      <c r="E542" s="5" t="s">
        <v>76</v>
      </c>
      <c r="F542" s="9">
        <v>98</v>
      </c>
      <c r="G542" s="9">
        <v>1035</v>
      </c>
      <c r="H542" s="5" t="s">
        <v>20</v>
      </c>
      <c r="I542" s="5" t="s">
        <v>1405</v>
      </c>
      <c r="J542" s="12" t="str">
        <f>HYPERLINK("https://www.boe.es/gazeta/dias/1806/12/02/pdfs/GMD-1806-98.pdf#page=3","Abrir facsímil")</f>
        <v>Abrir facsímil</v>
      </c>
      <c r="K542" s="15" t="s">
        <v>22</v>
      </c>
    </row>
    <row r="543" spans="1:11" ht="42" customHeight="1">
      <c r="A543" s="4" t="s">
        <v>1406</v>
      </c>
      <c r="B543" s="5" t="s">
        <v>1407</v>
      </c>
      <c r="C543" s="5" t="s">
        <v>31</v>
      </c>
      <c r="D543" s="5" t="s">
        <v>32</v>
      </c>
      <c r="E543" s="5" t="s">
        <v>540</v>
      </c>
      <c r="F543" s="9">
        <v>51</v>
      </c>
      <c r="G543" s="9">
        <v>524</v>
      </c>
      <c r="H543" s="5" t="s">
        <v>20</v>
      </c>
      <c r="I543" s="5" t="s">
        <v>1408</v>
      </c>
      <c r="J543" s="12" t="str">
        <f>HYPERLINK("https://www.boe.es/gazeta/dias/1806/06/20/pdfs/GMD-1806-51.pdf#page=4","Abrir facsímil")</f>
        <v>Abrir facsímil</v>
      </c>
      <c r="K543" s="15" t="s">
        <v>22</v>
      </c>
    </row>
    <row r="544" spans="1:11" ht="42" customHeight="1">
      <c r="A544" s="4" t="s">
        <v>1409</v>
      </c>
      <c r="B544" s="5" t="s">
        <v>1409</v>
      </c>
      <c r="C544" s="5" t="s">
        <v>69</v>
      </c>
      <c r="D544" s="5" t="s">
        <v>70</v>
      </c>
      <c r="E544" s="5" t="s">
        <v>327</v>
      </c>
      <c r="F544" s="9">
        <v>104</v>
      </c>
      <c r="G544" s="9">
        <v>1103</v>
      </c>
      <c r="H544" s="5" t="s">
        <v>20</v>
      </c>
      <c r="I544" s="5" t="s">
        <v>1410</v>
      </c>
      <c r="J544" s="12" t="str">
        <f>HYPERLINK("https://www.boe.es/gazeta/dias/1806/12/23/pdfs/GMD-1806-104.pdf#page=3","Abrir facsímil")</f>
        <v>Abrir facsímil</v>
      </c>
      <c r="K544" s="15" t="s">
        <v>22</v>
      </c>
    </row>
    <row r="545" spans="1:11" ht="42" customHeight="1">
      <c r="A545" s="4" t="s">
        <v>1411</v>
      </c>
      <c r="B545" s="5" t="s">
        <v>1412</v>
      </c>
      <c r="C545" s="5" t="s">
        <v>75</v>
      </c>
      <c r="D545" s="5" t="s">
        <v>43</v>
      </c>
      <c r="E545" s="5" t="s">
        <v>28</v>
      </c>
      <c r="F545" s="9">
        <v>102</v>
      </c>
      <c r="G545" s="9">
        <v>1086</v>
      </c>
      <c r="H545" s="5" t="s">
        <v>20</v>
      </c>
      <c r="I545" s="5" t="s">
        <v>1413</v>
      </c>
      <c r="J545" s="12" t="str">
        <f>HYPERLINK("https://www.boe.es/gazeta/dias/1806/12/16/pdfs/GMD-1806-102.pdf#page=10","Abrir facsímil")</f>
        <v>Abrir facsímil</v>
      </c>
      <c r="K545" s="15" t="s">
        <v>22</v>
      </c>
    </row>
    <row r="546" spans="1:11" ht="42" customHeight="1">
      <c r="A546" s="4" t="s">
        <v>1414</v>
      </c>
      <c r="B546" s="5" t="s">
        <v>1415</v>
      </c>
      <c r="C546" s="5" t="s">
        <v>36</v>
      </c>
      <c r="D546" s="5" t="s">
        <v>37</v>
      </c>
      <c r="E546" s="5" t="s">
        <v>363</v>
      </c>
      <c r="F546" s="9">
        <v>8</v>
      </c>
      <c r="G546" s="9">
        <v>75</v>
      </c>
      <c r="H546" s="5" t="s">
        <v>20</v>
      </c>
      <c r="I546" s="5" t="s">
        <v>1416</v>
      </c>
      <c r="J546" s="12" t="str">
        <f>HYPERLINK("https://www.boe.es/gazeta/dias/1806/01/24/pdfs/GMD-1806-8.pdf#page=7","Abrir facsímil")</f>
        <v>Abrir facsímil</v>
      </c>
      <c r="K546" s="15" t="s">
        <v>22</v>
      </c>
    </row>
    <row r="547" spans="1:11" ht="42" customHeight="1">
      <c r="A547" s="4" t="s">
        <v>1417</v>
      </c>
      <c r="B547" s="5" t="s">
        <v>1418</v>
      </c>
      <c r="C547" s="5" t="s">
        <v>42</v>
      </c>
      <c r="D547" s="5" t="s">
        <v>43</v>
      </c>
      <c r="E547" s="5" t="s">
        <v>62</v>
      </c>
      <c r="F547" s="9">
        <v>45</v>
      </c>
      <c r="G547" s="9">
        <v>457</v>
      </c>
      <c r="H547" s="5" t="s">
        <v>20</v>
      </c>
      <c r="I547" s="5" t="s">
        <v>1419</v>
      </c>
      <c r="J547" s="12" t="str">
        <f>HYPERLINK("https://www.boe.es/gazeta/dias/1806/05/30/pdfs/GMD-1806-45.pdf#page=9","Abrir facsímil")</f>
        <v>Abrir facsímil</v>
      </c>
      <c r="K547" s="15" t="s">
        <v>22</v>
      </c>
    </row>
    <row r="548" spans="1:11" ht="42" customHeight="1">
      <c r="A548" s="4" t="s">
        <v>1420</v>
      </c>
      <c r="B548" s="5" t="s">
        <v>1421</v>
      </c>
      <c r="C548" s="5" t="s">
        <v>69</v>
      </c>
      <c r="D548" s="5" t="s">
        <v>70</v>
      </c>
      <c r="E548" s="5" t="s">
        <v>657</v>
      </c>
      <c r="F548" s="9">
        <v>96</v>
      </c>
      <c r="G548" s="9">
        <v>1015</v>
      </c>
      <c r="H548" s="5" t="s">
        <v>20</v>
      </c>
      <c r="I548" s="5" t="s">
        <v>1422</v>
      </c>
      <c r="J548" s="12" t="str">
        <f>HYPERLINK("https://www.boe.es/gazeta/dias/1806/11/25/pdfs/GMD-1806-96.pdf#page=7","Abrir facsímil")</f>
        <v>Abrir facsímil</v>
      </c>
      <c r="K548" s="15" t="s">
        <v>22</v>
      </c>
    </row>
    <row r="549" spans="1:11" ht="42" customHeight="1">
      <c r="A549" s="4" t="s">
        <v>1423</v>
      </c>
      <c r="B549" s="5" t="s">
        <v>1424</v>
      </c>
      <c r="C549" s="5" t="s">
        <v>17</v>
      </c>
      <c r="D549" s="5" t="s">
        <v>18</v>
      </c>
      <c r="E549" s="5" t="s">
        <v>90</v>
      </c>
      <c r="F549" s="9">
        <v>60</v>
      </c>
      <c r="G549" s="9">
        <v>627</v>
      </c>
      <c r="H549" s="5" t="s">
        <v>20</v>
      </c>
      <c r="I549" s="5" t="s">
        <v>1425</v>
      </c>
      <c r="J549" s="12" t="str">
        <f>HYPERLINK("https://www.boe.es/gazeta/dias/1806/07/22/pdfs/GMD-1806-60.pdf#page=11","Abrir facsímil")</f>
        <v>Abrir facsímil</v>
      </c>
      <c r="K549" s="15" t="s">
        <v>22</v>
      </c>
    </row>
    <row r="550" spans="1:11" ht="42" customHeight="1">
      <c r="A550" s="4" t="s">
        <v>1426</v>
      </c>
      <c r="B550" s="5" t="s">
        <v>1427</v>
      </c>
      <c r="C550" s="5" t="s">
        <v>31</v>
      </c>
      <c r="D550" s="5" t="s">
        <v>32</v>
      </c>
      <c r="E550" s="5" t="s">
        <v>348</v>
      </c>
      <c r="F550" s="9">
        <v>88</v>
      </c>
      <c r="G550" s="9">
        <v>910</v>
      </c>
      <c r="H550" s="5" t="s">
        <v>20</v>
      </c>
      <c r="I550" s="5" t="s">
        <v>1428</v>
      </c>
      <c r="J550" s="12" t="str">
        <f>HYPERLINK("https://www.boe.es/gazeta/dias/1806/10/28/pdfs/GMD-1806-88.pdf#page=6","Abrir facsímil")</f>
        <v>Abrir facsímil</v>
      </c>
      <c r="K550" s="15" t="s">
        <v>22</v>
      </c>
    </row>
    <row r="551" spans="1:11" ht="42" customHeight="1">
      <c r="A551" s="4" t="s">
        <v>1429</v>
      </c>
      <c r="B551" s="5" t="s">
        <v>1430</v>
      </c>
      <c r="C551" s="5" t="s">
        <v>69</v>
      </c>
      <c r="D551" s="5" t="s">
        <v>70</v>
      </c>
      <c r="E551" s="5" t="s">
        <v>438</v>
      </c>
      <c r="F551" s="9">
        <v>70</v>
      </c>
      <c r="G551" s="9">
        <v>726</v>
      </c>
      <c r="H551" s="5" t="s">
        <v>20</v>
      </c>
      <c r="I551" s="5" t="s">
        <v>1431</v>
      </c>
      <c r="J551" s="12" t="str">
        <f>HYPERLINK("https://www.boe.es/gazeta/dias/1806/08/26/pdfs/GMD-1806-70.pdf#page=2","Abrir facsímil")</f>
        <v>Abrir facsímil</v>
      </c>
      <c r="K551" s="15" t="s">
        <v>22</v>
      </c>
    </row>
    <row r="552" spans="1:11" ht="42" customHeight="1">
      <c r="A552" s="4" t="s">
        <v>1432</v>
      </c>
      <c r="B552" s="5" t="s">
        <v>1433</v>
      </c>
      <c r="C552" s="5" t="s">
        <v>69</v>
      </c>
      <c r="D552" s="5" t="s">
        <v>70</v>
      </c>
      <c r="E552" s="5" t="s">
        <v>661</v>
      </c>
      <c r="F552" s="9">
        <v>38</v>
      </c>
      <c r="G552" s="9">
        <v>371</v>
      </c>
      <c r="H552" s="5" t="s">
        <v>20</v>
      </c>
      <c r="I552" s="5" t="s">
        <v>1434</v>
      </c>
      <c r="J552" s="12" t="str">
        <f>HYPERLINK("https://www.boe.es/gazeta/dias/1806/05/06/pdfs/GMD-1806-38.pdf#page=7","Abrir facsímil")</f>
        <v>Abrir facsímil</v>
      </c>
      <c r="K552" s="15" t="s">
        <v>22</v>
      </c>
    </row>
    <row r="553" spans="1:11" ht="42" customHeight="1">
      <c r="A553" s="4" t="s">
        <v>1432</v>
      </c>
      <c r="B553" s="5" t="s">
        <v>1433</v>
      </c>
      <c r="C553" s="5" t="s">
        <v>17</v>
      </c>
      <c r="D553" s="5" t="s">
        <v>18</v>
      </c>
      <c r="E553" s="5" t="s">
        <v>175</v>
      </c>
      <c r="F553" s="9">
        <v>40</v>
      </c>
      <c r="G553" s="9">
        <v>394</v>
      </c>
      <c r="H553" s="5" t="s">
        <v>20</v>
      </c>
      <c r="I553" s="5" t="s">
        <v>1435</v>
      </c>
      <c r="J553" s="12" t="str">
        <f>HYPERLINK("https://www.boe.es/gazeta/dias/1806/05/13/pdfs/GMD-1806-40.pdf#page=6","Abrir facsímil")</f>
        <v>Abrir facsímil</v>
      </c>
      <c r="K553" s="15" t="s">
        <v>22</v>
      </c>
    </row>
    <row r="554" spans="1:11" ht="42" customHeight="1">
      <c r="A554" s="4" t="s">
        <v>1436</v>
      </c>
      <c r="B554" s="5" t="s">
        <v>1437</v>
      </c>
      <c r="C554" s="5" t="s">
        <v>69</v>
      </c>
      <c r="D554" s="5" t="s">
        <v>70</v>
      </c>
      <c r="E554" s="5" t="s">
        <v>837</v>
      </c>
      <c r="F554" s="9">
        <v>26</v>
      </c>
      <c r="G554" s="9">
        <v>251</v>
      </c>
      <c r="H554" s="5" t="s">
        <v>20</v>
      </c>
      <c r="I554" s="5" t="s">
        <v>1438</v>
      </c>
      <c r="J554" s="12" t="str">
        <f>HYPERLINK("https://www.boe.es/gazeta/dias/1806/03/25/pdfs/GMD-1806-26.pdf#page=3","Abrir facsímil")</f>
        <v>Abrir facsímil</v>
      </c>
      <c r="K554" s="15" t="s">
        <v>22</v>
      </c>
    </row>
    <row r="555" spans="1:11" ht="42" customHeight="1">
      <c r="A555" s="4" t="s">
        <v>1439</v>
      </c>
      <c r="B555" s="5" t="s">
        <v>1439</v>
      </c>
      <c r="C555" s="5" t="s">
        <v>69</v>
      </c>
      <c r="D555" s="5" t="s">
        <v>70</v>
      </c>
      <c r="E555" s="5" t="s">
        <v>816</v>
      </c>
      <c r="F555" s="9">
        <v>86</v>
      </c>
      <c r="G555" s="9">
        <v>888</v>
      </c>
      <c r="H555" s="5" t="s">
        <v>20</v>
      </c>
      <c r="I555" s="5" t="s">
        <v>1440</v>
      </c>
      <c r="J555" s="12" t="str">
        <f>HYPERLINK("https://www.boe.es/gazeta/dias/1806/10/21/pdfs/GMD-1806-86.pdf#page=4","Abrir facsímil")</f>
        <v>Abrir facsímil</v>
      </c>
      <c r="K555" s="15" t="s">
        <v>22</v>
      </c>
    </row>
    <row r="556" spans="1:11" ht="42" customHeight="1">
      <c r="A556" s="4" t="s">
        <v>1441</v>
      </c>
      <c r="B556" s="5" t="s">
        <v>1441</v>
      </c>
      <c r="C556" s="5" t="s">
        <v>69</v>
      </c>
      <c r="D556" s="5" t="s">
        <v>70</v>
      </c>
      <c r="E556" s="5" t="s">
        <v>93</v>
      </c>
      <c r="F556" s="9">
        <v>72</v>
      </c>
      <c r="G556" s="9">
        <v>743</v>
      </c>
      <c r="H556" s="5" t="s">
        <v>20</v>
      </c>
      <c r="I556" s="5" t="s">
        <v>1442</v>
      </c>
      <c r="J556" s="12" t="str">
        <f>HYPERLINK("https://www.boe.es/gazeta/dias/1806/09/02/pdfs/GMD-1806-72.pdf#page=3","Abrir facsímil")</f>
        <v>Abrir facsímil</v>
      </c>
      <c r="K556" s="15" t="s">
        <v>22</v>
      </c>
    </row>
    <row r="557" spans="1:11" ht="42" customHeight="1">
      <c r="A557" s="4" t="s">
        <v>1443</v>
      </c>
      <c r="B557" s="5" t="s">
        <v>1444</v>
      </c>
      <c r="C557" s="5" t="s">
        <v>447</v>
      </c>
      <c r="D557" s="5" t="s">
        <v>448</v>
      </c>
      <c r="E557" s="5" t="s">
        <v>304</v>
      </c>
      <c r="F557" s="9">
        <v>47</v>
      </c>
      <c r="G557" s="9">
        <v>483</v>
      </c>
      <c r="H557" s="5" t="s">
        <v>20</v>
      </c>
      <c r="I557" s="5" t="s">
        <v>1445</v>
      </c>
      <c r="J557" s="12" t="str">
        <f>HYPERLINK("https://www.boe.es/gazeta/dias/1806/06/06/pdfs/GMD-C-1806-47.pdf#page=3","Abrir facsímil")</f>
        <v>Abrir facsímil</v>
      </c>
      <c r="K557" s="15" t="s">
        <v>22</v>
      </c>
    </row>
    <row r="558" spans="1:11" ht="42" customHeight="1">
      <c r="A558" s="4" t="s">
        <v>1446</v>
      </c>
      <c r="B558" s="5" t="s">
        <v>1447</v>
      </c>
      <c r="C558" s="5" t="s">
        <v>31</v>
      </c>
      <c r="D558" s="5" t="s">
        <v>32</v>
      </c>
      <c r="E558" s="5" t="s">
        <v>59</v>
      </c>
      <c r="F558" s="9">
        <v>21</v>
      </c>
      <c r="G558" s="9">
        <v>196</v>
      </c>
      <c r="H558" s="5" t="s">
        <v>20</v>
      </c>
      <c r="I558" s="5" t="s">
        <v>1448</v>
      </c>
      <c r="J558" s="12" t="str">
        <f>HYPERLINK("https://www.boe.es/gazeta/dias/1806/03/07/pdfs/GMD-1806-21.pdf#page=8","Abrir facsímil")</f>
        <v>Abrir facsímil</v>
      </c>
      <c r="K558" s="15" t="s">
        <v>22</v>
      </c>
    </row>
    <row r="559" spans="1:11" ht="42" customHeight="1">
      <c r="A559" s="4" t="s">
        <v>1449</v>
      </c>
      <c r="B559" s="5" t="s">
        <v>1450</v>
      </c>
      <c r="C559" s="5" t="s">
        <v>31</v>
      </c>
      <c r="D559" s="5" t="s">
        <v>32</v>
      </c>
      <c r="E559" s="5" t="s">
        <v>205</v>
      </c>
      <c r="F559" s="9">
        <v>57</v>
      </c>
      <c r="G559" s="9">
        <v>594</v>
      </c>
      <c r="H559" s="5" t="s">
        <v>20</v>
      </c>
      <c r="I559" s="5" t="s">
        <v>1451</v>
      </c>
      <c r="J559" s="12" t="str">
        <f>HYPERLINK("https://www.boe.es/gazeta/dias/1806/07/11/pdfs/GMD-1806-57.pdf#page=6","Abrir facsímil")</f>
        <v>Abrir facsímil</v>
      </c>
      <c r="K559" s="15" t="s">
        <v>22</v>
      </c>
    </row>
    <row r="560" spans="1:11" ht="42" customHeight="1">
      <c r="A560" s="4" t="s">
        <v>1452</v>
      </c>
      <c r="B560" s="5" t="s">
        <v>1453</v>
      </c>
      <c r="C560" s="5" t="s">
        <v>31</v>
      </c>
      <c r="D560" s="5" t="s">
        <v>32</v>
      </c>
      <c r="E560" s="5" t="s">
        <v>306</v>
      </c>
      <c r="F560" s="9">
        <v>59</v>
      </c>
      <c r="G560" s="9">
        <v>612</v>
      </c>
      <c r="H560" s="5" t="s">
        <v>20</v>
      </c>
      <c r="I560" s="5" t="s">
        <v>1454</v>
      </c>
      <c r="J560" s="12" t="str">
        <f>HYPERLINK("https://www.boe.es/gazeta/dias/1806/07/18/pdfs/GMD-1806-59.pdf#page=8","Abrir facsímil")</f>
        <v>Abrir facsímil</v>
      </c>
      <c r="K560" s="15" t="s">
        <v>22</v>
      </c>
    </row>
    <row r="561" spans="1:11" ht="42" customHeight="1">
      <c r="A561" s="4" t="s">
        <v>1455</v>
      </c>
      <c r="B561" s="5" t="s">
        <v>1455</v>
      </c>
      <c r="C561" s="5" t="s">
        <v>69</v>
      </c>
      <c r="D561" s="5" t="s">
        <v>70</v>
      </c>
      <c r="E561" s="5" t="s">
        <v>245</v>
      </c>
      <c r="F561" s="9">
        <v>106</v>
      </c>
      <c r="G561" s="9">
        <v>1117</v>
      </c>
      <c r="H561" s="5" t="s">
        <v>20</v>
      </c>
      <c r="I561" s="5" t="s">
        <v>1456</v>
      </c>
      <c r="J561" s="12" t="str">
        <f>HYPERLINK("https://www.boe.es/gazeta/dias/1806/12/26/pdfs/GMD-1806-106.pdf#page=1","Abrir facsímil")</f>
        <v>Abrir facsímil</v>
      </c>
      <c r="K561" s="15" t="s">
        <v>22</v>
      </c>
    </row>
    <row r="562" spans="1:11" ht="42" customHeight="1">
      <c r="A562" s="4" t="s">
        <v>1457</v>
      </c>
      <c r="B562" s="5" t="s">
        <v>1458</v>
      </c>
      <c r="C562" s="5" t="s">
        <v>31</v>
      </c>
      <c r="D562" s="5" t="s">
        <v>32</v>
      </c>
      <c r="E562" s="5" t="s">
        <v>540</v>
      </c>
      <c r="F562" s="9">
        <v>51</v>
      </c>
      <c r="G562" s="9">
        <v>530</v>
      </c>
      <c r="H562" s="5" t="s">
        <v>20</v>
      </c>
      <c r="I562" s="5" t="s">
        <v>1459</v>
      </c>
      <c r="J562" s="12" t="str">
        <f>HYPERLINK("https://www.boe.es/gazeta/dias/1806/06/20/pdfs/GMD-1806-51.pdf#page=10","Abrir facsímil")</f>
        <v>Abrir facsímil</v>
      </c>
      <c r="K562" s="15" t="s">
        <v>22</v>
      </c>
    </row>
    <row r="563" spans="1:11" ht="42" customHeight="1">
      <c r="A563" s="4" t="s">
        <v>1460</v>
      </c>
      <c r="B563" s="5" t="s">
        <v>1460</v>
      </c>
      <c r="C563" s="5" t="s">
        <v>31</v>
      </c>
      <c r="D563" s="5" t="s">
        <v>32</v>
      </c>
      <c r="E563" s="5" t="s">
        <v>669</v>
      </c>
      <c r="F563" s="9">
        <v>14</v>
      </c>
      <c r="G563" s="9">
        <v>122</v>
      </c>
      <c r="H563" s="5" t="s">
        <v>20</v>
      </c>
      <c r="I563" s="5" t="s">
        <v>1461</v>
      </c>
      <c r="J563" s="12" t="str">
        <f>HYPERLINK("https://www.boe.es/gazeta/dias/1806/02/11/pdfs/GMD-1806-14.pdf#page=6","Abrir facsímil")</f>
        <v>Abrir facsímil</v>
      </c>
      <c r="K563" s="15" t="s">
        <v>22</v>
      </c>
    </row>
    <row r="564" spans="1:11" ht="42" customHeight="1">
      <c r="A564" s="4" t="s">
        <v>1462</v>
      </c>
      <c r="B564" s="5" t="s">
        <v>1463</v>
      </c>
      <c r="C564" s="5" t="s">
        <v>42</v>
      </c>
      <c r="D564" s="5" t="s">
        <v>43</v>
      </c>
      <c r="E564" s="5" t="s">
        <v>383</v>
      </c>
      <c r="F564" s="9">
        <v>54</v>
      </c>
      <c r="G564" s="9">
        <v>562</v>
      </c>
      <c r="H564" s="5" t="s">
        <v>20</v>
      </c>
      <c r="I564" s="5" t="s">
        <v>1464</v>
      </c>
      <c r="J564" s="12" t="str">
        <f>HYPERLINK("https://www.boe.es/gazeta/dias/1806/07/01/pdfs/GMD-1806-54.pdf#page=6","Abrir facsímil")</f>
        <v>Abrir facsímil</v>
      </c>
      <c r="K564" s="15" t="s">
        <v>22</v>
      </c>
    </row>
    <row r="565" spans="1:11" ht="42" customHeight="1">
      <c r="A565" s="4" t="s">
        <v>1465</v>
      </c>
      <c r="B565" s="5" t="s">
        <v>1465</v>
      </c>
      <c r="C565" s="5" t="s">
        <v>42</v>
      </c>
      <c r="D565" s="5" t="s">
        <v>43</v>
      </c>
      <c r="E565" s="5" t="s">
        <v>90</v>
      </c>
      <c r="F565" s="9">
        <v>60</v>
      </c>
      <c r="G565" s="9">
        <v>623</v>
      </c>
      <c r="H565" s="5" t="s">
        <v>20</v>
      </c>
      <c r="I565" s="5" t="s">
        <v>1466</v>
      </c>
      <c r="J565" s="12" t="str">
        <f>HYPERLINK("https://www.boe.es/gazeta/dias/1806/07/22/pdfs/GMD-1806-60.pdf#page=7","Abrir facsímil")</f>
        <v>Abrir facsímil</v>
      </c>
      <c r="K565" s="15" t="s">
        <v>22</v>
      </c>
    </row>
    <row r="566" spans="1:11" ht="42" customHeight="1">
      <c r="A566" s="4" t="s">
        <v>1465</v>
      </c>
      <c r="B566" s="5" t="s">
        <v>1465</v>
      </c>
      <c r="C566" s="5" t="s">
        <v>17</v>
      </c>
      <c r="D566" s="5" t="s">
        <v>18</v>
      </c>
      <c r="E566" s="5" t="s">
        <v>127</v>
      </c>
      <c r="F566" s="9">
        <v>81</v>
      </c>
      <c r="G566" s="9">
        <v>840</v>
      </c>
      <c r="H566" s="5" t="s">
        <v>20</v>
      </c>
      <c r="I566" s="5" t="s">
        <v>1467</v>
      </c>
      <c r="J566" s="12" t="str">
        <f>HYPERLINK("https://www.boe.es/gazeta/dias/1806/10/03/pdfs/GMD-1806-81.pdf#page=8","Abrir facsímil")</f>
        <v>Abrir facsímil</v>
      </c>
      <c r="K566" s="15" t="s">
        <v>22</v>
      </c>
    </row>
    <row r="567" spans="1:11" ht="42" customHeight="1">
      <c r="A567" s="4" t="s">
        <v>1468</v>
      </c>
      <c r="B567" s="5" t="s">
        <v>1469</v>
      </c>
      <c r="C567" s="5" t="s">
        <v>75</v>
      </c>
      <c r="D567" s="5" t="s">
        <v>43</v>
      </c>
      <c r="E567" s="5" t="s">
        <v>59</v>
      </c>
      <c r="F567" s="9">
        <v>21</v>
      </c>
      <c r="G567" s="9">
        <v>196</v>
      </c>
      <c r="H567" s="5" t="s">
        <v>20</v>
      </c>
      <c r="I567" s="5" t="s">
        <v>1470</v>
      </c>
      <c r="J567" s="12" t="str">
        <f>HYPERLINK("https://www.boe.es/gazeta/dias/1806/03/07/pdfs/GMD-1806-21.pdf#page=8","Abrir facsímil")</f>
        <v>Abrir facsímil</v>
      </c>
      <c r="K567" s="15" t="s">
        <v>22</v>
      </c>
    </row>
    <row r="568" spans="1:11" ht="42" customHeight="1">
      <c r="A568" s="4" t="s">
        <v>1471</v>
      </c>
      <c r="B568" s="5" t="s">
        <v>1472</v>
      </c>
      <c r="C568" s="5" t="s">
        <v>31</v>
      </c>
      <c r="D568" s="5" t="s">
        <v>32</v>
      </c>
      <c r="E568" s="5" t="s">
        <v>859</v>
      </c>
      <c r="F568" s="9">
        <v>63</v>
      </c>
      <c r="G568" s="9">
        <v>657</v>
      </c>
      <c r="H568" s="5" t="s">
        <v>20</v>
      </c>
      <c r="I568" s="5" t="s">
        <v>1473</v>
      </c>
      <c r="J568" s="12" t="str">
        <f>HYPERLINK("https://www.boe.es/gazeta/dias/1806/08/01/pdfs/GMD-1806-63.pdf#page=5","Abrir facsímil")</f>
        <v>Abrir facsímil</v>
      </c>
      <c r="K568" s="15" t="s">
        <v>22</v>
      </c>
    </row>
    <row r="569" spans="1:11" ht="42" customHeight="1">
      <c r="A569" s="4" t="s">
        <v>1474</v>
      </c>
      <c r="B569" s="5" t="s">
        <v>1475</v>
      </c>
      <c r="C569" s="5" t="s">
        <v>31</v>
      </c>
      <c r="D569" s="5" t="s">
        <v>32</v>
      </c>
      <c r="E569" s="5" t="s">
        <v>90</v>
      </c>
      <c r="F569" s="9">
        <v>60</v>
      </c>
      <c r="G569" s="9">
        <v>623</v>
      </c>
      <c r="H569" s="5" t="s">
        <v>20</v>
      </c>
      <c r="I569" s="5" t="s">
        <v>1476</v>
      </c>
      <c r="J569" s="12" t="str">
        <f>HYPERLINK("https://www.boe.es/gazeta/dias/1806/07/22/pdfs/GMD-1806-60.pdf#page=7","Abrir facsímil")</f>
        <v>Abrir facsímil</v>
      </c>
      <c r="K569" s="15" t="s">
        <v>22</v>
      </c>
    </row>
    <row r="570" spans="1:11" ht="42" customHeight="1">
      <c r="A570" s="4" t="s">
        <v>1477</v>
      </c>
      <c r="B570" s="5" t="s">
        <v>1478</v>
      </c>
      <c r="C570" s="5" t="s">
        <v>69</v>
      </c>
      <c r="D570" s="5" t="s">
        <v>70</v>
      </c>
      <c r="E570" s="5" t="s">
        <v>716</v>
      </c>
      <c r="F570" s="9">
        <v>56</v>
      </c>
      <c r="G570" s="9">
        <v>582</v>
      </c>
      <c r="H570" s="5" t="s">
        <v>20</v>
      </c>
      <c r="I570" s="5" t="s">
        <v>1479</v>
      </c>
      <c r="J570" s="12" t="str">
        <f>HYPERLINK("https://www.boe.es/gazeta/dias/1806/07/08/pdfs/GMD-1806-56.pdf#page=6","Abrir facsímil")</f>
        <v>Abrir facsímil</v>
      </c>
      <c r="K570" s="15" t="s">
        <v>22</v>
      </c>
    </row>
    <row r="571" spans="1:11" ht="42" customHeight="1">
      <c r="A571" s="4" t="s">
        <v>1480</v>
      </c>
      <c r="B571" s="5" t="s">
        <v>1481</v>
      </c>
      <c r="C571" s="5" t="s">
        <v>31</v>
      </c>
      <c r="D571" s="5" t="s">
        <v>32</v>
      </c>
      <c r="E571" s="5" t="s">
        <v>600</v>
      </c>
      <c r="F571" s="9">
        <v>77</v>
      </c>
      <c r="G571" s="9">
        <v>794</v>
      </c>
      <c r="H571" s="5" t="s">
        <v>20</v>
      </c>
      <c r="I571" s="5" t="s">
        <v>1482</v>
      </c>
      <c r="J571" s="12" t="str">
        <f>HYPERLINK("https://www.boe.es/gazeta/dias/1806/09/19/pdfs/GMD-1806-77.pdf#page=6","Abrir facsímil")</f>
        <v>Abrir facsímil</v>
      </c>
      <c r="K571" s="15" t="s">
        <v>22</v>
      </c>
    </row>
    <row r="572" spans="1:11" ht="42" customHeight="1">
      <c r="A572" s="4" t="s">
        <v>1483</v>
      </c>
      <c r="B572" s="5" t="s">
        <v>1483</v>
      </c>
      <c r="C572" s="5" t="s">
        <v>75</v>
      </c>
      <c r="D572" s="5" t="s">
        <v>43</v>
      </c>
      <c r="E572" s="5" t="s">
        <v>76</v>
      </c>
      <c r="F572" s="9">
        <v>98</v>
      </c>
      <c r="G572" s="9">
        <v>1034</v>
      </c>
      <c r="H572" s="5" t="s">
        <v>20</v>
      </c>
      <c r="I572" s="5" t="s">
        <v>1484</v>
      </c>
      <c r="J572" s="12" t="str">
        <f>HYPERLINK("https://www.boe.es/gazeta/dias/1806/12/02/pdfs/GMD-1806-98.pdf#page=2","Abrir facsímil")</f>
        <v>Abrir facsímil</v>
      </c>
      <c r="K572" s="15" t="s">
        <v>22</v>
      </c>
    </row>
    <row r="573" spans="1:11" ht="42" customHeight="1">
      <c r="A573" s="4" t="s">
        <v>1485</v>
      </c>
      <c r="B573" s="5" t="s">
        <v>1486</v>
      </c>
      <c r="C573" s="5" t="s">
        <v>31</v>
      </c>
      <c r="D573" s="5" t="s">
        <v>32</v>
      </c>
      <c r="E573" s="5" t="s">
        <v>103</v>
      </c>
      <c r="F573" s="9">
        <v>61</v>
      </c>
      <c r="G573" s="9">
        <v>629</v>
      </c>
      <c r="H573" s="5" t="s">
        <v>20</v>
      </c>
      <c r="I573" s="5" t="s">
        <v>1487</v>
      </c>
      <c r="J573" s="12" t="str">
        <f>HYPERLINK("https://www.boe.es/gazeta/dias/1806/07/25/pdfs/GMD-1806-61.pdf#page=1","Abrir facsímil")</f>
        <v>Abrir facsímil</v>
      </c>
      <c r="K573" s="15" t="s">
        <v>22</v>
      </c>
    </row>
    <row r="574" spans="1:11" ht="42" customHeight="1">
      <c r="A574" s="4" t="s">
        <v>1488</v>
      </c>
      <c r="B574" s="5" t="s">
        <v>1488</v>
      </c>
      <c r="C574" s="5" t="s">
        <v>69</v>
      </c>
      <c r="D574" s="5" t="s">
        <v>70</v>
      </c>
      <c r="E574" s="5" t="s">
        <v>483</v>
      </c>
      <c r="F574" s="9">
        <v>58</v>
      </c>
      <c r="G574" s="9">
        <v>597</v>
      </c>
      <c r="H574" s="5" t="s">
        <v>20</v>
      </c>
      <c r="I574" s="5" t="s">
        <v>1489</v>
      </c>
      <c r="J574" s="12" t="str">
        <f>HYPERLINK("https://www.boe.es/gazeta/dias/1806/07/15/pdfs/GMD-1806-58.pdf#page=1","Abrir facsímil")</f>
        <v>Abrir facsímil</v>
      </c>
      <c r="K574" s="15" t="s">
        <v>22</v>
      </c>
    </row>
    <row r="575" spans="1:11" ht="42" customHeight="1">
      <c r="A575" s="4" t="s">
        <v>1490</v>
      </c>
      <c r="B575" s="5" t="s">
        <v>1490</v>
      </c>
      <c r="C575" s="5" t="s">
        <v>36</v>
      </c>
      <c r="D575" s="5" t="s">
        <v>37</v>
      </c>
      <c r="E575" s="5" t="s">
        <v>26</v>
      </c>
      <c r="F575" s="9">
        <v>65</v>
      </c>
      <c r="G575" s="9">
        <v>679</v>
      </c>
      <c r="H575" s="5" t="s">
        <v>20</v>
      </c>
      <c r="I575" s="5" t="s">
        <v>1491</v>
      </c>
      <c r="J575" s="12" t="str">
        <f>HYPERLINK("https://www.boe.es/gazeta/dias/1806/08/08/pdfs/GMD-1806-65.pdf#page=7","Abrir facsímil")</f>
        <v>Abrir facsímil</v>
      </c>
      <c r="K575" s="15" t="s">
        <v>22</v>
      </c>
    </row>
    <row r="576" spans="1:11" ht="42" customHeight="1">
      <c r="A576" s="4" t="s">
        <v>1492</v>
      </c>
      <c r="B576" s="5" t="s">
        <v>1493</v>
      </c>
      <c r="C576" s="5" t="s">
        <v>36</v>
      </c>
      <c r="D576" s="5" t="s">
        <v>37</v>
      </c>
      <c r="E576" s="5" t="s">
        <v>661</v>
      </c>
      <c r="F576" s="9">
        <v>38</v>
      </c>
      <c r="G576" s="9">
        <v>376</v>
      </c>
      <c r="H576" s="5" t="s">
        <v>20</v>
      </c>
      <c r="I576" s="5" t="s">
        <v>1494</v>
      </c>
      <c r="J576" s="12" t="str">
        <f>HYPERLINK("https://www.boe.es/gazeta/dias/1806/05/06/pdfs/GMD-1806-38.pdf#page=12","Abrir facsímil")</f>
        <v>Abrir facsímil</v>
      </c>
      <c r="K576" s="15" t="s">
        <v>22</v>
      </c>
    </row>
    <row r="577" spans="1:11" ht="42" customHeight="1">
      <c r="A577" s="4" t="s">
        <v>1492</v>
      </c>
      <c r="B577" s="5" t="s">
        <v>1493</v>
      </c>
      <c r="C577" s="5" t="s">
        <v>36</v>
      </c>
      <c r="D577" s="5" t="s">
        <v>37</v>
      </c>
      <c r="E577" s="5" t="s">
        <v>859</v>
      </c>
      <c r="F577" s="9">
        <v>63</v>
      </c>
      <c r="G577" s="9">
        <v>664</v>
      </c>
      <c r="H577" s="5" t="s">
        <v>20</v>
      </c>
      <c r="I577" s="5" t="s">
        <v>1495</v>
      </c>
      <c r="J577" s="12" t="str">
        <f>HYPERLINK("https://www.boe.es/gazeta/dias/1806/08/01/pdfs/GMD-1806-63.pdf#page=12","Abrir facsímil")</f>
        <v>Abrir facsímil</v>
      </c>
      <c r="K577" s="15" t="s">
        <v>22</v>
      </c>
    </row>
    <row r="578" spans="1:11" ht="42" customHeight="1">
      <c r="A578" s="4" t="s">
        <v>1492</v>
      </c>
      <c r="B578" s="5" t="s">
        <v>1493</v>
      </c>
      <c r="C578" s="5" t="s">
        <v>36</v>
      </c>
      <c r="D578" s="5" t="s">
        <v>37</v>
      </c>
      <c r="E578" s="5" t="s">
        <v>165</v>
      </c>
      <c r="F578" s="9">
        <v>101</v>
      </c>
      <c r="G578" s="9">
        <v>1076</v>
      </c>
      <c r="H578" s="5" t="s">
        <v>20</v>
      </c>
      <c r="I578" s="5" t="s">
        <v>1496</v>
      </c>
      <c r="J578" s="12" t="str">
        <f>HYPERLINK("https://www.boe.es/gazeta/dias/1806/12/12/pdfs/GMD-1806-101.pdf#page=8","Abrir facsímil")</f>
        <v>Abrir facsímil</v>
      </c>
      <c r="K578" s="15" t="s">
        <v>22</v>
      </c>
    </row>
    <row r="579" spans="1:11" ht="42" customHeight="1">
      <c r="A579" s="4" t="s">
        <v>1497</v>
      </c>
      <c r="B579" s="5" t="s">
        <v>1497</v>
      </c>
      <c r="C579" s="5" t="s">
        <v>31</v>
      </c>
      <c r="D579" s="5" t="s">
        <v>32</v>
      </c>
      <c r="E579" s="5" t="s">
        <v>220</v>
      </c>
      <c r="F579" s="9">
        <v>24</v>
      </c>
      <c r="G579" s="9">
        <v>233</v>
      </c>
      <c r="H579" s="5" t="s">
        <v>20</v>
      </c>
      <c r="I579" s="5" t="s">
        <v>1498</v>
      </c>
      <c r="J579" s="12" t="str">
        <f>HYPERLINK("https://www.boe.es/gazeta/dias/1806/03/18/pdfs/GMD-1806-24.pdf#page=9","Abrir facsímil")</f>
        <v>Abrir facsímil</v>
      </c>
      <c r="K579" s="15" t="s">
        <v>22</v>
      </c>
    </row>
    <row r="580" spans="1:11" ht="42" customHeight="1">
      <c r="A580" s="4" t="s">
        <v>1499</v>
      </c>
      <c r="B580" s="5" t="s">
        <v>1499</v>
      </c>
      <c r="C580" s="5" t="s">
        <v>42</v>
      </c>
      <c r="D580" s="5" t="s">
        <v>43</v>
      </c>
      <c r="E580" s="5" t="s">
        <v>55</v>
      </c>
      <c r="F580" s="9">
        <v>20</v>
      </c>
      <c r="G580" s="9">
        <v>185</v>
      </c>
      <c r="H580" s="5" t="s">
        <v>20</v>
      </c>
      <c r="I580" s="5" t="s">
        <v>1500</v>
      </c>
      <c r="J580" s="12" t="str">
        <f>HYPERLINK("https://www.boe.es/gazeta/dias/1806/03/04/pdfs/GMD-1806-20.pdf#page=9","Abrir facsímil")</f>
        <v>Abrir facsímil</v>
      </c>
      <c r="K580" s="15" t="s">
        <v>22</v>
      </c>
    </row>
    <row r="581" spans="1:11" ht="42" customHeight="1">
      <c r="A581" s="4" t="s">
        <v>1501</v>
      </c>
      <c r="B581" s="5" t="s">
        <v>1501</v>
      </c>
      <c r="C581" s="5" t="s">
        <v>42</v>
      </c>
      <c r="D581" s="5" t="s">
        <v>43</v>
      </c>
      <c r="E581" s="5" t="s">
        <v>304</v>
      </c>
      <c r="F581" s="9">
        <v>47</v>
      </c>
      <c r="G581" s="9">
        <v>478</v>
      </c>
      <c r="H581" s="5" t="s">
        <v>20</v>
      </c>
      <c r="I581" s="5" t="s">
        <v>1502</v>
      </c>
      <c r="J581" s="12" t="str">
        <f>HYPERLINK("https://www.boe.es/gazeta/dias/1806/06/06/pdfs/GMD-1806-47.pdf#page=6","Abrir facsímil")</f>
        <v>Abrir facsímil</v>
      </c>
      <c r="K581" s="15" t="s">
        <v>22</v>
      </c>
    </row>
    <row r="582" spans="1:11" ht="42" customHeight="1">
      <c r="A582" s="4" t="s">
        <v>1503</v>
      </c>
      <c r="B582" s="5" t="s">
        <v>1503</v>
      </c>
      <c r="C582" s="5" t="s">
        <v>17</v>
      </c>
      <c r="D582" s="5" t="s">
        <v>18</v>
      </c>
      <c r="E582" s="5" t="s">
        <v>312</v>
      </c>
      <c r="F582" s="9">
        <v>100</v>
      </c>
      <c r="G582" s="9">
        <v>1066</v>
      </c>
      <c r="H582" s="5" t="s">
        <v>20</v>
      </c>
      <c r="I582" s="5" t="s">
        <v>1504</v>
      </c>
      <c r="J582" s="12" t="str">
        <f>HYPERLINK("https://www.boe.es/gazeta/dias/1806/12/09/pdfs/GMD-1806-100.pdf#page=10","Abrir facsímil")</f>
        <v>Abrir facsímil</v>
      </c>
      <c r="K582" s="15" t="s">
        <v>22</v>
      </c>
    </row>
    <row r="583" spans="1:11" ht="42" customHeight="1">
      <c r="A583" s="4" t="s">
        <v>1505</v>
      </c>
      <c r="B583" s="5" t="s">
        <v>1505</v>
      </c>
      <c r="C583" s="5" t="s">
        <v>69</v>
      </c>
      <c r="D583" s="5" t="s">
        <v>70</v>
      </c>
      <c r="E583" s="5" t="s">
        <v>859</v>
      </c>
      <c r="F583" s="9">
        <v>63</v>
      </c>
      <c r="G583" s="9">
        <v>656</v>
      </c>
      <c r="H583" s="5" t="s">
        <v>20</v>
      </c>
      <c r="I583" s="5" t="s">
        <v>1506</v>
      </c>
      <c r="J583" s="12" t="str">
        <f>HYPERLINK("https://www.boe.es/gazeta/dias/1806/08/01/pdfs/GMD-1806-63.pdf#page=4","Abrir facsímil")</f>
        <v>Abrir facsímil</v>
      </c>
      <c r="K583" s="15" t="s">
        <v>22</v>
      </c>
    </row>
    <row r="584" spans="1:11" ht="42" customHeight="1">
      <c r="A584" s="4" t="s">
        <v>1507</v>
      </c>
      <c r="B584" s="5" t="s">
        <v>1508</v>
      </c>
      <c r="C584" s="5" t="s">
        <v>31</v>
      </c>
      <c r="D584" s="5" t="s">
        <v>32</v>
      </c>
      <c r="E584" s="5" t="s">
        <v>161</v>
      </c>
      <c r="F584" s="9">
        <v>11</v>
      </c>
      <c r="G584" s="9">
        <v>97</v>
      </c>
      <c r="H584" s="5" t="s">
        <v>20</v>
      </c>
      <c r="I584" s="5" t="s">
        <v>1509</v>
      </c>
      <c r="J584" s="12" t="str">
        <f>HYPERLINK("https://www.boe.es/gazeta/dias/1806/01/31/pdfs/GMD-1806-11.pdf#page=5","Abrir facsímil")</f>
        <v>Abrir facsímil</v>
      </c>
      <c r="K584" s="15" t="s">
        <v>22</v>
      </c>
    </row>
    <row r="585" spans="1:11" ht="42" customHeight="1">
      <c r="A585" s="4" t="s">
        <v>1510</v>
      </c>
      <c r="B585" s="5" t="s">
        <v>1510</v>
      </c>
      <c r="C585" s="5" t="s">
        <v>36</v>
      </c>
      <c r="D585" s="5" t="s">
        <v>37</v>
      </c>
      <c r="E585" s="5" t="s">
        <v>121</v>
      </c>
      <c r="F585" s="9">
        <v>19</v>
      </c>
      <c r="G585" s="9">
        <v>175</v>
      </c>
      <c r="H585" s="5" t="s">
        <v>20</v>
      </c>
      <c r="I585" s="5" t="s">
        <v>1511</v>
      </c>
      <c r="J585" s="12" t="str">
        <f>HYPERLINK("https://www.boe.es/gazeta/dias/1806/02/28/pdfs/GMD-1806-19.pdf#page=11","Abrir facsímil")</f>
        <v>Abrir facsímil</v>
      </c>
      <c r="K585" s="15" t="s">
        <v>22</v>
      </c>
    </row>
    <row r="586" spans="1:11" ht="42" customHeight="1">
      <c r="A586" s="4" t="s">
        <v>1512</v>
      </c>
      <c r="B586" s="5" t="s">
        <v>1513</v>
      </c>
      <c r="C586" s="5" t="s">
        <v>31</v>
      </c>
      <c r="D586" s="5" t="s">
        <v>32</v>
      </c>
      <c r="E586" s="5" t="s">
        <v>363</v>
      </c>
      <c r="F586" s="9">
        <v>8</v>
      </c>
      <c r="G586" s="9">
        <v>73</v>
      </c>
      <c r="H586" s="5" t="s">
        <v>20</v>
      </c>
      <c r="I586" s="5" t="s">
        <v>1514</v>
      </c>
      <c r="J586" s="12" t="str">
        <f>HYPERLINK("https://www.boe.es/gazeta/dias/1806/01/24/pdfs/GMD-1806-8.pdf#page=5","Abrir facsímil")</f>
        <v>Abrir facsímil</v>
      </c>
      <c r="K586" s="15" t="s">
        <v>22</v>
      </c>
    </row>
    <row r="587" spans="1:11" ht="42" customHeight="1">
      <c r="A587" s="4" t="s">
        <v>1515</v>
      </c>
      <c r="B587" s="5" t="s">
        <v>1515</v>
      </c>
      <c r="C587" s="5" t="s">
        <v>36</v>
      </c>
      <c r="D587" s="5" t="s">
        <v>37</v>
      </c>
      <c r="E587" s="5" t="s">
        <v>48</v>
      </c>
      <c r="F587" s="9">
        <v>67</v>
      </c>
      <c r="G587" s="9">
        <v>695</v>
      </c>
      <c r="H587" s="5" t="s">
        <v>20</v>
      </c>
      <c r="I587" s="5" t="s">
        <v>1516</v>
      </c>
      <c r="J587" s="12" t="str">
        <f>HYPERLINK("https://www.boe.es/gazeta/dias/1806/08/15/pdfs/GMD-1806-67.pdf#page=3","Abrir facsímil")</f>
        <v>Abrir facsímil</v>
      </c>
      <c r="K587" s="15" t="s">
        <v>22</v>
      </c>
    </row>
    <row r="588" spans="1:11" ht="42" customHeight="1">
      <c r="A588" s="4" t="s">
        <v>1517</v>
      </c>
      <c r="B588" s="5" t="s">
        <v>1517</v>
      </c>
      <c r="C588" s="5" t="s">
        <v>36</v>
      </c>
      <c r="D588" s="5" t="s">
        <v>37</v>
      </c>
      <c r="E588" s="5" t="s">
        <v>48</v>
      </c>
      <c r="F588" s="9">
        <v>67</v>
      </c>
      <c r="G588" s="9">
        <v>695</v>
      </c>
      <c r="H588" s="5" t="s">
        <v>20</v>
      </c>
      <c r="I588" s="5" t="s">
        <v>1518</v>
      </c>
      <c r="J588" s="12" t="str">
        <f>HYPERLINK("https://www.boe.es/gazeta/dias/1806/08/15/pdfs/GMD-1806-67.pdf#page=3","Abrir facsímil")</f>
        <v>Abrir facsímil</v>
      </c>
      <c r="K588" s="15" t="s">
        <v>22</v>
      </c>
    </row>
    <row r="589" spans="1:11" ht="42" customHeight="1">
      <c r="A589" s="4" t="s">
        <v>1519</v>
      </c>
      <c r="B589" s="5" t="s">
        <v>1519</v>
      </c>
      <c r="C589" s="5" t="s">
        <v>69</v>
      </c>
      <c r="D589" s="5" t="s">
        <v>70</v>
      </c>
      <c r="E589" s="5" t="s">
        <v>702</v>
      </c>
      <c r="F589" s="9">
        <v>43</v>
      </c>
      <c r="G589" s="9">
        <v>425</v>
      </c>
      <c r="H589" s="5" t="s">
        <v>20</v>
      </c>
      <c r="I589" s="5" t="s">
        <v>1520</v>
      </c>
      <c r="J589" s="12" t="str">
        <f>HYPERLINK("https://www.boe.es/gazeta/dias/1806/05/23/pdfs/GMD-1806-43.pdf#page=1","Abrir facsímil")</f>
        <v>Abrir facsímil</v>
      </c>
      <c r="K589" s="15" t="s">
        <v>22</v>
      </c>
    </row>
    <row r="590" spans="1:11" ht="42" customHeight="1">
      <c r="A590" s="4" t="s">
        <v>1521</v>
      </c>
      <c r="B590" s="5" t="s">
        <v>1522</v>
      </c>
      <c r="C590" s="5" t="s">
        <v>75</v>
      </c>
      <c r="D590" s="5" t="s">
        <v>43</v>
      </c>
      <c r="E590" s="5" t="s">
        <v>71</v>
      </c>
      <c r="F590" s="9">
        <v>29</v>
      </c>
      <c r="G590" s="9">
        <v>287</v>
      </c>
      <c r="H590" s="5" t="s">
        <v>20</v>
      </c>
      <c r="I590" s="5" t="s">
        <v>1523</v>
      </c>
      <c r="J590" s="12" t="str">
        <f>HYPERLINK("https://www.boe.es/gazeta/dias/1806/04/04/pdfs/GMD-1806-29.pdf#page=7","Abrir facsímil")</f>
        <v>Abrir facsímil</v>
      </c>
      <c r="K590" s="15" t="s">
        <v>22</v>
      </c>
    </row>
    <row r="591" spans="1:11" ht="42" customHeight="1">
      <c r="A591" s="4" t="s">
        <v>1524</v>
      </c>
      <c r="B591" s="5" t="s">
        <v>1524</v>
      </c>
      <c r="C591" s="5" t="s">
        <v>17</v>
      </c>
      <c r="D591" s="5" t="s">
        <v>18</v>
      </c>
      <c r="E591" s="5" t="s">
        <v>312</v>
      </c>
      <c r="F591" s="9">
        <v>100</v>
      </c>
      <c r="G591" s="9">
        <v>1066</v>
      </c>
      <c r="H591" s="5" t="s">
        <v>20</v>
      </c>
      <c r="I591" s="5" t="s">
        <v>1525</v>
      </c>
      <c r="J591" s="12" t="str">
        <f>HYPERLINK("https://www.boe.es/gazeta/dias/1806/12/09/pdfs/GMD-1806-100.pdf#page=10","Abrir facsímil")</f>
        <v>Abrir facsímil</v>
      </c>
      <c r="K591" s="15" t="s">
        <v>22</v>
      </c>
    </row>
    <row r="592" spans="1:11" ht="42" customHeight="1">
      <c r="A592" s="4" t="s">
        <v>1526</v>
      </c>
      <c r="B592" s="5" t="s">
        <v>1526</v>
      </c>
      <c r="C592" s="5" t="s">
        <v>36</v>
      </c>
      <c r="D592" s="5" t="s">
        <v>37</v>
      </c>
      <c r="E592" s="5" t="s">
        <v>716</v>
      </c>
      <c r="F592" s="9">
        <v>56</v>
      </c>
      <c r="G592" s="9">
        <v>581</v>
      </c>
      <c r="H592" s="5" t="s">
        <v>20</v>
      </c>
      <c r="I592" s="5" t="s">
        <v>1527</v>
      </c>
      <c r="J592" s="12" t="str">
        <f>HYPERLINK("https://www.boe.es/gazeta/dias/1806/07/08/pdfs/GMD-1806-56.pdf#page=5","Abrir facsímil")</f>
        <v>Abrir facsímil</v>
      </c>
      <c r="K592" s="15" t="s">
        <v>22</v>
      </c>
    </row>
    <row r="593" spans="1:11" ht="42" customHeight="1">
      <c r="A593" s="4" t="s">
        <v>1528</v>
      </c>
      <c r="B593" s="5" t="s">
        <v>1529</v>
      </c>
      <c r="C593" s="5" t="s">
        <v>42</v>
      </c>
      <c r="D593" s="5" t="s">
        <v>43</v>
      </c>
      <c r="E593" s="5" t="s">
        <v>71</v>
      </c>
      <c r="F593" s="9">
        <v>29</v>
      </c>
      <c r="G593" s="9">
        <v>287</v>
      </c>
      <c r="H593" s="5" t="s">
        <v>20</v>
      </c>
      <c r="I593" s="5" t="s">
        <v>1530</v>
      </c>
      <c r="J593" s="12" t="str">
        <f>HYPERLINK("https://www.boe.es/gazeta/dias/1806/04/04/pdfs/GMD-1806-29.pdf#page=7","Abrir facsímil")</f>
        <v>Abrir facsímil</v>
      </c>
      <c r="K593" s="15" t="s">
        <v>22</v>
      </c>
    </row>
    <row r="594" spans="1:11" ht="42" customHeight="1">
      <c r="A594" s="4" t="s">
        <v>1531</v>
      </c>
      <c r="B594" s="5" t="s">
        <v>1531</v>
      </c>
      <c r="C594" s="5" t="s">
        <v>69</v>
      </c>
      <c r="D594" s="5" t="s">
        <v>70</v>
      </c>
      <c r="E594" s="5" t="s">
        <v>238</v>
      </c>
      <c r="F594" s="9">
        <v>18</v>
      </c>
      <c r="G594" s="9">
        <v>156</v>
      </c>
      <c r="H594" s="5" t="s">
        <v>20</v>
      </c>
      <c r="I594" s="5" t="s">
        <v>1532</v>
      </c>
      <c r="J594" s="12" t="str">
        <f>HYPERLINK("https://www.boe.es/gazeta/dias/1806/02/25/pdfs/GMD-1806-18.pdf#page=4","Abrir facsímil")</f>
        <v>Abrir facsímil</v>
      </c>
      <c r="K594" s="15" t="s">
        <v>22</v>
      </c>
    </row>
    <row r="595" spans="1:11" ht="42" customHeight="1">
      <c r="A595" s="4" t="s">
        <v>1533</v>
      </c>
      <c r="B595" s="5" t="s">
        <v>1534</v>
      </c>
      <c r="C595" s="5" t="s">
        <v>42</v>
      </c>
      <c r="D595" s="5" t="s">
        <v>43</v>
      </c>
      <c r="E595" s="5" t="s">
        <v>185</v>
      </c>
      <c r="F595" s="9">
        <v>46</v>
      </c>
      <c r="G595" s="9">
        <v>468</v>
      </c>
      <c r="H595" s="5" t="s">
        <v>20</v>
      </c>
      <c r="I595" s="5" t="s">
        <v>1535</v>
      </c>
      <c r="J595" s="12" t="str">
        <f>HYPERLINK("https://www.boe.es/gazeta/dias/1806/06/03/pdfs/GMD-1806-46.pdf#page=8","Abrir facsímil")</f>
        <v>Abrir facsímil</v>
      </c>
      <c r="K595" s="15" t="s">
        <v>22</v>
      </c>
    </row>
    <row r="596" spans="1:11" ht="42" customHeight="1">
      <c r="A596" s="4" t="s">
        <v>1536</v>
      </c>
      <c r="B596" s="5" t="s">
        <v>1536</v>
      </c>
      <c r="C596" s="5" t="s">
        <v>69</v>
      </c>
      <c r="D596" s="5" t="s">
        <v>70</v>
      </c>
      <c r="E596" s="5" t="s">
        <v>570</v>
      </c>
      <c r="F596" s="9">
        <v>93</v>
      </c>
      <c r="G596" s="9">
        <v>973</v>
      </c>
      <c r="H596" s="5" t="s">
        <v>20</v>
      </c>
      <c r="I596" s="5" t="s">
        <v>1537</v>
      </c>
      <c r="J596" s="12" t="str">
        <f>HYPERLINK("https://www.boe.es/gazeta/dias/1806/11/14/pdfs/GMD-1806-93.pdf#page=9","Abrir facsímil")</f>
        <v>Abrir facsímil</v>
      </c>
      <c r="K596" s="15" t="s">
        <v>22</v>
      </c>
    </row>
    <row r="597" spans="1:11" ht="42" customHeight="1">
      <c r="A597" s="4" t="s">
        <v>1538</v>
      </c>
      <c r="B597" s="5" t="s">
        <v>1539</v>
      </c>
      <c r="C597" s="5" t="s">
        <v>31</v>
      </c>
      <c r="D597" s="5" t="s">
        <v>32</v>
      </c>
      <c r="E597" s="5" t="s">
        <v>367</v>
      </c>
      <c r="F597" s="9">
        <v>87</v>
      </c>
      <c r="G597" s="9">
        <v>901</v>
      </c>
      <c r="H597" s="5" t="s">
        <v>20</v>
      </c>
      <c r="I597" s="5" t="s">
        <v>1540</v>
      </c>
      <c r="J597" s="12" t="str">
        <f>HYPERLINK("https://www.boe.es/gazeta/dias/1806/10/24/pdfs/GMD-1806-87.pdf#page=9","Abrir facsímil")</f>
        <v>Abrir facsímil</v>
      </c>
      <c r="K597" s="15" t="s">
        <v>22</v>
      </c>
    </row>
    <row r="598" spans="1:11" ht="42" customHeight="1">
      <c r="A598" s="4" t="s">
        <v>1541</v>
      </c>
      <c r="B598" s="5" t="s">
        <v>1542</v>
      </c>
      <c r="C598" s="5" t="s">
        <v>17</v>
      </c>
      <c r="D598" s="5" t="s">
        <v>18</v>
      </c>
      <c r="E598" s="5" t="s">
        <v>279</v>
      </c>
      <c r="F598" s="9">
        <v>52</v>
      </c>
      <c r="G598" s="9">
        <v>540</v>
      </c>
      <c r="H598" s="5" t="s">
        <v>20</v>
      </c>
      <c r="I598" s="5" t="s">
        <v>1543</v>
      </c>
      <c r="J598" s="12" t="str">
        <f>HYPERLINK("https://www.boe.es/gazeta/dias/1806/06/24/pdfs/GMD-1806-52.pdf#page=8","Abrir facsímil")</f>
        <v>Abrir facsímil</v>
      </c>
      <c r="K598" s="15" t="s">
        <v>22</v>
      </c>
    </row>
    <row r="599" spans="1:11" ht="42" customHeight="1">
      <c r="A599" s="4" t="s">
        <v>1544</v>
      </c>
      <c r="B599" s="5" t="s">
        <v>1545</v>
      </c>
      <c r="C599" s="5" t="s">
        <v>31</v>
      </c>
      <c r="D599" s="5" t="s">
        <v>32</v>
      </c>
      <c r="E599" s="5" t="s">
        <v>175</v>
      </c>
      <c r="F599" s="9">
        <v>40</v>
      </c>
      <c r="G599" s="9">
        <v>394</v>
      </c>
      <c r="H599" s="5" t="s">
        <v>20</v>
      </c>
      <c r="I599" s="5" t="s">
        <v>1546</v>
      </c>
      <c r="J599" s="12" t="str">
        <f>HYPERLINK("https://www.boe.es/gazeta/dias/1806/05/13/pdfs/GMD-1806-40.pdf#page=6","Abrir facsímil")</f>
        <v>Abrir facsímil</v>
      </c>
      <c r="K599" s="15" t="s">
        <v>22</v>
      </c>
    </row>
    <row r="600" spans="1:11" ht="42" customHeight="1">
      <c r="A600" s="4" t="s">
        <v>1547</v>
      </c>
      <c r="B600" s="5" t="s">
        <v>1548</v>
      </c>
      <c r="C600" s="5" t="s">
        <v>69</v>
      </c>
      <c r="D600" s="5" t="s">
        <v>70</v>
      </c>
      <c r="E600" s="5" t="s">
        <v>113</v>
      </c>
      <c r="F600" s="9">
        <v>28</v>
      </c>
      <c r="G600" s="9">
        <v>275</v>
      </c>
      <c r="H600" s="5" t="s">
        <v>20</v>
      </c>
      <c r="I600" s="5" t="s">
        <v>1549</v>
      </c>
      <c r="J600" s="12" t="str">
        <f>HYPERLINK("https://www.boe.es/gazeta/dias/1806/04/01/pdfs/GMD-1806-28.pdf#page=3","Abrir facsímil")</f>
        <v>Abrir facsímil</v>
      </c>
      <c r="K600" s="15" t="s">
        <v>22</v>
      </c>
    </row>
    <row r="601" spans="1:11" ht="42" customHeight="1">
      <c r="A601" s="4" t="s">
        <v>1550</v>
      </c>
      <c r="B601" s="5" t="s">
        <v>1551</v>
      </c>
      <c r="C601" s="5" t="s">
        <v>69</v>
      </c>
      <c r="D601" s="5" t="s">
        <v>70</v>
      </c>
      <c r="E601" s="5" t="s">
        <v>455</v>
      </c>
      <c r="F601" s="9">
        <v>85</v>
      </c>
      <c r="G601" s="9">
        <v>878</v>
      </c>
      <c r="H601" s="5" t="s">
        <v>20</v>
      </c>
      <c r="I601" s="5" t="s">
        <v>1552</v>
      </c>
      <c r="J601" s="12" t="str">
        <f>HYPERLINK("https://www.boe.es/gazeta/dias/1806/10/17/pdfs/GMD-1806-85.pdf#page=6","Abrir facsímil")</f>
        <v>Abrir facsímil</v>
      </c>
      <c r="K601" s="15" t="s">
        <v>22</v>
      </c>
    </row>
    <row r="602" spans="1:11" ht="42" customHeight="1">
      <c r="A602" s="4" t="s">
        <v>1550</v>
      </c>
      <c r="B602" s="5" t="s">
        <v>1551</v>
      </c>
      <c r="C602" s="5" t="s">
        <v>75</v>
      </c>
      <c r="D602" s="5" t="s">
        <v>43</v>
      </c>
      <c r="E602" s="5" t="s">
        <v>367</v>
      </c>
      <c r="F602" s="9">
        <v>87</v>
      </c>
      <c r="G602" s="9">
        <v>902</v>
      </c>
      <c r="H602" s="5" t="s">
        <v>20</v>
      </c>
      <c r="I602" s="5" t="s">
        <v>1553</v>
      </c>
      <c r="J602" s="12" t="str">
        <f>HYPERLINK("https://www.boe.es/gazeta/dias/1806/10/24/pdfs/GMD-1806-87.pdf#page=10","Abrir facsímil")</f>
        <v>Abrir facsímil</v>
      </c>
      <c r="K602" s="15" t="s">
        <v>22</v>
      </c>
    </row>
    <row r="603" spans="1:11" ht="42" customHeight="1">
      <c r="A603" s="4" t="s">
        <v>1554</v>
      </c>
      <c r="B603" s="5" t="s">
        <v>1555</v>
      </c>
      <c r="C603" s="5" t="s">
        <v>36</v>
      </c>
      <c r="D603" s="5" t="s">
        <v>37</v>
      </c>
      <c r="E603" s="5" t="s">
        <v>79</v>
      </c>
      <c r="F603" s="9">
        <v>68</v>
      </c>
      <c r="G603" s="9">
        <v>711</v>
      </c>
      <c r="H603" s="5" t="s">
        <v>20</v>
      </c>
      <c r="I603" s="5" t="s">
        <v>1556</v>
      </c>
      <c r="J603" s="12" t="str">
        <f>HYPERLINK("https://www.boe.es/gazeta/dias/1806/08/19/pdfs/GMD-1806-68.pdf#page=7","Abrir facsímil")</f>
        <v>Abrir facsímil</v>
      </c>
      <c r="K603" s="15" t="s">
        <v>22</v>
      </c>
    </row>
    <row r="604" spans="1:11" ht="42" customHeight="1">
      <c r="A604" s="4" t="s">
        <v>1557</v>
      </c>
      <c r="B604" s="5" t="s">
        <v>1558</v>
      </c>
      <c r="C604" s="5" t="s">
        <v>17</v>
      </c>
      <c r="D604" s="5" t="s">
        <v>18</v>
      </c>
      <c r="E604" s="5" t="s">
        <v>96</v>
      </c>
      <c r="F604" s="9">
        <v>62</v>
      </c>
      <c r="G604" s="9">
        <v>648</v>
      </c>
      <c r="H604" s="5" t="s">
        <v>20</v>
      </c>
      <c r="I604" s="5" t="s">
        <v>1559</v>
      </c>
      <c r="J604" s="12" t="str">
        <f>HYPERLINK("https://www.boe.es/gazeta/dias/1806/07/29/pdfs/GMD-1806-62.pdf#page=8","Abrir facsímil")</f>
        <v>Abrir facsímil</v>
      </c>
      <c r="K604" s="15" t="s">
        <v>22</v>
      </c>
    </row>
    <row r="605" spans="1:11" ht="42" customHeight="1">
      <c r="A605" s="4" t="s">
        <v>1560</v>
      </c>
      <c r="B605" s="5" t="s">
        <v>1561</v>
      </c>
      <c r="C605" s="5" t="s">
        <v>31</v>
      </c>
      <c r="D605" s="5" t="s">
        <v>32</v>
      </c>
      <c r="E605" s="5" t="s">
        <v>367</v>
      </c>
      <c r="F605" s="9">
        <v>87</v>
      </c>
      <c r="G605" s="9">
        <v>901</v>
      </c>
      <c r="H605" s="5" t="s">
        <v>20</v>
      </c>
      <c r="I605" s="5" t="s">
        <v>1562</v>
      </c>
      <c r="J605" s="12" t="str">
        <f>HYPERLINK("https://www.boe.es/gazeta/dias/1806/10/24/pdfs/GMD-1806-87.pdf#page=9","Abrir facsímil")</f>
        <v>Abrir facsímil</v>
      </c>
      <c r="K605" s="15" t="s">
        <v>22</v>
      </c>
    </row>
    <row r="606" spans="1:11" ht="42" customHeight="1">
      <c r="A606" s="4" t="s">
        <v>1563</v>
      </c>
      <c r="B606" s="5" t="s">
        <v>1564</v>
      </c>
      <c r="C606" s="5" t="s">
        <v>31</v>
      </c>
      <c r="D606" s="5" t="s">
        <v>32</v>
      </c>
      <c r="E606" s="5" t="s">
        <v>202</v>
      </c>
      <c r="F606" s="9">
        <v>30</v>
      </c>
      <c r="G606" s="9">
        <v>295</v>
      </c>
      <c r="H606" s="5" t="s">
        <v>20</v>
      </c>
      <c r="I606" s="5" t="s">
        <v>1565</v>
      </c>
      <c r="J606" s="12" t="str">
        <f>HYPERLINK("https://www.boe.es/gazeta/dias/1806/04/08/pdfs/GMD-1806-30.pdf#page=7","Abrir facsímil")</f>
        <v>Abrir facsímil</v>
      </c>
      <c r="K606" s="15" t="s">
        <v>22</v>
      </c>
    </row>
    <row r="607" spans="1:11" ht="42" customHeight="1">
      <c r="A607" s="4" t="s">
        <v>1566</v>
      </c>
      <c r="B607" s="5" t="s">
        <v>1567</v>
      </c>
      <c r="C607" s="5" t="s">
        <v>42</v>
      </c>
      <c r="D607" s="5" t="s">
        <v>43</v>
      </c>
      <c r="E607" s="5" t="s">
        <v>1568</v>
      </c>
      <c r="F607" s="9">
        <v>84</v>
      </c>
      <c r="G607" s="9">
        <v>870</v>
      </c>
      <c r="H607" s="5" t="s">
        <v>20</v>
      </c>
      <c r="I607" s="5" t="s">
        <v>1569</v>
      </c>
      <c r="J607" s="12" t="str">
        <f>HYPERLINK("https://www.boe.es/gazeta/dias/1806/10/14/pdfs/GMD-1806-84.pdf#page=6","Abrir facsímil")</f>
        <v>Abrir facsímil</v>
      </c>
      <c r="K607" s="15" t="s">
        <v>22</v>
      </c>
    </row>
    <row r="608" spans="1:11" ht="42" customHeight="1">
      <c r="A608" s="4" t="s">
        <v>1570</v>
      </c>
      <c r="B608" s="5" t="s">
        <v>1571</v>
      </c>
      <c r="C608" s="5" t="s">
        <v>31</v>
      </c>
      <c r="D608" s="5" t="s">
        <v>32</v>
      </c>
      <c r="E608" s="5" t="s">
        <v>1005</v>
      </c>
      <c r="F608" s="9">
        <v>76</v>
      </c>
      <c r="G608" s="9">
        <v>787</v>
      </c>
      <c r="H608" s="5" t="s">
        <v>20</v>
      </c>
      <c r="I608" s="5" t="s">
        <v>1572</v>
      </c>
      <c r="J608" s="12" t="str">
        <f>HYPERLINK("https://www.boe.es/gazeta/dias/1806/09/16/pdfs/GMD-1806-76.pdf#page=7","Abrir facsímil")</f>
        <v>Abrir facsímil</v>
      </c>
      <c r="K608" s="15" t="s">
        <v>22</v>
      </c>
    </row>
    <row r="609" spans="1:11" ht="42" customHeight="1">
      <c r="A609" s="4" t="s">
        <v>1573</v>
      </c>
      <c r="B609" s="5" t="s">
        <v>1574</v>
      </c>
      <c r="C609" s="5" t="s">
        <v>36</v>
      </c>
      <c r="D609" s="5" t="s">
        <v>37</v>
      </c>
      <c r="E609" s="5" t="s">
        <v>195</v>
      </c>
      <c r="F609" s="9">
        <v>4</v>
      </c>
      <c r="G609" s="9">
        <v>38</v>
      </c>
      <c r="H609" s="5" t="s">
        <v>20</v>
      </c>
      <c r="I609" s="5" t="s">
        <v>1575</v>
      </c>
      <c r="J609" s="12" t="str">
        <f>HYPERLINK("https://www.boe.es/gazeta/dias/1806/01/14/pdfs/GMD-1806-4.pdf#page=10","Abrir facsímil")</f>
        <v>Abrir facsímil</v>
      </c>
      <c r="K609" s="15" t="s">
        <v>22</v>
      </c>
    </row>
    <row r="610" spans="1:11" ht="42" customHeight="1">
      <c r="A610" s="4" t="s">
        <v>1576</v>
      </c>
      <c r="B610" s="5" t="s">
        <v>1577</v>
      </c>
      <c r="C610" s="5" t="s">
        <v>69</v>
      </c>
      <c r="D610" s="5" t="s">
        <v>70</v>
      </c>
      <c r="E610" s="5" t="s">
        <v>540</v>
      </c>
      <c r="F610" s="9">
        <v>51</v>
      </c>
      <c r="G610" s="9">
        <v>523</v>
      </c>
      <c r="H610" s="5" t="s">
        <v>20</v>
      </c>
      <c r="I610" s="5" t="s">
        <v>1578</v>
      </c>
      <c r="J610" s="12" t="str">
        <f>HYPERLINK("https://www.boe.es/gazeta/dias/1806/06/20/pdfs/GMD-1806-51.pdf#page=3","Abrir facsímil")</f>
        <v>Abrir facsímil</v>
      </c>
      <c r="K610" s="15" t="s">
        <v>22</v>
      </c>
    </row>
    <row r="611" spans="1:11" ht="42" customHeight="1">
      <c r="A611" s="4" t="s">
        <v>1579</v>
      </c>
      <c r="B611" s="5" t="s">
        <v>1579</v>
      </c>
      <c r="C611" s="5" t="s">
        <v>31</v>
      </c>
      <c r="D611" s="5" t="s">
        <v>32</v>
      </c>
      <c r="E611" s="5" t="s">
        <v>474</v>
      </c>
      <c r="F611" s="9">
        <v>10</v>
      </c>
      <c r="G611" s="9">
        <v>90</v>
      </c>
      <c r="H611" s="5" t="s">
        <v>20</v>
      </c>
      <c r="I611" s="5" t="s">
        <v>1580</v>
      </c>
      <c r="J611" s="12" t="str">
        <f>HYPERLINK("https://www.boe.es/gazeta/dias/1806/01/28/pdfs/GMD-1806-10.pdf#page=6","Abrir facsímil")</f>
        <v>Abrir facsímil</v>
      </c>
      <c r="K611" s="15" t="s">
        <v>22</v>
      </c>
    </row>
    <row r="612" spans="1:11" ht="42" customHeight="1">
      <c r="A612" s="4" t="s">
        <v>1581</v>
      </c>
      <c r="B612" s="5" t="s">
        <v>1581</v>
      </c>
      <c r="C612" s="5" t="s">
        <v>17</v>
      </c>
      <c r="D612" s="5" t="s">
        <v>18</v>
      </c>
      <c r="E612" s="5" t="s">
        <v>580</v>
      </c>
      <c r="F612" s="9">
        <v>23</v>
      </c>
      <c r="G612" s="9">
        <v>217</v>
      </c>
      <c r="H612" s="5" t="s">
        <v>20</v>
      </c>
      <c r="I612" s="5" t="s">
        <v>1582</v>
      </c>
      <c r="J612" s="12" t="str">
        <f>HYPERLINK("https://www.boe.es/gazeta/dias/1806/03/14/pdfs/GMD-1806-23.pdf#page=5","Abrir facsímil")</f>
        <v>Abrir facsímil</v>
      </c>
      <c r="K612" s="15" t="s">
        <v>22</v>
      </c>
    </row>
    <row r="613" spans="1:11" ht="42" customHeight="1">
      <c r="A613" s="4" t="s">
        <v>1583</v>
      </c>
      <c r="B613" s="5" t="s">
        <v>1584</v>
      </c>
      <c r="C613" s="5" t="s">
        <v>42</v>
      </c>
      <c r="D613" s="5" t="s">
        <v>43</v>
      </c>
      <c r="E613" s="5" t="s">
        <v>570</v>
      </c>
      <c r="F613" s="9">
        <v>93</v>
      </c>
      <c r="G613" s="9">
        <v>978</v>
      </c>
      <c r="H613" s="5" t="s">
        <v>20</v>
      </c>
      <c r="I613" s="5" t="s">
        <v>1585</v>
      </c>
      <c r="J613" s="12" t="str">
        <f>HYPERLINK("https://www.boe.es/gazeta/dias/1806/11/14/pdfs/GMD-1806-93.pdf#page=14","Abrir facsímil")</f>
        <v>Abrir facsímil</v>
      </c>
      <c r="K613" s="15" t="s">
        <v>22</v>
      </c>
    </row>
    <row r="614" spans="1:11" ht="42" customHeight="1">
      <c r="A614" s="4" t="s">
        <v>1586</v>
      </c>
      <c r="B614" s="5" t="s">
        <v>1587</v>
      </c>
      <c r="C614" s="5" t="s">
        <v>69</v>
      </c>
      <c r="D614" s="5" t="s">
        <v>70</v>
      </c>
      <c r="E614" s="5" t="s">
        <v>100</v>
      </c>
      <c r="F614" s="9">
        <v>7</v>
      </c>
      <c r="G614" s="9">
        <v>60</v>
      </c>
      <c r="H614" s="5" t="s">
        <v>20</v>
      </c>
      <c r="I614" s="5" t="s">
        <v>1588</v>
      </c>
      <c r="J614" s="12" t="str">
        <f>HYPERLINK("https://www.boe.es/gazeta/dias/1806/01/21/pdfs/GMD-1806-7.pdf#page=4","Abrir facsímil")</f>
        <v>Abrir facsímil</v>
      </c>
      <c r="K614" s="15" t="s">
        <v>22</v>
      </c>
    </row>
    <row r="615" spans="1:11" ht="42" customHeight="1">
      <c r="A615" s="4" t="s">
        <v>1586</v>
      </c>
      <c r="B615" s="5" t="s">
        <v>1587</v>
      </c>
      <c r="C615" s="5" t="s">
        <v>17</v>
      </c>
      <c r="D615" s="5" t="s">
        <v>18</v>
      </c>
      <c r="E615" s="5" t="s">
        <v>161</v>
      </c>
      <c r="F615" s="9">
        <v>11</v>
      </c>
      <c r="G615" s="9">
        <v>95</v>
      </c>
      <c r="H615" s="5" t="s">
        <v>20</v>
      </c>
      <c r="I615" s="5" t="s">
        <v>1589</v>
      </c>
      <c r="J615" s="12" t="str">
        <f>HYPERLINK("https://www.boe.es/gazeta/dias/1806/01/31/pdfs/GMD-1806-11.pdf#page=3","Abrir facsímil")</f>
        <v>Abrir facsímil</v>
      </c>
      <c r="K615" s="15" t="s">
        <v>22</v>
      </c>
    </row>
    <row r="616" spans="1:11" ht="42" customHeight="1">
      <c r="A616" s="4" t="s">
        <v>1586</v>
      </c>
      <c r="B616" s="5" t="s">
        <v>1587</v>
      </c>
      <c r="C616" s="5" t="s">
        <v>75</v>
      </c>
      <c r="D616" s="5" t="s">
        <v>43</v>
      </c>
      <c r="E616" s="5" t="s">
        <v>71</v>
      </c>
      <c r="F616" s="9">
        <v>29</v>
      </c>
      <c r="G616" s="9">
        <v>288</v>
      </c>
      <c r="H616" s="5" t="s">
        <v>20</v>
      </c>
      <c r="I616" s="5" t="s">
        <v>1590</v>
      </c>
      <c r="J616" s="12" t="str">
        <f>HYPERLINK("https://www.boe.es/gazeta/dias/1806/04/04/pdfs/GMD-1806-29.pdf#page=8","Abrir facsímil")</f>
        <v>Abrir facsímil</v>
      </c>
      <c r="K616" s="15" t="s">
        <v>22</v>
      </c>
    </row>
    <row r="617" spans="1:11" ht="42" customHeight="1">
      <c r="A617" s="4" t="s">
        <v>1586</v>
      </c>
      <c r="B617" s="5" t="s">
        <v>1587</v>
      </c>
      <c r="C617" s="5" t="s">
        <v>36</v>
      </c>
      <c r="D617" s="5" t="s">
        <v>37</v>
      </c>
      <c r="E617" s="5" t="s">
        <v>175</v>
      </c>
      <c r="F617" s="9">
        <v>40</v>
      </c>
      <c r="G617" s="9">
        <v>397</v>
      </c>
      <c r="H617" s="5" t="s">
        <v>20</v>
      </c>
      <c r="I617" s="5" t="s">
        <v>1591</v>
      </c>
      <c r="J617" s="12" t="str">
        <f>HYPERLINK("https://www.boe.es/gazeta/dias/1806/05/13/pdfs/GMD-1806-40.pdf#page=9","Abrir facsímil")</f>
        <v>Abrir facsímil</v>
      </c>
      <c r="K617" s="15" t="s">
        <v>22</v>
      </c>
    </row>
    <row r="618" spans="1:11" ht="42" customHeight="1">
      <c r="A618" s="4" t="s">
        <v>1592</v>
      </c>
      <c r="B618" s="5" t="s">
        <v>1593</v>
      </c>
      <c r="C618" s="5" t="s">
        <v>31</v>
      </c>
      <c r="D618" s="5" t="s">
        <v>32</v>
      </c>
      <c r="E618" s="5" t="s">
        <v>71</v>
      </c>
      <c r="F618" s="9">
        <v>29</v>
      </c>
      <c r="G618" s="9">
        <v>287</v>
      </c>
      <c r="H618" s="5" t="s">
        <v>20</v>
      </c>
      <c r="I618" s="5" t="s">
        <v>1594</v>
      </c>
      <c r="J618" s="12" t="str">
        <f>HYPERLINK("https://www.boe.es/gazeta/dias/1806/04/04/pdfs/GMD-1806-29.pdf#page=7","Abrir facsímil")</f>
        <v>Abrir facsímil</v>
      </c>
      <c r="K618" s="15" t="s">
        <v>22</v>
      </c>
    </row>
    <row r="619" spans="1:11" ht="42" customHeight="1">
      <c r="A619" s="4" t="s">
        <v>1595</v>
      </c>
      <c r="B619" s="5" t="s">
        <v>1596</v>
      </c>
      <c r="C619" s="5" t="s">
        <v>31</v>
      </c>
      <c r="D619" s="5" t="s">
        <v>32</v>
      </c>
      <c r="E619" s="5" t="s">
        <v>127</v>
      </c>
      <c r="F619" s="9">
        <v>81</v>
      </c>
      <c r="G619" s="9">
        <v>837</v>
      </c>
      <c r="H619" s="5" t="s">
        <v>20</v>
      </c>
      <c r="I619" s="5" t="s">
        <v>1597</v>
      </c>
      <c r="J619" s="12" t="str">
        <f>HYPERLINK("https://www.boe.es/gazeta/dias/1806/10/03/pdfs/GMD-1806-81.pdf#page=5","Abrir facsímil")</f>
        <v>Abrir facsímil</v>
      </c>
      <c r="K619" s="15" t="s">
        <v>22</v>
      </c>
    </row>
    <row r="620" spans="1:11" ht="42" customHeight="1">
      <c r="A620" s="4" t="s">
        <v>1598</v>
      </c>
      <c r="B620" s="5" t="s">
        <v>1598</v>
      </c>
      <c r="C620" s="5" t="s">
        <v>42</v>
      </c>
      <c r="D620" s="5" t="s">
        <v>43</v>
      </c>
      <c r="E620" s="5" t="s">
        <v>238</v>
      </c>
      <c r="F620" s="9">
        <v>18</v>
      </c>
      <c r="G620" s="9">
        <v>160</v>
      </c>
      <c r="H620" s="5" t="s">
        <v>20</v>
      </c>
      <c r="I620" s="5" t="s">
        <v>1599</v>
      </c>
      <c r="J620" s="12" t="str">
        <f>HYPERLINK("https://www.boe.es/gazeta/dias/1806/02/25/pdfs/GMD-1806-18.pdf#page=8","Abrir facsímil")</f>
        <v>Abrir facsímil</v>
      </c>
      <c r="K620" s="15" t="s">
        <v>22</v>
      </c>
    </row>
    <row r="621" spans="1:11" ht="42" customHeight="1">
      <c r="A621" s="4" t="s">
        <v>1600</v>
      </c>
      <c r="B621" s="5" t="s">
        <v>1601</v>
      </c>
      <c r="C621" s="5" t="s">
        <v>42</v>
      </c>
      <c r="D621" s="5" t="s">
        <v>43</v>
      </c>
      <c r="E621" s="5" t="s">
        <v>570</v>
      </c>
      <c r="F621" s="9">
        <v>93</v>
      </c>
      <c r="G621" s="9">
        <v>978</v>
      </c>
      <c r="H621" s="5" t="s">
        <v>20</v>
      </c>
      <c r="I621" s="5" t="s">
        <v>1602</v>
      </c>
      <c r="J621" s="12" t="str">
        <f>HYPERLINK("https://www.boe.es/gazeta/dias/1806/11/14/pdfs/GMD-1806-93.pdf#page=14","Abrir facsímil")</f>
        <v>Abrir facsímil</v>
      </c>
      <c r="K621" s="15" t="s">
        <v>22</v>
      </c>
    </row>
    <row r="622" spans="1:11" ht="42" customHeight="1">
      <c r="A622" s="4" t="s">
        <v>1600</v>
      </c>
      <c r="B622" s="5" t="s">
        <v>1601</v>
      </c>
      <c r="C622" s="5" t="s">
        <v>31</v>
      </c>
      <c r="D622" s="5" t="s">
        <v>32</v>
      </c>
      <c r="E622" s="5" t="s">
        <v>312</v>
      </c>
      <c r="F622" s="9">
        <v>100</v>
      </c>
      <c r="G622" s="9">
        <v>1065</v>
      </c>
      <c r="H622" s="5" t="s">
        <v>20</v>
      </c>
      <c r="I622" s="5" t="s">
        <v>1603</v>
      </c>
      <c r="J622" s="12" t="str">
        <f>HYPERLINK("https://www.boe.es/gazeta/dias/1806/12/09/pdfs/GMD-1806-100.pdf#page=9","Abrir facsímil")</f>
        <v>Abrir facsímil</v>
      </c>
      <c r="K622" s="15" t="s">
        <v>22</v>
      </c>
    </row>
    <row r="623" spans="1:11" ht="42" customHeight="1">
      <c r="A623" s="4" t="s">
        <v>1604</v>
      </c>
      <c r="B623" s="5" t="s">
        <v>1605</v>
      </c>
      <c r="C623" s="5" t="s">
        <v>31</v>
      </c>
      <c r="D623" s="5" t="s">
        <v>32</v>
      </c>
      <c r="E623" s="5" t="s">
        <v>438</v>
      </c>
      <c r="F623" s="9">
        <v>70</v>
      </c>
      <c r="G623" s="9">
        <v>730</v>
      </c>
      <c r="H623" s="5" t="s">
        <v>20</v>
      </c>
      <c r="I623" s="5" t="s">
        <v>1606</v>
      </c>
      <c r="J623" s="12" t="str">
        <f>HYPERLINK("https://www.boe.es/gazeta/dias/1806/08/26/pdfs/GMD-1806-70.pdf#page=6","Abrir facsímil")</f>
        <v>Abrir facsímil</v>
      </c>
      <c r="K623" s="15" t="s">
        <v>22</v>
      </c>
    </row>
    <row r="624" spans="1:11" ht="42" customHeight="1">
      <c r="A624" s="4" t="s">
        <v>1607</v>
      </c>
      <c r="B624" s="5" t="s">
        <v>1608</v>
      </c>
      <c r="C624" s="5" t="s">
        <v>69</v>
      </c>
      <c r="D624" s="5" t="s">
        <v>70</v>
      </c>
      <c r="E624" s="5" t="s">
        <v>455</v>
      </c>
      <c r="F624" s="9">
        <v>85</v>
      </c>
      <c r="G624" s="9">
        <v>873</v>
      </c>
      <c r="H624" s="5" t="s">
        <v>20</v>
      </c>
      <c r="I624" s="5" t="s">
        <v>1609</v>
      </c>
      <c r="J624" s="12" t="str">
        <f>HYPERLINK("https://www.boe.es/gazeta/dias/1806/10/17/pdfs/GMD-1806-85.pdf#page=1","Abrir facsímil")</f>
        <v>Abrir facsímil</v>
      </c>
      <c r="K624" s="15" t="s">
        <v>22</v>
      </c>
    </row>
    <row r="625" spans="1:11" ht="42" customHeight="1">
      <c r="A625" s="4" t="s">
        <v>1610</v>
      </c>
      <c r="B625" s="5" t="s">
        <v>1611</v>
      </c>
      <c r="C625" s="5" t="s">
        <v>42</v>
      </c>
      <c r="D625" s="5" t="s">
        <v>43</v>
      </c>
      <c r="E625" s="5" t="s">
        <v>33</v>
      </c>
      <c r="F625" s="9">
        <v>82</v>
      </c>
      <c r="G625" s="9">
        <v>852</v>
      </c>
      <c r="H625" s="5" t="s">
        <v>20</v>
      </c>
      <c r="I625" s="5" t="s">
        <v>1612</v>
      </c>
      <c r="J625" s="12" t="str">
        <f>HYPERLINK("https://www.boe.es/gazeta/dias/1806/10/07/pdfs/GMD-1806-82.pdf#page=12","Abrir facsímil")</f>
        <v>Abrir facsímil</v>
      </c>
      <c r="K625" s="15" t="s">
        <v>22</v>
      </c>
    </row>
    <row r="626" spans="1:11" ht="42" customHeight="1">
      <c r="A626" s="4" t="s">
        <v>1613</v>
      </c>
      <c r="B626" s="5" t="s">
        <v>1614</v>
      </c>
      <c r="C626" s="5" t="s">
        <v>17</v>
      </c>
      <c r="D626" s="5" t="s">
        <v>18</v>
      </c>
      <c r="E626" s="5" t="s">
        <v>90</v>
      </c>
      <c r="F626" s="9">
        <v>60</v>
      </c>
      <c r="G626" s="9">
        <v>625</v>
      </c>
      <c r="H626" s="5" t="s">
        <v>20</v>
      </c>
      <c r="I626" s="5" t="s">
        <v>1615</v>
      </c>
      <c r="J626" s="12" t="str">
        <f>HYPERLINK("https://www.boe.es/gazeta/dias/1806/07/22/pdfs/GMD-1806-60.pdf#page=9","Abrir facsímil")</f>
        <v>Abrir facsímil</v>
      </c>
      <c r="K626" s="15" t="s">
        <v>22</v>
      </c>
    </row>
    <row r="627" spans="1:11" ht="42" customHeight="1">
      <c r="A627" s="4" t="s">
        <v>1613</v>
      </c>
      <c r="B627" s="5" t="s">
        <v>1614</v>
      </c>
      <c r="C627" s="5" t="s">
        <v>17</v>
      </c>
      <c r="D627" s="5" t="s">
        <v>18</v>
      </c>
      <c r="E627" s="5" t="s">
        <v>209</v>
      </c>
      <c r="F627" s="9">
        <v>95</v>
      </c>
      <c r="G627" s="9">
        <v>1007</v>
      </c>
      <c r="H627" s="5" t="s">
        <v>20</v>
      </c>
      <c r="I627" s="5" t="s">
        <v>1616</v>
      </c>
      <c r="J627" s="12" t="str">
        <f>HYPERLINK("https://www.boe.es/gazeta/dias/1806/11/21/pdfs/GMD-1806-95.pdf#page=15","Abrir facsímil")</f>
        <v>Abrir facsímil</v>
      </c>
      <c r="K627" s="15" t="s">
        <v>22</v>
      </c>
    </row>
    <row r="628" spans="1:11" ht="42" customHeight="1">
      <c r="A628" s="4" t="s">
        <v>1617</v>
      </c>
      <c r="B628" s="5" t="s">
        <v>1618</v>
      </c>
      <c r="C628" s="5" t="s">
        <v>42</v>
      </c>
      <c r="D628" s="5" t="s">
        <v>43</v>
      </c>
      <c r="E628" s="5" t="s">
        <v>238</v>
      </c>
      <c r="F628" s="9">
        <v>18</v>
      </c>
      <c r="G628" s="9">
        <v>160</v>
      </c>
      <c r="H628" s="5" t="s">
        <v>20</v>
      </c>
      <c r="I628" s="5" t="s">
        <v>1619</v>
      </c>
      <c r="J628" s="12" t="str">
        <f>HYPERLINK("https://www.boe.es/gazeta/dias/1806/02/25/pdfs/GMD-1806-18.pdf#page=8","Abrir facsímil")</f>
        <v>Abrir facsímil</v>
      </c>
      <c r="K628" s="15" t="s">
        <v>22</v>
      </c>
    </row>
    <row r="629" spans="1:11" ht="42" customHeight="1">
      <c r="A629" s="4" t="s">
        <v>1620</v>
      </c>
      <c r="B629" s="5" t="s">
        <v>1621</v>
      </c>
      <c r="C629" s="5" t="s">
        <v>17</v>
      </c>
      <c r="D629" s="5" t="s">
        <v>18</v>
      </c>
      <c r="E629" s="5" t="s">
        <v>140</v>
      </c>
      <c r="F629" s="9">
        <v>83</v>
      </c>
      <c r="G629" s="9">
        <v>860</v>
      </c>
      <c r="H629" s="5" t="s">
        <v>20</v>
      </c>
      <c r="I629" s="5" t="s">
        <v>1622</v>
      </c>
      <c r="J629" s="12" t="str">
        <f>HYPERLINK("https://www.boe.es/gazeta/dias/1806/10/10/pdfs/GMD-1806-83.pdf#page=8","Abrir facsímil")</f>
        <v>Abrir facsímil</v>
      </c>
      <c r="K629" s="15" t="s">
        <v>22</v>
      </c>
    </row>
    <row r="630" spans="1:11" ht="42" customHeight="1">
      <c r="A630" s="4" t="s">
        <v>1623</v>
      </c>
      <c r="B630" s="5" t="s">
        <v>1624</v>
      </c>
      <c r="C630" s="5" t="s">
        <v>31</v>
      </c>
      <c r="D630" s="5" t="s">
        <v>32</v>
      </c>
      <c r="E630" s="5" t="s">
        <v>554</v>
      </c>
      <c r="F630" s="9">
        <v>90</v>
      </c>
      <c r="G630" s="9">
        <v>933</v>
      </c>
      <c r="H630" s="5" t="s">
        <v>20</v>
      </c>
      <c r="I630" s="5" t="s">
        <v>1625</v>
      </c>
      <c r="J630" s="12" t="str">
        <f>HYPERLINK("https://www.boe.es/gazeta/dias/1806/11/04/pdfs/GMD-1806-90.pdf#page=9","Abrir facsímil")</f>
        <v>Abrir facsímil</v>
      </c>
      <c r="K630" s="15" t="s">
        <v>22</v>
      </c>
    </row>
    <row r="631" spans="1:11" ht="42" customHeight="1">
      <c r="A631" s="4" t="s">
        <v>1626</v>
      </c>
      <c r="B631" s="5" t="s">
        <v>1627</v>
      </c>
      <c r="C631" s="5" t="s">
        <v>17</v>
      </c>
      <c r="D631" s="5" t="s">
        <v>18</v>
      </c>
      <c r="E631" s="5" t="s">
        <v>55</v>
      </c>
      <c r="F631" s="9">
        <v>20</v>
      </c>
      <c r="G631" s="9">
        <v>183</v>
      </c>
      <c r="H631" s="5" t="s">
        <v>20</v>
      </c>
      <c r="I631" s="5" t="s">
        <v>1628</v>
      </c>
      <c r="J631" s="12" t="str">
        <f>HYPERLINK("https://www.boe.es/gazeta/dias/1806/03/04/pdfs/GMD-1806-20.pdf#page=7","Abrir facsímil")</f>
        <v>Abrir facsímil</v>
      </c>
      <c r="K631" s="15" t="s">
        <v>22</v>
      </c>
    </row>
    <row r="632" spans="1:11" ht="42" customHeight="1">
      <c r="A632" s="4" t="s">
        <v>1626</v>
      </c>
      <c r="B632" s="5" t="s">
        <v>1627</v>
      </c>
      <c r="C632" s="5" t="s">
        <v>17</v>
      </c>
      <c r="D632" s="5" t="s">
        <v>18</v>
      </c>
      <c r="E632" s="5" t="s">
        <v>213</v>
      </c>
      <c r="F632" s="9">
        <v>73</v>
      </c>
      <c r="G632" s="9">
        <v>757</v>
      </c>
      <c r="H632" s="5" t="s">
        <v>20</v>
      </c>
      <c r="I632" s="5" t="s">
        <v>1629</v>
      </c>
      <c r="J632" s="12" t="str">
        <f>HYPERLINK("https://www.boe.es/gazeta/dias/1806/09/05/pdfs/GMD-1806-73.pdf#page=5","Abrir facsímil")</f>
        <v>Abrir facsímil</v>
      </c>
      <c r="K632" s="15" t="s">
        <v>22</v>
      </c>
    </row>
    <row r="633" spans="1:11" ht="42" customHeight="1">
      <c r="A633" s="4" t="s">
        <v>1630</v>
      </c>
      <c r="B633" s="5" t="s">
        <v>1631</v>
      </c>
      <c r="C633" s="5" t="s">
        <v>36</v>
      </c>
      <c r="D633" s="5" t="s">
        <v>37</v>
      </c>
      <c r="E633" s="5" t="s">
        <v>118</v>
      </c>
      <c r="F633" s="9">
        <v>15</v>
      </c>
      <c r="G633" s="9">
        <v>132</v>
      </c>
      <c r="H633" s="5" t="s">
        <v>20</v>
      </c>
      <c r="I633" s="5" t="s">
        <v>1632</v>
      </c>
      <c r="J633" s="12" t="str">
        <f>HYPERLINK("https://www.boe.es/gazeta/dias/1806/02/14/pdfs/GMD-1806-15.pdf#page=8","Abrir facsímil")</f>
        <v>Abrir facsímil</v>
      </c>
      <c r="K633" s="15" t="s">
        <v>22</v>
      </c>
    </row>
    <row r="634" spans="1:11" ht="42" customHeight="1">
      <c r="A634" s="4" t="s">
        <v>1630</v>
      </c>
      <c r="B634" s="5" t="s">
        <v>1631</v>
      </c>
      <c r="C634" s="5" t="s">
        <v>69</v>
      </c>
      <c r="D634" s="5" t="s">
        <v>70</v>
      </c>
      <c r="E634" s="5" t="s">
        <v>220</v>
      </c>
      <c r="F634" s="9">
        <v>24</v>
      </c>
      <c r="G634" s="9">
        <v>229</v>
      </c>
      <c r="H634" s="5" t="s">
        <v>20</v>
      </c>
      <c r="I634" s="5" t="s">
        <v>1633</v>
      </c>
      <c r="J634" s="12" t="str">
        <f>HYPERLINK("https://www.boe.es/gazeta/dias/1806/03/18/pdfs/GMD-1806-24.pdf#page=5","Abrir facsímil")</f>
        <v>Abrir facsímil</v>
      </c>
      <c r="K634" s="15" t="s">
        <v>22</v>
      </c>
    </row>
    <row r="635" spans="1:11" ht="42" customHeight="1">
      <c r="A635" s="4" t="s">
        <v>1630</v>
      </c>
      <c r="B635" s="5" t="s">
        <v>1631</v>
      </c>
      <c r="C635" s="5" t="s">
        <v>17</v>
      </c>
      <c r="D635" s="5" t="s">
        <v>18</v>
      </c>
      <c r="E635" s="5" t="s">
        <v>79</v>
      </c>
      <c r="F635" s="9">
        <v>68</v>
      </c>
      <c r="G635" s="9">
        <v>710</v>
      </c>
      <c r="H635" s="5" t="s">
        <v>20</v>
      </c>
      <c r="I635" s="5" t="s">
        <v>1634</v>
      </c>
      <c r="J635" s="12" t="str">
        <f>HYPERLINK("https://www.boe.es/gazeta/dias/1806/08/19/pdfs/GMD-1806-68.pdf#page=6","Abrir facsímil")</f>
        <v>Abrir facsímil</v>
      </c>
      <c r="K635" s="15" t="s">
        <v>22</v>
      </c>
    </row>
    <row r="636" spans="1:11" ht="42" customHeight="1">
      <c r="A636" s="4" t="s">
        <v>1635</v>
      </c>
      <c r="B636" s="5" t="s">
        <v>1636</v>
      </c>
      <c r="C636" s="5" t="s">
        <v>36</v>
      </c>
      <c r="D636" s="5" t="s">
        <v>37</v>
      </c>
      <c r="E636" s="5" t="s">
        <v>297</v>
      </c>
      <c r="F636" s="9">
        <v>94</v>
      </c>
      <c r="G636" s="9">
        <v>992</v>
      </c>
      <c r="H636" s="5" t="s">
        <v>20</v>
      </c>
      <c r="I636" s="5" t="s">
        <v>1637</v>
      </c>
      <c r="J636" s="12" t="str">
        <f>HYPERLINK("https://www.boe.es/gazeta/dias/1806/11/18/pdfs/GMD-1806-94.pdf#page=12","Abrir facsímil")</f>
        <v>Abrir facsímil</v>
      </c>
      <c r="K636" s="15" t="s">
        <v>22</v>
      </c>
    </row>
    <row r="637" spans="1:11" ht="42" customHeight="1">
      <c r="A637" s="4" t="s">
        <v>1638</v>
      </c>
      <c r="B637" s="5" t="s">
        <v>1639</v>
      </c>
      <c r="C637" s="5" t="s">
        <v>75</v>
      </c>
      <c r="D637" s="5" t="s">
        <v>43</v>
      </c>
      <c r="E637" s="5" t="s">
        <v>405</v>
      </c>
      <c r="F637" s="9">
        <v>80</v>
      </c>
      <c r="G637" s="9">
        <v>832</v>
      </c>
      <c r="H637" s="5" t="s">
        <v>20</v>
      </c>
      <c r="I637" s="5" t="s">
        <v>1640</v>
      </c>
      <c r="J637" s="12" t="str">
        <f>HYPERLINK("https://www.boe.es/gazeta/dias/1806/09/30/pdfs/GMD-1806-80.pdf#page=12","Abrir facsímil")</f>
        <v>Abrir facsímil</v>
      </c>
      <c r="K637" s="15" t="s">
        <v>22</v>
      </c>
    </row>
    <row r="638" spans="1:11" ht="42" customHeight="1">
      <c r="A638" s="4" t="s">
        <v>1641</v>
      </c>
      <c r="B638" s="5" t="s">
        <v>1641</v>
      </c>
      <c r="C638" s="5" t="s">
        <v>31</v>
      </c>
      <c r="D638" s="5" t="s">
        <v>32</v>
      </c>
      <c r="E638" s="5" t="s">
        <v>121</v>
      </c>
      <c r="F638" s="9">
        <v>19</v>
      </c>
      <c r="G638" s="9">
        <v>173</v>
      </c>
      <c r="H638" s="5" t="s">
        <v>20</v>
      </c>
      <c r="I638" s="5" t="s">
        <v>1642</v>
      </c>
      <c r="J638" s="12" t="str">
        <f>HYPERLINK("https://www.boe.es/gazeta/dias/1806/02/28/pdfs/GMD-1806-19.pdf#page=9","Abrir facsímil")</f>
        <v>Abrir facsímil</v>
      </c>
      <c r="K638" s="15" t="s">
        <v>22</v>
      </c>
    </row>
    <row r="639" spans="1:11" ht="42" customHeight="1">
      <c r="A639" s="4" t="s">
        <v>1643</v>
      </c>
      <c r="B639" s="5" t="s">
        <v>1644</v>
      </c>
      <c r="C639" s="5" t="s">
        <v>75</v>
      </c>
      <c r="D639" s="5" t="s">
        <v>43</v>
      </c>
      <c r="E639" s="5" t="s">
        <v>554</v>
      </c>
      <c r="F639" s="9">
        <v>90</v>
      </c>
      <c r="G639" s="9">
        <v>930</v>
      </c>
      <c r="H639" s="5" t="s">
        <v>20</v>
      </c>
      <c r="I639" s="5" t="s">
        <v>1645</v>
      </c>
      <c r="J639" s="12" t="str">
        <f>HYPERLINK("https://www.boe.es/gazeta/dias/1806/11/04/pdfs/GMD-1806-90.pdf#page=6","Abrir facsímil")</f>
        <v>Abrir facsímil</v>
      </c>
      <c r="K639" s="15" t="s">
        <v>22</v>
      </c>
    </row>
    <row r="640" spans="1:11" ht="42" customHeight="1">
      <c r="A640" s="4" t="s">
        <v>1646</v>
      </c>
      <c r="B640" s="5" t="s">
        <v>1647</v>
      </c>
      <c r="C640" s="5" t="s">
        <v>42</v>
      </c>
      <c r="D640" s="5" t="s">
        <v>43</v>
      </c>
      <c r="E640" s="5" t="s">
        <v>185</v>
      </c>
      <c r="F640" s="9">
        <v>46</v>
      </c>
      <c r="G640" s="9">
        <v>468</v>
      </c>
      <c r="H640" s="5" t="s">
        <v>20</v>
      </c>
      <c r="I640" s="5" t="s">
        <v>1648</v>
      </c>
      <c r="J640" s="12" t="str">
        <f>HYPERLINK("https://www.boe.es/gazeta/dias/1806/06/03/pdfs/GMD-1806-46.pdf#page=8","Abrir facsímil")</f>
        <v>Abrir facsímil</v>
      </c>
      <c r="K640" s="15" t="s">
        <v>22</v>
      </c>
    </row>
    <row r="641" spans="1:11" ht="42" customHeight="1">
      <c r="A641" s="4" t="s">
        <v>1649</v>
      </c>
      <c r="B641" s="5" t="s">
        <v>1649</v>
      </c>
      <c r="C641" s="5" t="s">
        <v>69</v>
      </c>
      <c r="D641" s="5" t="s">
        <v>70</v>
      </c>
      <c r="E641" s="5" t="s">
        <v>483</v>
      </c>
      <c r="F641" s="9">
        <v>58</v>
      </c>
      <c r="G641" s="9">
        <v>600</v>
      </c>
      <c r="H641" s="5" t="s">
        <v>20</v>
      </c>
      <c r="I641" s="5" t="s">
        <v>1650</v>
      </c>
      <c r="J641" s="12" t="str">
        <f>HYPERLINK("https://www.boe.es/gazeta/dias/1806/07/15/pdfs/GMD-1806-58.pdf#page=4","Abrir facsímil")</f>
        <v>Abrir facsímil</v>
      </c>
      <c r="K641" s="15" t="s">
        <v>22</v>
      </c>
    </row>
    <row r="642" spans="1:11" ht="42" customHeight="1">
      <c r="A642" s="4" t="s">
        <v>1651</v>
      </c>
      <c r="B642" s="5" t="s">
        <v>1652</v>
      </c>
      <c r="C642" s="5" t="s">
        <v>42</v>
      </c>
      <c r="D642" s="5" t="s">
        <v>43</v>
      </c>
      <c r="E642" s="5" t="s">
        <v>279</v>
      </c>
      <c r="F642" s="9">
        <v>52</v>
      </c>
      <c r="G642" s="9">
        <v>541</v>
      </c>
      <c r="H642" s="5" t="s">
        <v>20</v>
      </c>
      <c r="I642" s="5" t="s">
        <v>1653</v>
      </c>
      <c r="J642" s="12" t="str">
        <f>HYPERLINK("https://www.boe.es/gazeta/dias/1806/06/24/pdfs/GMD-1806-52.pdf#page=9","Abrir facsímil")</f>
        <v>Abrir facsímil</v>
      </c>
      <c r="K642" s="15" t="s">
        <v>22</v>
      </c>
    </row>
    <row r="643" spans="1:11" ht="42" customHeight="1">
      <c r="A643" s="4" t="s">
        <v>1654</v>
      </c>
      <c r="B643" s="5" t="s">
        <v>1655</v>
      </c>
      <c r="C643" s="5" t="s">
        <v>31</v>
      </c>
      <c r="D643" s="5" t="s">
        <v>32</v>
      </c>
      <c r="E643" s="5" t="s">
        <v>348</v>
      </c>
      <c r="F643" s="9">
        <v>88</v>
      </c>
      <c r="G643" s="9">
        <v>910</v>
      </c>
      <c r="H643" s="5" t="s">
        <v>20</v>
      </c>
      <c r="I643" s="5" t="s">
        <v>1656</v>
      </c>
      <c r="J643" s="12" t="str">
        <f>HYPERLINK("https://www.boe.es/gazeta/dias/1806/10/28/pdfs/GMD-1806-88.pdf#page=6","Abrir facsímil")</f>
        <v>Abrir facsímil</v>
      </c>
      <c r="K643" s="15" t="s">
        <v>22</v>
      </c>
    </row>
    <row r="644" spans="1:11" ht="42" customHeight="1">
      <c r="A644" s="4" t="s">
        <v>1657</v>
      </c>
      <c r="B644" s="5" t="s">
        <v>1658</v>
      </c>
      <c r="C644" s="5" t="s">
        <v>69</v>
      </c>
      <c r="D644" s="5" t="s">
        <v>70</v>
      </c>
      <c r="E644" s="5" t="s">
        <v>238</v>
      </c>
      <c r="F644" s="9">
        <v>18</v>
      </c>
      <c r="G644" s="9">
        <v>157</v>
      </c>
      <c r="H644" s="5" t="s">
        <v>20</v>
      </c>
      <c r="I644" s="5" t="s">
        <v>1659</v>
      </c>
      <c r="J644" s="12" t="str">
        <f>HYPERLINK("https://www.boe.es/gazeta/dias/1806/02/25/pdfs/GMD-1806-18.pdf#page=5","Abrir facsímil")</f>
        <v>Abrir facsímil</v>
      </c>
      <c r="K644" s="15" t="s">
        <v>22</v>
      </c>
    </row>
    <row r="645" spans="1:11" ht="42" customHeight="1">
      <c r="A645" s="4" t="s">
        <v>1657</v>
      </c>
      <c r="B645" s="5" t="s">
        <v>1658</v>
      </c>
      <c r="C645" s="5" t="s">
        <v>69</v>
      </c>
      <c r="D645" s="5" t="s">
        <v>70</v>
      </c>
      <c r="E645" s="5" t="s">
        <v>62</v>
      </c>
      <c r="F645" s="9">
        <v>45</v>
      </c>
      <c r="G645" s="9">
        <v>453</v>
      </c>
      <c r="H645" s="5" t="s">
        <v>20</v>
      </c>
      <c r="I645" s="5" t="s">
        <v>1660</v>
      </c>
      <c r="J645" s="12" t="str">
        <f>HYPERLINK("https://www.boe.es/gazeta/dias/1806/05/30/pdfs/GMD-1806-45.pdf#page=5","Abrir facsímil")</f>
        <v>Abrir facsímil</v>
      </c>
      <c r="K645" s="15" t="s">
        <v>22</v>
      </c>
    </row>
    <row r="646" spans="1:11" ht="42" customHeight="1">
      <c r="A646" s="4" t="s">
        <v>1657</v>
      </c>
      <c r="B646" s="5" t="s">
        <v>1658</v>
      </c>
      <c r="C646" s="5" t="s">
        <v>69</v>
      </c>
      <c r="D646" s="5" t="s">
        <v>70</v>
      </c>
      <c r="E646" s="5" t="s">
        <v>62</v>
      </c>
      <c r="F646" s="9">
        <v>45</v>
      </c>
      <c r="G646" s="9">
        <v>454</v>
      </c>
      <c r="H646" s="5" t="s">
        <v>20</v>
      </c>
      <c r="I646" s="5" t="s">
        <v>1661</v>
      </c>
      <c r="J646" s="12" t="str">
        <f>HYPERLINK("https://www.boe.es/gazeta/dias/1806/05/30/pdfs/GMD-1806-45.pdf#page=6","Abrir facsímil")</f>
        <v>Abrir facsímil</v>
      </c>
      <c r="K646" s="15" t="s">
        <v>22</v>
      </c>
    </row>
    <row r="647" spans="1:11" ht="42" customHeight="1">
      <c r="A647" s="4" t="s">
        <v>1657</v>
      </c>
      <c r="B647" s="5" t="s">
        <v>1658</v>
      </c>
      <c r="C647" s="5" t="s">
        <v>69</v>
      </c>
      <c r="D647" s="5" t="s">
        <v>70</v>
      </c>
      <c r="E647" s="5" t="s">
        <v>716</v>
      </c>
      <c r="F647" s="9">
        <v>56</v>
      </c>
      <c r="G647" s="9">
        <v>582</v>
      </c>
      <c r="H647" s="5" t="s">
        <v>20</v>
      </c>
      <c r="I647" s="5" t="s">
        <v>1662</v>
      </c>
      <c r="J647" s="12" t="str">
        <f>HYPERLINK("https://www.boe.es/gazeta/dias/1806/07/08/pdfs/GMD-1806-56.pdf#page=6","Abrir facsímil")</f>
        <v>Abrir facsímil</v>
      </c>
      <c r="K647" s="15" t="s">
        <v>22</v>
      </c>
    </row>
    <row r="648" spans="1:11" ht="42" customHeight="1">
      <c r="A648" s="4" t="s">
        <v>1657</v>
      </c>
      <c r="B648" s="5" t="s">
        <v>1658</v>
      </c>
      <c r="C648" s="5" t="s">
        <v>69</v>
      </c>
      <c r="D648" s="5" t="s">
        <v>70</v>
      </c>
      <c r="E648" s="5" t="s">
        <v>90</v>
      </c>
      <c r="F648" s="9">
        <v>60</v>
      </c>
      <c r="G648" s="9">
        <v>622</v>
      </c>
      <c r="H648" s="5" t="s">
        <v>20</v>
      </c>
      <c r="I648" s="5" t="s">
        <v>1663</v>
      </c>
      <c r="J648" s="12" t="str">
        <f>HYPERLINK("https://www.boe.es/gazeta/dias/1806/07/22/pdfs/GMD-1806-60.pdf#page=6","Abrir facsímil")</f>
        <v>Abrir facsímil</v>
      </c>
      <c r="K648" s="15" t="s">
        <v>22</v>
      </c>
    </row>
    <row r="649" spans="1:11" ht="42" customHeight="1">
      <c r="A649" s="4" t="s">
        <v>1657</v>
      </c>
      <c r="B649" s="5" t="s">
        <v>1658</v>
      </c>
      <c r="C649" s="5" t="s">
        <v>31</v>
      </c>
      <c r="D649" s="5" t="s">
        <v>32</v>
      </c>
      <c r="E649" s="5" t="s">
        <v>79</v>
      </c>
      <c r="F649" s="9">
        <v>68</v>
      </c>
      <c r="G649" s="9">
        <v>706</v>
      </c>
      <c r="H649" s="5" t="s">
        <v>20</v>
      </c>
      <c r="I649" s="5" t="s">
        <v>1664</v>
      </c>
      <c r="J649" s="12" t="str">
        <f>HYPERLINK("https://www.boe.es/gazeta/dias/1806/08/19/pdfs/GMD-1806-68.pdf#page=2","Abrir facsímil")</f>
        <v>Abrir facsímil</v>
      </c>
      <c r="K649" s="15" t="s">
        <v>22</v>
      </c>
    </row>
    <row r="650" spans="1:11" ht="42" customHeight="1">
      <c r="A650" s="4" t="s">
        <v>1657</v>
      </c>
      <c r="B650" s="5" t="s">
        <v>1658</v>
      </c>
      <c r="C650" s="5" t="s">
        <v>31</v>
      </c>
      <c r="D650" s="5" t="s">
        <v>32</v>
      </c>
      <c r="E650" s="5" t="s">
        <v>79</v>
      </c>
      <c r="F650" s="9">
        <v>68</v>
      </c>
      <c r="G650" s="9">
        <v>707</v>
      </c>
      <c r="H650" s="5" t="s">
        <v>20</v>
      </c>
      <c r="I650" s="5" t="s">
        <v>1665</v>
      </c>
      <c r="J650" s="12" t="str">
        <f>HYPERLINK("https://www.boe.es/gazeta/dias/1806/08/19/pdfs/GMD-1806-68.pdf#page=3","Abrir facsímil")</f>
        <v>Abrir facsímil</v>
      </c>
      <c r="K650" s="15" t="s">
        <v>22</v>
      </c>
    </row>
    <row r="651" spans="1:11" ht="42" customHeight="1">
      <c r="A651" s="4" t="s">
        <v>1657</v>
      </c>
      <c r="B651" s="5" t="s">
        <v>1658</v>
      </c>
      <c r="C651" s="5" t="s">
        <v>31</v>
      </c>
      <c r="D651" s="5" t="s">
        <v>32</v>
      </c>
      <c r="E651" s="5" t="s">
        <v>148</v>
      </c>
      <c r="F651" s="9">
        <v>78</v>
      </c>
      <c r="G651" s="9">
        <v>800</v>
      </c>
      <c r="H651" s="5" t="s">
        <v>20</v>
      </c>
      <c r="I651" s="5" t="s">
        <v>1666</v>
      </c>
      <c r="J651" s="12" t="str">
        <f>HYPERLINK("https://www.boe.es/gazeta/dias/1806/09/23/pdfs/GMD-1806-78.pdf#page=4","Abrir facsímil")</f>
        <v>Abrir facsímil</v>
      </c>
      <c r="K651" s="15" t="s">
        <v>22</v>
      </c>
    </row>
    <row r="652" spans="1:11" ht="42" customHeight="1">
      <c r="A652" s="4" t="s">
        <v>1657</v>
      </c>
      <c r="B652" s="5" t="s">
        <v>1658</v>
      </c>
      <c r="C652" s="5" t="s">
        <v>31</v>
      </c>
      <c r="D652" s="5" t="s">
        <v>32</v>
      </c>
      <c r="E652" s="5" t="s">
        <v>570</v>
      </c>
      <c r="F652" s="9">
        <v>93</v>
      </c>
      <c r="G652" s="9">
        <v>966</v>
      </c>
      <c r="H652" s="5" t="s">
        <v>20</v>
      </c>
      <c r="I652" s="5" t="s">
        <v>1667</v>
      </c>
      <c r="J652" s="12" t="str">
        <f>HYPERLINK("https://www.boe.es/gazeta/dias/1806/11/14/pdfs/GMD-1806-93.pdf#page=2","Abrir facsímil")</f>
        <v>Abrir facsímil</v>
      </c>
      <c r="K652" s="15" t="s">
        <v>22</v>
      </c>
    </row>
    <row r="653" spans="1:11" ht="42" customHeight="1">
      <c r="A653" s="4" t="s">
        <v>1668</v>
      </c>
      <c r="B653" s="5" t="s">
        <v>1668</v>
      </c>
      <c r="C653" s="5" t="s">
        <v>42</v>
      </c>
      <c r="D653" s="5" t="s">
        <v>43</v>
      </c>
      <c r="E653" s="5" t="s">
        <v>124</v>
      </c>
      <c r="F653" s="9">
        <v>25</v>
      </c>
      <c r="G653" s="9">
        <v>245</v>
      </c>
      <c r="H653" s="5" t="s">
        <v>20</v>
      </c>
      <c r="I653" s="5" t="s">
        <v>1669</v>
      </c>
      <c r="J653" s="12" t="str">
        <f>HYPERLINK("https://www.boe.es/gazeta/dias/1806/03/21/pdfs/GMD-1806-25.pdf#page=9","Abrir facsímil")</f>
        <v>Abrir facsímil</v>
      </c>
      <c r="K653" s="15" t="s">
        <v>22</v>
      </c>
    </row>
    <row r="654" spans="1:11" ht="42" customHeight="1">
      <c r="A654" s="4" t="s">
        <v>1670</v>
      </c>
      <c r="B654" s="5" t="s">
        <v>1670</v>
      </c>
      <c r="C654" s="5" t="s">
        <v>36</v>
      </c>
      <c r="D654" s="5" t="s">
        <v>37</v>
      </c>
      <c r="E654" s="5" t="s">
        <v>24</v>
      </c>
      <c r="F654" s="9">
        <v>32</v>
      </c>
      <c r="G654" s="9">
        <v>320</v>
      </c>
      <c r="H654" s="5" t="s">
        <v>20</v>
      </c>
      <c r="I654" s="5" t="s">
        <v>1671</v>
      </c>
      <c r="J654" s="12" t="str">
        <f>HYPERLINK("https://www.boe.es/gazeta/dias/1806/04/15/pdfs/GMD-1806-32.pdf#page=12","Abrir facsímil")</f>
        <v>Abrir facsímil</v>
      </c>
      <c r="K654" s="15" t="s">
        <v>22</v>
      </c>
    </row>
    <row r="655" spans="1:11" ht="42" customHeight="1">
      <c r="A655" s="4" t="s">
        <v>1670</v>
      </c>
      <c r="B655" s="5" t="s">
        <v>1670</v>
      </c>
      <c r="C655" s="5" t="s">
        <v>36</v>
      </c>
      <c r="D655" s="5" t="s">
        <v>37</v>
      </c>
      <c r="E655" s="5" t="s">
        <v>396</v>
      </c>
      <c r="F655" s="9">
        <v>91</v>
      </c>
      <c r="G655" s="9">
        <v>948</v>
      </c>
      <c r="H655" s="5" t="s">
        <v>20</v>
      </c>
      <c r="I655" s="5" t="s">
        <v>1672</v>
      </c>
      <c r="J655" s="12" t="str">
        <f>HYPERLINK("https://www.boe.es/gazeta/dias/1806/11/07/pdfs/GMD-1806-91.pdf#page=12","Abrir facsímil")</f>
        <v>Abrir facsímil</v>
      </c>
      <c r="K655" s="15" t="s">
        <v>22</v>
      </c>
    </row>
    <row r="656" spans="1:11" ht="42" customHeight="1">
      <c r="A656" s="4" t="s">
        <v>1673</v>
      </c>
      <c r="B656" s="5" t="s">
        <v>1673</v>
      </c>
      <c r="C656" s="5" t="s">
        <v>31</v>
      </c>
      <c r="D656" s="5" t="s">
        <v>32</v>
      </c>
      <c r="E656" s="5" t="s">
        <v>38</v>
      </c>
      <c r="F656" s="9">
        <v>92</v>
      </c>
      <c r="G656" s="9">
        <v>963</v>
      </c>
      <c r="H656" s="5" t="s">
        <v>20</v>
      </c>
      <c r="I656" s="5" t="s">
        <v>1674</v>
      </c>
      <c r="J656" s="12" t="str">
        <f>HYPERLINK("https://www.boe.es/gazeta/dias/1806/11/11/pdfs/GMD-1806-92.pdf#page=15","Abrir facsímil")</f>
        <v>Abrir facsímil</v>
      </c>
      <c r="K656" s="15" t="s">
        <v>22</v>
      </c>
    </row>
    <row r="657" spans="1:11" ht="42" customHeight="1">
      <c r="A657" s="4" t="s">
        <v>1675</v>
      </c>
      <c r="B657" s="5" t="s">
        <v>1675</v>
      </c>
      <c r="C657" s="5" t="s">
        <v>69</v>
      </c>
      <c r="D657" s="5" t="s">
        <v>70</v>
      </c>
      <c r="E657" s="5" t="s">
        <v>202</v>
      </c>
      <c r="F657" s="9">
        <v>30</v>
      </c>
      <c r="G657" s="9">
        <v>291</v>
      </c>
      <c r="H657" s="5" t="s">
        <v>20</v>
      </c>
      <c r="I657" s="5" t="s">
        <v>1676</v>
      </c>
      <c r="J657" s="12" t="str">
        <f>HYPERLINK("https://www.boe.es/gazeta/dias/1806/04/08/pdfs/GMD-1806-30.pdf#page=3","Abrir facsímil")</f>
        <v>Abrir facsímil</v>
      </c>
      <c r="K657" s="15" t="s">
        <v>22</v>
      </c>
    </row>
    <row r="658" spans="1:11" ht="42" customHeight="1">
      <c r="A658" s="4" t="s">
        <v>1675</v>
      </c>
      <c r="B658" s="5" t="s">
        <v>1675</v>
      </c>
      <c r="C658" s="5" t="s">
        <v>69</v>
      </c>
      <c r="D658" s="5" t="s">
        <v>70</v>
      </c>
      <c r="E658" s="5" t="s">
        <v>870</v>
      </c>
      <c r="F658" s="9">
        <v>35</v>
      </c>
      <c r="G658" s="9">
        <v>340</v>
      </c>
      <c r="H658" s="5" t="s">
        <v>20</v>
      </c>
      <c r="I658" s="5" t="s">
        <v>1677</v>
      </c>
      <c r="J658" s="12" t="str">
        <f>HYPERLINK("https://www.boe.es/gazeta/dias/1806/04/25/pdfs/GMD-1806-35.pdf#page=4","Abrir facsímil")</f>
        <v>Abrir facsímil</v>
      </c>
      <c r="K658" s="15" t="s">
        <v>22</v>
      </c>
    </row>
    <row r="659" spans="1:11" ht="42" customHeight="1">
      <c r="A659" s="4" t="s">
        <v>1675</v>
      </c>
      <c r="B659" s="5" t="s">
        <v>1675</v>
      </c>
      <c r="C659" s="5" t="s">
        <v>69</v>
      </c>
      <c r="D659" s="5" t="s">
        <v>70</v>
      </c>
      <c r="E659" s="5" t="s">
        <v>62</v>
      </c>
      <c r="F659" s="9">
        <v>45</v>
      </c>
      <c r="G659" s="9">
        <v>454</v>
      </c>
      <c r="H659" s="5" t="s">
        <v>20</v>
      </c>
      <c r="I659" s="5" t="s">
        <v>1678</v>
      </c>
      <c r="J659" s="12" t="str">
        <f>HYPERLINK("https://www.boe.es/gazeta/dias/1806/05/30/pdfs/GMD-1806-45.pdf#page=6","Abrir facsímil")</f>
        <v>Abrir facsímil</v>
      </c>
      <c r="K659" s="15" t="s">
        <v>22</v>
      </c>
    </row>
    <row r="660" spans="1:11" ht="42" customHeight="1">
      <c r="A660" s="4" t="s">
        <v>1679</v>
      </c>
      <c r="B660" s="5" t="s">
        <v>1679</v>
      </c>
      <c r="C660" s="5" t="s">
        <v>69</v>
      </c>
      <c r="D660" s="5" t="s">
        <v>70</v>
      </c>
      <c r="E660" s="5" t="s">
        <v>279</v>
      </c>
      <c r="F660" s="9">
        <v>52</v>
      </c>
      <c r="G660" s="9">
        <v>537</v>
      </c>
      <c r="H660" s="5" t="s">
        <v>20</v>
      </c>
      <c r="I660" s="5" t="s">
        <v>1680</v>
      </c>
      <c r="J660" s="12" t="str">
        <f>HYPERLINK("https://www.boe.es/gazeta/dias/1806/06/24/pdfs/GMD-1806-52.pdf#page=5","Abrir facsímil")</f>
        <v>Abrir facsímil</v>
      </c>
      <c r="K660" s="15" t="s">
        <v>22</v>
      </c>
    </row>
    <row r="661" spans="1:11" ht="42" customHeight="1">
      <c r="A661" s="4" t="s">
        <v>1681</v>
      </c>
      <c r="B661" s="5" t="s">
        <v>1682</v>
      </c>
      <c r="C661" s="5" t="s">
        <v>75</v>
      </c>
      <c r="D661" s="5" t="s">
        <v>43</v>
      </c>
      <c r="E661" s="5" t="s">
        <v>161</v>
      </c>
      <c r="F661" s="9">
        <v>11</v>
      </c>
      <c r="G661" s="9">
        <v>99</v>
      </c>
      <c r="H661" s="5" t="s">
        <v>20</v>
      </c>
      <c r="I661" s="5" t="s">
        <v>1683</v>
      </c>
      <c r="J661" s="12" t="str">
        <f>HYPERLINK("https://www.boe.es/gazeta/dias/1806/01/31/pdfs/GMD-1806-11.pdf#page=7","Abrir facsímil")</f>
        <v>Abrir facsímil</v>
      </c>
      <c r="K661" s="15" t="s">
        <v>22</v>
      </c>
    </row>
    <row r="662" spans="1:11" ht="42" customHeight="1">
      <c r="A662" s="4" t="s">
        <v>1681</v>
      </c>
      <c r="B662" s="5" t="s">
        <v>1682</v>
      </c>
      <c r="C662" s="5" t="s">
        <v>17</v>
      </c>
      <c r="D662" s="5" t="s">
        <v>18</v>
      </c>
      <c r="E662" s="5" t="s">
        <v>309</v>
      </c>
      <c r="F662" s="9">
        <v>41</v>
      </c>
      <c r="G662" s="9">
        <v>410</v>
      </c>
      <c r="H662" s="5" t="s">
        <v>20</v>
      </c>
      <c r="I662" s="5" t="s">
        <v>1684</v>
      </c>
      <c r="J662" s="12" t="str">
        <f>HYPERLINK("https://www.boe.es/gazeta/dias/1806/05/16/pdfs/GMD-1806-41.pdf#page=10","Abrir facsímil")</f>
        <v>Abrir facsímil</v>
      </c>
      <c r="K662" s="15" t="s">
        <v>22</v>
      </c>
    </row>
    <row r="663" spans="1:11" ht="42" customHeight="1">
      <c r="A663" s="4" t="s">
        <v>1681</v>
      </c>
      <c r="B663" s="5" t="s">
        <v>1682</v>
      </c>
      <c r="C663" s="5" t="s">
        <v>75</v>
      </c>
      <c r="D663" s="5" t="s">
        <v>43</v>
      </c>
      <c r="E663" s="5" t="s">
        <v>702</v>
      </c>
      <c r="F663" s="9">
        <v>43</v>
      </c>
      <c r="G663" s="9">
        <v>434</v>
      </c>
      <c r="H663" s="5" t="s">
        <v>20</v>
      </c>
      <c r="I663" s="5" t="s">
        <v>1685</v>
      </c>
      <c r="J663" s="12" t="str">
        <f>HYPERLINK("https://www.boe.es/gazeta/dias/1806/05/23/pdfs/GMD-1806-43.pdf#page=10","Abrir facsímil")</f>
        <v>Abrir facsímil</v>
      </c>
      <c r="K663" s="15" t="s">
        <v>22</v>
      </c>
    </row>
    <row r="664" spans="1:11" ht="42" customHeight="1">
      <c r="A664" s="4" t="s">
        <v>1681</v>
      </c>
      <c r="B664" s="5" t="s">
        <v>1682</v>
      </c>
      <c r="C664" s="5" t="s">
        <v>75</v>
      </c>
      <c r="D664" s="5" t="s">
        <v>43</v>
      </c>
      <c r="E664" s="5" t="s">
        <v>136</v>
      </c>
      <c r="F664" s="9">
        <v>50</v>
      </c>
      <c r="G664" s="9">
        <v>518</v>
      </c>
      <c r="H664" s="5" t="s">
        <v>20</v>
      </c>
      <c r="I664" s="5" t="s">
        <v>1686</v>
      </c>
      <c r="J664" s="12" t="str">
        <f>HYPERLINK("https://www.boe.es/gazeta/dias/1806/06/17/pdfs/GMD-1806-50.pdf#page=10","Abrir facsímil")</f>
        <v>Abrir facsímil</v>
      </c>
      <c r="K664" s="15" t="s">
        <v>22</v>
      </c>
    </row>
    <row r="665" spans="1:11" ht="42" customHeight="1">
      <c r="A665" s="4" t="s">
        <v>1681</v>
      </c>
      <c r="B665" s="5" t="s">
        <v>1682</v>
      </c>
      <c r="C665" s="5" t="s">
        <v>75</v>
      </c>
      <c r="D665" s="5" t="s">
        <v>43</v>
      </c>
      <c r="E665" s="5" t="s">
        <v>136</v>
      </c>
      <c r="F665" s="9">
        <v>50</v>
      </c>
      <c r="G665" s="9">
        <v>519</v>
      </c>
      <c r="H665" s="5" t="s">
        <v>20</v>
      </c>
      <c r="I665" s="5" t="s">
        <v>1687</v>
      </c>
      <c r="J665" s="12" t="str">
        <f>HYPERLINK("https://www.boe.es/gazeta/dias/1806/06/17/pdfs/GMD-1806-50.pdf#page=11","Abrir facsímil")</f>
        <v>Abrir facsímil</v>
      </c>
      <c r="K665" s="15" t="s">
        <v>22</v>
      </c>
    </row>
    <row r="666" spans="1:11" ht="42" customHeight="1">
      <c r="A666" s="4" t="s">
        <v>1681</v>
      </c>
      <c r="B666" s="5" t="s">
        <v>1682</v>
      </c>
      <c r="C666" s="5" t="s">
        <v>75</v>
      </c>
      <c r="D666" s="5" t="s">
        <v>43</v>
      </c>
      <c r="E666" s="5" t="s">
        <v>86</v>
      </c>
      <c r="F666" s="9">
        <v>53</v>
      </c>
      <c r="G666" s="9">
        <v>554</v>
      </c>
      <c r="H666" s="5" t="s">
        <v>20</v>
      </c>
      <c r="I666" s="5" t="s">
        <v>1688</v>
      </c>
      <c r="J666" s="12" t="str">
        <f>HYPERLINK("https://www.boe.es/gazeta/dias/1806/06/27/pdfs/GMD-1806-53.pdf#page=10","Abrir facsímil")</f>
        <v>Abrir facsímil</v>
      </c>
      <c r="K666" s="15" t="s">
        <v>22</v>
      </c>
    </row>
    <row r="667" spans="1:11" ht="42" customHeight="1">
      <c r="A667" s="4" t="s">
        <v>1681</v>
      </c>
      <c r="B667" s="5" t="s">
        <v>1682</v>
      </c>
      <c r="C667" s="5" t="s">
        <v>17</v>
      </c>
      <c r="D667" s="5" t="s">
        <v>18</v>
      </c>
      <c r="E667" s="5" t="s">
        <v>383</v>
      </c>
      <c r="F667" s="9">
        <v>54</v>
      </c>
      <c r="G667" s="9">
        <v>563</v>
      </c>
      <c r="H667" s="5" t="s">
        <v>20</v>
      </c>
      <c r="I667" s="5" t="s">
        <v>1689</v>
      </c>
      <c r="J667" s="12" t="str">
        <f>HYPERLINK("https://www.boe.es/gazeta/dias/1806/07/01/pdfs/GMD-1806-54.pdf#page=7","Abrir facsímil")</f>
        <v>Abrir facsímil</v>
      </c>
      <c r="K667" s="15" t="s">
        <v>22</v>
      </c>
    </row>
    <row r="668" spans="1:11" ht="42" customHeight="1">
      <c r="A668" s="4" t="s">
        <v>1681</v>
      </c>
      <c r="B668" s="5" t="s">
        <v>1682</v>
      </c>
      <c r="C668" s="5" t="s">
        <v>36</v>
      </c>
      <c r="D668" s="5" t="s">
        <v>37</v>
      </c>
      <c r="E668" s="5" t="s">
        <v>96</v>
      </c>
      <c r="F668" s="9">
        <v>62</v>
      </c>
      <c r="G668" s="9">
        <v>650</v>
      </c>
      <c r="H668" s="5" t="s">
        <v>20</v>
      </c>
      <c r="I668" s="5" t="s">
        <v>1690</v>
      </c>
      <c r="J668" s="12" t="str">
        <f>HYPERLINK("https://www.boe.es/gazeta/dias/1806/07/29/pdfs/GMD-1806-62.pdf#page=10","Abrir facsímil")</f>
        <v>Abrir facsímil</v>
      </c>
      <c r="K668" s="15" t="s">
        <v>22</v>
      </c>
    </row>
    <row r="669" spans="1:11" ht="42" customHeight="1">
      <c r="A669" s="4" t="s">
        <v>1681</v>
      </c>
      <c r="B669" s="5" t="s">
        <v>1682</v>
      </c>
      <c r="C669" s="5" t="s">
        <v>31</v>
      </c>
      <c r="D669" s="5" t="s">
        <v>32</v>
      </c>
      <c r="E669" s="5" t="s">
        <v>93</v>
      </c>
      <c r="F669" s="9">
        <v>72</v>
      </c>
      <c r="G669" s="9">
        <v>750</v>
      </c>
      <c r="H669" s="5" t="s">
        <v>20</v>
      </c>
      <c r="I669" s="5" t="s">
        <v>1691</v>
      </c>
      <c r="J669" s="12" t="str">
        <f>HYPERLINK("https://www.boe.es/gazeta/dias/1806/09/02/pdfs/GMD-1806-72.pdf#page=10","Abrir facsímil")</f>
        <v>Abrir facsímil</v>
      </c>
      <c r="K669" s="15" t="s">
        <v>22</v>
      </c>
    </row>
    <row r="670" spans="1:11" ht="42" customHeight="1">
      <c r="A670" s="4" t="s">
        <v>1681</v>
      </c>
      <c r="B670" s="5" t="s">
        <v>1682</v>
      </c>
      <c r="C670" s="5" t="s">
        <v>75</v>
      </c>
      <c r="D670" s="5" t="s">
        <v>43</v>
      </c>
      <c r="E670" s="5" t="s">
        <v>301</v>
      </c>
      <c r="F670" s="9">
        <v>75</v>
      </c>
      <c r="G670" s="9">
        <v>778</v>
      </c>
      <c r="H670" s="5" t="s">
        <v>20</v>
      </c>
      <c r="I670" s="5" t="s">
        <v>1692</v>
      </c>
      <c r="J670" s="12" t="str">
        <f>HYPERLINK("https://www.boe.es/gazeta/dias/1806/09/12/pdfs/GMD-1806-75.pdf#page=10","Abrir facsímil")</f>
        <v>Abrir facsímil</v>
      </c>
      <c r="K670" s="15" t="s">
        <v>22</v>
      </c>
    </row>
    <row r="671" spans="1:11" ht="42" customHeight="1">
      <c r="A671" s="4" t="s">
        <v>1681</v>
      </c>
      <c r="B671" s="5" t="s">
        <v>1682</v>
      </c>
      <c r="C671" s="5" t="s">
        <v>75</v>
      </c>
      <c r="D671" s="5" t="s">
        <v>43</v>
      </c>
      <c r="E671" s="5" t="s">
        <v>405</v>
      </c>
      <c r="F671" s="9">
        <v>80</v>
      </c>
      <c r="G671" s="9">
        <v>832</v>
      </c>
      <c r="H671" s="5" t="s">
        <v>20</v>
      </c>
      <c r="I671" s="5" t="s">
        <v>1693</v>
      </c>
      <c r="J671" s="12" t="str">
        <f>HYPERLINK("https://www.boe.es/gazeta/dias/1806/09/30/pdfs/GMD-1806-80.pdf#page=12","Abrir facsímil")</f>
        <v>Abrir facsímil</v>
      </c>
      <c r="K671" s="15" t="s">
        <v>22</v>
      </c>
    </row>
    <row r="672" spans="1:11" ht="42" customHeight="1">
      <c r="A672" s="4" t="s">
        <v>1681</v>
      </c>
      <c r="B672" s="5" t="s">
        <v>1682</v>
      </c>
      <c r="C672" s="5" t="s">
        <v>75</v>
      </c>
      <c r="D672" s="5" t="s">
        <v>43</v>
      </c>
      <c r="E672" s="5" t="s">
        <v>127</v>
      </c>
      <c r="F672" s="9">
        <v>81</v>
      </c>
      <c r="G672" s="9">
        <v>840</v>
      </c>
      <c r="H672" s="5" t="s">
        <v>20</v>
      </c>
      <c r="I672" s="5" t="s">
        <v>1694</v>
      </c>
      <c r="J672" s="12" t="str">
        <f>HYPERLINK("https://www.boe.es/gazeta/dias/1806/10/03/pdfs/GMD-1806-81.pdf#page=8","Abrir facsímil")</f>
        <v>Abrir facsímil</v>
      </c>
      <c r="K672" s="15" t="s">
        <v>22</v>
      </c>
    </row>
    <row r="673" spans="1:11" ht="42" customHeight="1">
      <c r="A673" s="4" t="s">
        <v>1681</v>
      </c>
      <c r="B673" s="5" t="s">
        <v>1682</v>
      </c>
      <c r="C673" s="5" t="s">
        <v>17</v>
      </c>
      <c r="D673" s="5" t="s">
        <v>18</v>
      </c>
      <c r="E673" s="5" t="s">
        <v>348</v>
      </c>
      <c r="F673" s="9">
        <v>88</v>
      </c>
      <c r="G673" s="9">
        <v>910</v>
      </c>
      <c r="H673" s="5" t="s">
        <v>20</v>
      </c>
      <c r="I673" s="5" t="s">
        <v>1695</v>
      </c>
      <c r="J673" s="12" t="str">
        <f>HYPERLINK("https://www.boe.es/gazeta/dias/1806/10/28/pdfs/GMD-1806-88.pdf#page=6","Abrir facsímil")</f>
        <v>Abrir facsímil</v>
      </c>
      <c r="K673" s="15" t="s">
        <v>22</v>
      </c>
    </row>
    <row r="674" spans="1:11" ht="42" customHeight="1">
      <c r="A674" s="4" t="s">
        <v>1681</v>
      </c>
      <c r="B674" s="5" t="s">
        <v>1682</v>
      </c>
      <c r="C674" s="5" t="s">
        <v>75</v>
      </c>
      <c r="D674" s="5" t="s">
        <v>43</v>
      </c>
      <c r="E674" s="5" t="s">
        <v>554</v>
      </c>
      <c r="F674" s="9">
        <v>90</v>
      </c>
      <c r="G674" s="9">
        <v>935</v>
      </c>
      <c r="H674" s="5" t="s">
        <v>20</v>
      </c>
      <c r="I674" s="5" t="s">
        <v>1696</v>
      </c>
      <c r="J674" s="12" t="str">
        <f>HYPERLINK("https://www.boe.es/gazeta/dias/1806/11/04/pdfs/GMD-1806-90.pdf#page=11","Abrir facsímil")</f>
        <v>Abrir facsímil</v>
      </c>
      <c r="K674" s="15" t="s">
        <v>22</v>
      </c>
    </row>
    <row r="675" spans="1:11" ht="42" customHeight="1">
      <c r="A675" s="4" t="s">
        <v>1697</v>
      </c>
      <c r="B675" s="5" t="s">
        <v>1698</v>
      </c>
      <c r="C675" s="5" t="s">
        <v>31</v>
      </c>
      <c r="D675" s="5" t="s">
        <v>32</v>
      </c>
      <c r="E675" s="5" t="s">
        <v>140</v>
      </c>
      <c r="F675" s="9">
        <v>83</v>
      </c>
      <c r="G675" s="9">
        <v>859</v>
      </c>
      <c r="H675" s="5" t="s">
        <v>20</v>
      </c>
      <c r="I675" s="5" t="s">
        <v>1699</v>
      </c>
      <c r="J675" s="12" t="str">
        <f>HYPERLINK("https://www.boe.es/gazeta/dias/1806/10/10/pdfs/GMD-1806-83.pdf#page=7","Abrir facsímil")</f>
        <v>Abrir facsímil</v>
      </c>
      <c r="K675" s="15" t="s">
        <v>22</v>
      </c>
    </row>
    <row r="676" spans="1:11" ht="42" customHeight="1">
      <c r="A676" s="4" t="s">
        <v>1700</v>
      </c>
      <c r="B676" s="5" t="s">
        <v>1701</v>
      </c>
      <c r="C676" s="5" t="s">
        <v>31</v>
      </c>
      <c r="D676" s="5" t="s">
        <v>32</v>
      </c>
      <c r="E676" s="5" t="s">
        <v>494</v>
      </c>
      <c r="F676" s="9">
        <v>69</v>
      </c>
      <c r="G676" s="9">
        <v>722</v>
      </c>
      <c r="H676" s="5" t="s">
        <v>20</v>
      </c>
      <c r="I676" s="5" t="s">
        <v>1702</v>
      </c>
      <c r="J676" s="12" t="str">
        <f>HYPERLINK("https://www.boe.es/gazeta/dias/1806/08/22/pdfs/GMD-1806-69.pdf#page=10","Abrir facsímil")</f>
        <v>Abrir facsímil</v>
      </c>
      <c r="K676" s="15" t="s">
        <v>22</v>
      </c>
    </row>
    <row r="677" spans="1:11" ht="42" customHeight="1">
      <c r="A677" s="4" t="s">
        <v>1703</v>
      </c>
      <c r="B677" s="5" t="s">
        <v>1704</v>
      </c>
      <c r="C677" s="5" t="s">
        <v>31</v>
      </c>
      <c r="D677" s="5" t="s">
        <v>32</v>
      </c>
      <c r="E677" s="5" t="s">
        <v>181</v>
      </c>
      <c r="F677" s="9">
        <v>99</v>
      </c>
      <c r="G677" s="9">
        <v>1053</v>
      </c>
      <c r="H677" s="5" t="s">
        <v>20</v>
      </c>
      <c r="I677" s="5" t="s">
        <v>1705</v>
      </c>
      <c r="J677" s="12" t="str">
        <f>HYPERLINK("https://www.boe.es/gazeta/dias/1806/12/05/pdfs/GMD-1806-99.pdf#page=9","Abrir facsímil")</f>
        <v>Abrir facsímil</v>
      </c>
      <c r="K677" s="15" t="s">
        <v>22</v>
      </c>
    </row>
    <row r="678" spans="1:11" ht="42" customHeight="1">
      <c r="A678" s="4" t="s">
        <v>1706</v>
      </c>
      <c r="B678" s="5" t="s">
        <v>1707</v>
      </c>
      <c r="C678" s="5" t="s">
        <v>31</v>
      </c>
      <c r="D678" s="5" t="s">
        <v>32</v>
      </c>
      <c r="E678" s="5" t="s">
        <v>90</v>
      </c>
      <c r="F678" s="9">
        <v>60</v>
      </c>
      <c r="G678" s="9">
        <v>623</v>
      </c>
      <c r="H678" s="5" t="s">
        <v>20</v>
      </c>
      <c r="I678" s="5" t="s">
        <v>1708</v>
      </c>
      <c r="J678" s="12" t="str">
        <f>HYPERLINK("https://www.boe.es/gazeta/dias/1806/07/22/pdfs/GMD-1806-60.pdf#page=7","Abrir facsímil")</f>
        <v>Abrir facsímil</v>
      </c>
      <c r="K678" s="15" t="s">
        <v>22</v>
      </c>
    </row>
    <row r="679" spans="1:11" ht="42" customHeight="1">
      <c r="A679" s="4" t="s">
        <v>1709</v>
      </c>
      <c r="B679" s="5" t="s">
        <v>1710</v>
      </c>
      <c r="C679" s="5" t="s">
        <v>36</v>
      </c>
      <c r="D679" s="5" t="s">
        <v>37</v>
      </c>
      <c r="E679" s="5" t="s">
        <v>90</v>
      </c>
      <c r="F679" s="9">
        <v>60</v>
      </c>
      <c r="G679" s="9">
        <v>626</v>
      </c>
      <c r="H679" s="5" t="s">
        <v>20</v>
      </c>
      <c r="I679" s="5" t="s">
        <v>1711</v>
      </c>
      <c r="J679" s="12" t="str">
        <f>HYPERLINK("https://www.boe.es/gazeta/dias/1806/07/22/pdfs/GMD-1806-60.pdf#page=10","Abrir facsímil")</f>
        <v>Abrir facsímil</v>
      </c>
      <c r="K679" s="15" t="s">
        <v>22</v>
      </c>
    </row>
    <row r="680" spans="1:11" ht="42" customHeight="1">
      <c r="A680" s="4" t="s">
        <v>1712</v>
      </c>
      <c r="B680" s="5" t="s">
        <v>1713</v>
      </c>
      <c r="C680" s="5" t="s">
        <v>36</v>
      </c>
      <c r="D680" s="5" t="s">
        <v>37</v>
      </c>
      <c r="E680" s="5" t="s">
        <v>121</v>
      </c>
      <c r="F680" s="9">
        <v>19</v>
      </c>
      <c r="G680" s="9">
        <v>175</v>
      </c>
      <c r="H680" s="5" t="s">
        <v>20</v>
      </c>
      <c r="I680" s="5" t="s">
        <v>1714</v>
      </c>
      <c r="J680" s="12" t="str">
        <f>HYPERLINK("https://www.boe.es/gazeta/dias/1806/02/28/pdfs/GMD-1806-19.pdf#page=11","Abrir facsímil")</f>
        <v>Abrir facsímil</v>
      </c>
      <c r="K680" s="15" t="s">
        <v>22</v>
      </c>
    </row>
    <row r="681" spans="1:11" ht="42" customHeight="1">
      <c r="A681" s="4" t="s">
        <v>1712</v>
      </c>
      <c r="B681" s="5" t="s">
        <v>1713</v>
      </c>
      <c r="C681" s="5" t="s">
        <v>36</v>
      </c>
      <c r="D681" s="5" t="s">
        <v>37</v>
      </c>
      <c r="E681" s="5" t="s">
        <v>62</v>
      </c>
      <c r="F681" s="9">
        <v>45</v>
      </c>
      <c r="G681" s="9">
        <v>460</v>
      </c>
      <c r="H681" s="5" t="s">
        <v>20</v>
      </c>
      <c r="I681" s="5" t="s">
        <v>1715</v>
      </c>
      <c r="J681" s="12" t="str">
        <f>HYPERLINK("https://www.boe.es/gazeta/dias/1806/05/30/pdfs/GMD-1806-45.pdf#page=12","Abrir facsímil")</f>
        <v>Abrir facsímil</v>
      </c>
      <c r="K681" s="15" t="s">
        <v>22</v>
      </c>
    </row>
    <row r="682" spans="1:11" ht="42" customHeight="1">
      <c r="A682" s="4" t="s">
        <v>1716</v>
      </c>
      <c r="B682" s="5" t="s">
        <v>1717</v>
      </c>
      <c r="C682" s="5" t="s">
        <v>31</v>
      </c>
      <c r="D682" s="5" t="s">
        <v>32</v>
      </c>
      <c r="E682" s="5" t="s">
        <v>689</v>
      </c>
      <c r="F682" s="9">
        <v>37</v>
      </c>
      <c r="G682" s="9">
        <v>361</v>
      </c>
      <c r="H682" s="5" t="s">
        <v>20</v>
      </c>
      <c r="I682" s="5" t="s">
        <v>1718</v>
      </c>
      <c r="J682" s="12" t="str">
        <f>HYPERLINK("https://www.boe.es/gazeta/dias/1806/05/02/pdfs/GMD-1806-37.pdf#page=9","Abrir facsímil")</f>
        <v>Abrir facsímil</v>
      </c>
      <c r="K682" s="15" t="s">
        <v>22</v>
      </c>
    </row>
    <row r="683" spans="1:11" ht="42" customHeight="1">
      <c r="A683" s="4" t="s">
        <v>1719</v>
      </c>
      <c r="B683" s="5" t="s">
        <v>1720</v>
      </c>
      <c r="C683" s="5" t="s">
        <v>31</v>
      </c>
      <c r="D683" s="5" t="s">
        <v>32</v>
      </c>
      <c r="E683" s="5" t="s">
        <v>136</v>
      </c>
      <c r="F683" s="9">
        <v>50</v>
      </c>
      <c r="G683" s="9">
        <v>515</v>
      </c>
      <c r="H683" s="5" t="s">
        <v>20</v>
      </c>
      <c r="I683" s="5" t="s">
        <v>1721</v>
      </c>
      <c r="J683" s="12" t="str">
        <f>HYPERLINK("https://www.boe.es/gazeta/dias/1806/06/17/pdfs/GMD-1806-50.pdf#page=7","Abrir facsímil")</f>
        <v>Abrir facsímil</v>
      </c>
      <c r="K683" s="15" t="s">
        <v>22</v>
      </c>
    </row>
    <row r="684" spans="1:11" ht="42" customHeight="1">
      <c r="A684" s="4" t="s">
        <v>1722</v>
      </c>
      <c r="B684" s="5" t="s">
        <v>1723</v>
      </c>
      <c r="C684" s="5" t="s">
        <v>42</v>
      </c>
      <c r="D684" s="5" t="s">
        <v>43</v>
      </c>
      <c r="E684" s="5" t="s">
        <v>148</v>
      </c>
      <c r="F684" s="9">
        <v>78</v>
      </c>
      <c r="G684" s="9">
        <v>804</v>
      </c>
      <c r="H684" s="5" t="s">
        <v>20</v>
      </c>
      <c r="I684" s="5" t="s">
        <v>1724</v>
      </c>
      <c r="J684" s="12" t="str">
        <f>HYPERLINK("https://www.boe.es/gazeta/dias/1806/09/23/pdfs/GMD-1806-78.pdf#page=8","Abrir facsímil")</f>
        <v>Abrir facsímil</v>
      </c>
      <c r="K684" s="15" t="s">
        <v>22</v>
      </c>
    </row>
    <row r="685" spans="1:11" ht="42" customHeight="1">
      <c r="A685" s="4" t="s">
        <v>1725</v>
      </c>
      <c r="B685" s="5" t="s">
        <v>1726</v>
      </c>
      <c r="C685" s="5" t="s">
        <v>42</v>
      </c>
      <c r="D685" s="5" t="s">
        <v>43</v>
      </c>
      <c r="E685" s="5" t="s">
        <v>400</v>
      </c>
      <c r="F685" s="9">
        <v>22</v>
      </c>
      <c r="G685" s="9">
        <v>207</v>
      </c>
      <c r="H685" s="5" t="s">
        <v>20</v>
      </c>
      <c r="I685" s="5" t="s">
        <v>1727</v>
      </c>
      <c r="J685" s="12" t="str">
        <f>HYPERLINK("https://www.boe.es/gazeta/dias/1806/03/11/pdfs/GMD-1806-22.pdf#page=7","Abrir facsímil")</f>
        <v>Abrir facsímil</v>
      </c>
      <c r="K685" s="15" t="s">
        <v>22</v>
      </c>
    </row>
    <row r="686" spans="1:11" ht="42" customHeight="1">
      <c r="A686" s="4" t="s">
        <v>1728</v>
      </c>
      <c r="B686" s="5" t="s">
        <v>1729</v>
      </c>
      <c r="C686" s="5" t="s">
        <v>17</v>
      </c>
      <c r="D686" s="5" t="s">
        <v>18</v>
      </c>
      <c r="E686" s="5" t="s">
        <v>178</v>
      </c>
      <c r="F686" s="9">
        <v>36</v>
      </c>
      <c r="G686" s="9">
        <v>349</v>
      </c>
      <c r="H686" s="5" t="s">
        <v>20</v>
      </c>
      <c r="I686" s="5" t="s">
        <v>1730</v>
      </c>
      <c r="J686" s="12" t="str">
        <f>HYPERLINK("https://www.boe.es/gazeta/dias/1806/04/29/pdfs/GMD-1806-36.pdf#page=5","Abrir facsímil")</f>
        <v>Abrir facsímil</v>
      </c>
      <c r="K686" s="15" t="s">
        <v>22</v>
      </c>
    </row>
    <row r="687" spans="1:11" ht="42" customHeight="1">
      <c r="A687" s="4" t="s">
        <v>1731</v>
      </c>
      <c r="B687" s="5" t="s">
        <v>1732</v>
      </c>
      <c r="C687" s="5" t="s">
        <v>31</v>
      </c>
      <c r="D687" s="5" t="s">
        <v>32</v>
      </c>
      <c r="E687" s="5" t="s">
        <v>301</v>
      </c>
      <c r="F687" s="9">
        <v>75</v>
      </c>
      <c r="G687" s="9">
        <v>777</v>
      </c>
      <c r="H687" s="5" t="s">
        <v>20</v>
      </c>
      <c r="I687" s="5" t="s">
        <v>1733</v>
      </c>
      <c r="J687" s="12" t="str">
        <f>HYPERLINK("https://www.boe.es/gazeta/dias/1806/09/12/pdfs/GMD-1806-75.pdf#page=9","Abrir facsímil")</f>
        <v>Abrir facsímil</v>
      </c>
      <c r="K687" s="15" t="s">
        <v>22</v>
      </c>
    </row>
    <row r="688" spans="1:11" ht="42" customHeight="1">
      <c r="A688" s="4" t="s">
        <v>1734</v>
      </c>
      <c r="B688" s="5" t="s">
        <v>1734</v>
      </c>
      <c r="C688" s="5" t="s">
        <v>17</v>
      </c>
      <c r="D688" s="5" t="s">
        <v>18</v>
      </c>
      <c r="E688" s="5" t="s">
        <v>220</v>
      </c>
      <c r="F688" s="9">
        <v>24</v>
      </c>
      <c r="G688" s="9">
        <v>236</v>
      </c>
      <c r="H688" s="5" t="s">
        <v>20</v>
      </c>
      <c r="I688" s="5" t="s">
        <v>1735</v>
      </c>
      <c r="J688" s="12" t="str">
        <f>HYPERLINK("https://www.boe.es/gazeta/dias/1806/03/18/pdfs/GMD-1806-24.pdf#page=12","Abrir facsímil")</f>
        <v>Abrir facsímil</v>
      </c>
      <c r="K688" s="15" t="s">
        <v>22</v>
      </c>
    </row>
    <row r="689" spans="1:11" ht="42" customHeight="1">
      <c r="A689" s="4" t="s">
        <v>1736</v>
      </c>
      <c r="B689" s="5" t="s">
        <v>1737</v>
      </c>
      <c r="C689" s="5" t="s">
        <v>17</v>
      </c>
      <c r="D689" s="5" t="s">
        <v>18</v>
      </c>
      <c r="E689" s="5" t="s">
        <v>220</v>
      </c>
      <c r="F689" s="9">
        <v>24</v>
      </c>
      <c r="G689" s="9">
        <v>236</v>
      </c>
      <c r="H689" s="5" t="s">
        <v>20</v>
      </c>
      <c r="I689" s="5" t="s">
        <v>1738</v>
      </c>
      <c r="J689" s="12" t="str">
        <f>HYPERLINK("https://www.boe.es/gazeta/dias/1806/03/18/pdfs/GMD-1806-24.pdf#page=12","Abrir facsímil")</f>
        <v>Abrir facsímil</v>
      </c>
      <c r="K689" s="15" t="s">
        <v>22</v>
      </c>
    </row>
    <row r="690" spans="1:11" ht="42" customHeight="1">
      <c r="A690" s="4" t="s">
        <v>1739</v>
      </c>
      <c r="B690" s="5" t="s">
        <v>1740</v>
      </c>
      <c r="C690" s="5" t="s">
        <v>31</v>
      </c>
      <c r="D690" s="5" t="s">
        <v>32</v>
      </c>
      <c r="E690" s="5" t="s">
        <v>178</v>
      </c>
      <c r="F690" s="9">
        <v>36</v>
      </c>
      <c r="G690" s="9">
        <v>350</v>
      </c>
      <c r="H690" s="5" t="s">
        <v>20</v>
      </c>
      <c r="I690" s="5" t="s">
        <v>1741</v>
      </c>
      <c r="J690" s="12" t="str">
        <f>HYPERLINK("https://www.boe.es/gazeta/dias/1806/04/29/pdfs/GMD-1806-36.pdf#page=6","Abrir facsímil")</f>
        <v>Abrir facsímil</v>
      </c>
      <c r="K690" s="15" t="s">
        <v>22</v>
      </c>
    </row>
    <row r="691" spans="1:11" ht="42" customHeight="1">
      <c r="A691" s="4" t="s">
        <v>1742</v>
      </c>
      <c r="B691" s="5" t="s">
        <v>1743</v>
      </c>
      <c r="C691" s="5" t="s">
        <v>42</v>
      </c>
      <c r="D691" s="5" t="s">
        <v>43</v>
      </c>
      <c r="E691" s="5" t="s">
        <v>279</v>
      </c>
      <c r="F691" s="9">
        <v>52</v>
      </c>
      <c r="G691" s="9">
        <v>540</v>
      </c>
      <c r="H691" s="5" t="s">
        <v>20</v>
      </c>
      <c r="I691" s="5" t="s">
        <v>1744</v>
      </c>
      <c r="J691" s="12" t="str">
        <f>HYPERLINK("https://www.boe.es/gazeta/dias/1806/06/24/pdfs/GMD-1806-52.pdf#page=8","Abrir facsímil")</f>
        <v>Abrir facsímil</v>
      </c>
      <c r="K691" s="15" t="s">
        <v>22</v>
      </c>
    </row>
    <row r="692" spans="1:11" ht="42" customHeight="1">
      <c r="A692" s="4" t="s">
        <v>1745</v>
      </c>
      <c r="B692" s="5" t="s">
        <v>1745</v>
      </c>
      <c r="C692" s="5" t="s">
        <v>42</v>
      </c>
      <c r="D692" s="5" t="s">
        <v>43</v>
      </c>
      <c r="E692" s="5" t="s">
        <v>327</v>
      </c>
      <c r="F692" s="9">
        <v>104</v>
      </c>
      <c r="G692" s="9">
        <v>1110</v>
      </c>
      <c r="H692" s="5" t="s">
        <v>20</v>
      </c>
      <c r="I692" s="5" t="s">
        <v>1746</v>
      </c>
      <c r="J692" s="12" t="str">
        <f>HYPERLINK("https://www.boe.es/gazeta/dias/1806/12/23/pdfs/GMD-1806-104.pdf#page=10","Abrir facsímil")</f>
        <v>Abrir facsímil</v>
      </c>
      <c r="K692" s="15" t="s">
        <v>22</v>
      </c>
    </row>
    <row r="693" spans="1:11" ht="42" customHeight="1">
      <c r="A693" s="4" t="s">
        <v>1747</v>
      </c>
      <c r="B693" s="5" t="s">
        <v>1747</v>
      </c>
      <c r="C693" s="5" t="s">
        <v>31</v>
      </c>
      <c r="D693" s="5" t="s">
        <v>32</v>
      </c>
      <c r="E693" s="5" t="s">
        <v>148</v>
      </c>
      <c r="F693" s="9">
        <v>78</v>
      </c>
      <c r="G693" s="9">
        <v>803</v>
      </c>
      <c r="H693" s="5" t="s">
        <v>20</v>
      </c>
      <c r="I693" s="5" t="s">
        <v>1748</v>
      </c>
      <c r="J693" s="12" t="str">
        <f>HYPERLINK("https://www.boe.es/gazeta/dias/1806/09/23/pdfs/GMD-1806-78.pdf#page=7","Abrir facsímil")</f>
        <v>Abrir facsímil</v>
      </c>
      <c r="K693" s="15" t="s">
        <v>22</v>
      </c>
    </row>
    <row r="694" spans="1:11" ht="42" customHeight="1">
      <c r="A694" s="4" t="s">
        <v>1747</v>
      </c>
      <c r="B694" s="5" t="s">
        <v>1747</v>
      </c>
      <c r="C694" s="5" t="s">
        <v>17</v>
      </c>
      <c r="D694" s="5" t="s">
        <v>18</v>
      </c>
      <c r="E694" s="5" t="s">
        <v>396</v>
      </c>
      <c r="F694" s="9">
        <v>91</v>
      </c>
      <c r="G694" s="9">
        <v>944</v>
      </c>
      <c r="H694" s="5" t="s">
        <v>20</v>
      </c>
      <c r="I694" s="5" t="s">
        <v>1749</v>
      </c>
      <c r="J694" s="12" t="str">
        <f>HYPERLINK("https://www.boe.es/gazeta/dias/1806/11/07/pdfs/GMD-1806-91.pdf#page=8","Abrir facsímil")</f>
        <v>Abrir facsímil</v>
      </c>
      <c r="K694" s="15" t="s">
        <v>22</v>
      </c>
    </row>
    <row r="695" spans="1:11" ht="42" customHeight="1">
      <c r="A695" s="4" t="s">
        <v>1750</v>
      </c>
      <c r="B695" s="5" t="s">
        <v>1751</v>
      </c>
      <c r="C695" s="5" t="s">
        <v>75</v>
      </c>
      <c r="D695" s="5" t="s">
        <v>43</v>
      </c>
      <c r="E695" s="5" t="s">
        <v>195</v>
      </c>
      <c r="F695" s="9">
        <v>4</v>
      </c>
      <c r="G695" s="9">
        <v>30</v>
      </c>
      <c r="H695" s="5" t="s">
        <v>20</v>
      </c>
      <c r="I695" s="5" t="s">
        <v>1752</v>
      </c>
      <c r="J695" s="12" t="str">
        <f>HYPERLINK("https://www.boe.es/gazeta/dias/1806/01/14/pdfs/GMD-1806-4.pdf#page=2","Abrir facsímil")</f>
        <v>Abrir facsímil</v>
      </c>
      <c r="K695" s="15" t="s">
        <v>22</v>
      </c>
    </row>
    <row r="696" spans="1:11" ht="42" customHeight="1">
      <c r="A696" s="4" t="s">
        <v>1750</v>
      </c>
      <c r="B696" s="5" t="s">
        <v>1751</v>
      </c>
      <c r="C696" s="5" t="s">
        <v>31</v>
      </c>
      <c r="D696" s="5" t="s">
        <v>32</v>
      </c>
      <c r="E696" s="5" t="s">
        <v>161</v>
      </c>
      <c r="F696" s="9">
        <v>11</v>
      </c>
      <c r="G696" s="9">
        <v>94</v>
      </c>
      <c r="H696" s="5" t="s">
        <v>20</v>
      </c>
      <c r="I696" s="5" t="s">
        <v>1753</v>
      </c>
      <c r="J696" s="12" t="str">
        <f>HYPERLINK("https://www.boe.es/gazeta/dias/1806/01/31/pdfs/GMD-1806-11.pdf#page=2","Abrir facsímil")</f>
        <v>Abrir facsímil</v>
      </c>
      <c r="K696" s="15" t="s">
        <v>22</v>
      </c>
    </row>
    <row r="697" spans="1:11" ht="42" customHeight="1">
      <c r="A697" s="4" t="s">
        <v>1750</v>
      </c>
      <c r="B697" s="5" t="s">
        <v>1751</v>
      </c>
      <c r="C697" s="5" t="s">
        <v>69</v>
      </c>
      <c r="D697" s="5" t="s">
        <v>70</v>
      </c>
      <c r="E697" s="5" t="s">
        <v>55</v>
      </c>
      <c r="F697" s="9">
        <v>20</v>
      </c>
      <c r="G697" s="9">
        <v>178</v>
      </c>
      <c r="H697" s="5" t="s">
        <v>20</v>
      </c>
      <c r="I697" s="5" t="s">
        <v>1754</v>
      </c>
      <c r="J697" s="12" t="str">
        <f>HYPERLINK("https://www.boe.es/gazeta/dias/1806/03/04/pdfs/GMD-1806-20.pdf#page=2","Abrir facsímil")</f>
        <v>Abrir facsímil</v>
      </c>
      <c r="K697" s="15" t="s">
        <v>22</v>
      </c>
    </row>
    <row r="698" spans="1:11" ht="42" customHeight="1">
      <c r="A698" s="4" t="s">
        <v>1750</v>
      </c>
      <c r="B698" s="5" t="s">
        <v>1751</v>
      </c>
      <c r="C698" s="5" t="s">
        <v>69</v>
      </c>
      <c r="D698" s="5" t="s">
        <v>70</v>
      </c>
      <c r="E698" s="5" t="s">
        <v>55</v>
      </c>
      <c r="F698" s="9">
        <v>20</v>
      </c>
      <c r="G698" s="9">
        <v>179</v>
      </c>
      <c r="H698" s="5" t="s">
        <v>20</v>
      </c>
      <c r="I698" s="5" t="s">
        <v>1755</v>
      </c>
      <c r="J698" s="12" t="str">
        <f>HYPERLINK("https://www.boe.es/gazeta/dias/1806/03/04/pdfs/GMD-1806-20.pdf#page=3","Abrir facsímil")</f>
        <v>Abrir facsímil</v>
      </c>
      <c r="K698" s="15" t="s">
        <v>22</v>
      </c>
    </row>
    <row r="699" spans="1:11" ht="42" customHeight="1">
      <c r="A699" s="4" t="s">
        <v>1750</v>
      </c>
      <c r="B699" s="5" t="s">
        <v>1751</v>
      </c>
      <c r="C699" s="5" t="s">
        <v>31</v>
      </c>
      <c r="D699" s="5" t="s">
        <v>32</v>
      </c>
      <c r="E699" s="5" t="s">
        <v>124</v>
      </c>
      <c r="F699" s="9">
        <v>25</v>
      </c>
      <c r="G699" s="9">
        <v>239</v>
      </c>
      <c r="H699" s="5" t="s">
        <v>20</v>
      </c>
      <c r="I699" s="5" t="s">
        <v>1756</v>
      </c>
      <c r="J699" s="12" t="str">
        <f>HYPERLINK("https://www.boe.es/gazeta/dias/1806/03/21/pdfs/GMD-1806-25.pdf#page=3","Abrir facsímil")</f>
        <v>Abrir facsímil</v>
      </c>
      <c r="K699" s="15" t="s">
        <v>22</v>
      </c>
    </row>
    <row r="700" spans="1:11" ht="42" customHeight="1">
      <c r="A700" s="4" t="s">
        <v>1750</v>
      </c>
      <c r="B700" s="5" t="s">
        <v>1751</v>
      </c>
      <c r="C700" s="5" t="s">
        <v>31</v>
      </c>
      <c r="D700" s="5" t="s">
        <v>32</v>
      </c>
      <c r="E700" s="5" t="s">
        <v>227</v>
      </c>
      <c r="F700" s="9">
        <v>27</v>
      </c>
      <c r="G700" s="9">
        <v>263</v>
      </c>
      <c r="H700" s="5" t="s">
        <v>20</v>
      </c>
      <c r="I700" s="5" t="s">
        <v>1757</v>
      </c>
      <c r="J700" s="12" t="str">
        <f>HYPERLINK("https://www.boe.es/gazeta/dias/1806/03/28/pdfs/GMD-1806-27.pdf#page=3","Abrir facsímil")</f>
        <v>Abrir facsímil</v>
      </c>
      <c r="K700" s="15" t="s">
        <v>22</v>
      </c>
    </row>
    <row r="701" spans="1:11" ht="42" customHeight="1">
      <c r="A701" s="4" t="s">
        <v>1750</v>
      </c>
      <c r="B701" s="5" t="s">
        <v>1751</v>
      </c>
      <c r="C701" s="5" t="s">
        <v>69</v>
      </c>
      <c r="D701" s="5" t="s">
        <v>70</v>
      </c>
      <c r="E701" s="5" t="s">
        <v>113</v>
      </c>
      <c r="F701" s="9">
        <v>28</v>
      </c>
      <c r="G701" s="9">
        <v>273</v>
      </c>
      <c r="H701" s="5" t="s">
        <v>20</v>
      </c>
      <c r="I701" s="5" t="s">
        <v>1758</v>
      </c>
      <c r="J701" s="12" t="str">
        <f>HYPERLINK("https://www.boe.es/gazeta/dias/1806/04/01/pdfs/GMD-1806-28.pdf#page=1","Abrir facsímil")</f>
        <v>Abrir facsímil</v>
      </c>
      <c r="K701" s="15" t="s">
        <v>22</v>
      </c>
    </row>
    <row r="702" spans="1:11" ht="42" customHeight="1">
      <c r="A702" s="4" t="s">
        <v>1750</v>
      </c>
      <c r="B702" s="5" t="s">
        <v>1751</v>
      </c>
      <c r="C702" s="5" t="s">
        <v>69</v>
      </c>
      <c r="D702" s="5" t="s">
        <v>70</v>
      </c>
      <c r="E702" s="5" t="s">
        <v>113</v>
      </c>
      <c r="F702" s="9">
        <v>28</v>
      </c>
      <c r="G702" s="9">
        <v>275</v>
      </c>
      <c r="H702" s="5" t="s">
        <v>20</v>
      </c>
      <c r="I702" s="5" t="s">
        <v>1759</v>
      </c>
      <c r="J702" s="12" t="str">
        <f>HYPERLINK("https://www.boe.es/gazeta/dias/1806/04/01/pdfs/GMD-1806-28.pdf#page=3","Abrir facsímil")</f>
        <v>Abrir facsímil</v>
      </c>
      <c r="K702" s="15" t="s">
        <v>22</v>
      </c>
    </row>
    <row r="703" spans="1:11" ht="42" customHeight="1">
      <c r="A703" s="4" t="s">
        <v>1750</v>
      </c>
      <c r="B703" s="5" t="s">
        <v>1751</v>
      </c>
      <c r="C703" s="5" t="s">
        <v>31</v>
      </c>
      <c r="D703" s="5" t="s">
        <v>32</v>
      </c>
      <c r="E703" s="5" t="s">
        <v>202</v>
      </c>
      <c r="F703" s="9">
        <v>30</v>
      </c>
      <c r="G703" s="9">
        <v>290</v>
      </c>
      <c r="H703" s="5" t="s">
        <v>20</v>
      </c>
      <c r="I703" s="5" t="s">
        <v>1760</v>
      </c>
      <c r="J703" s="12" t="str">
        <f>HYPERLINK("https://www.boe.es/gazeta/dias/1806/04/08/pdfs/GMD-1806-30.pdf#page=2","Abrir facsímil")</f>
        <v>Abrir facsímil</v>
      </c>
      <c r="K703" s="15" t="s">
        <v>22</v>
      </c>
    </row>
    <row r="704" spans="1:11" ht="42" customHeight="1">
      <c r="A704" s="4" t="s">
        <v>1761</v>
      </c>
      <c r="B704" s="5" t="s">
        <v>1762</v>
      </c>
      <c r="C704" s="5" t="s">
        <v>69</v>
      </c>
      <c r="D704" s="5" t="s">
        <v>70</v>
      </c>
      <c r="E704" s="5" t="s">
        <v>185</v>
      </c>
      <c r="F704" s="9">
        <v>46</v>
      </c>
      <c r="G704" s="9">
        <v>462</v>
      </c>
      <c r="H704" s="5" t="s">
        <v>20</v>
      </c>
      <c r="I704" s="5" t="s">
        <v>1763</v>
      </c>
      <c r="J704" s="12" t="str">
        <f>HYPERLINK("https://www.boe.es/gazeta/dias/1806/06/03/pdfs/GMD-1806-46.pdf#page=2","Abrir facsímil")</f>
        <v>Abrir facsímil</v>
      </c>
      <c r="K704" s="15" t="s">
        <v>22</v>
      </c>
    </row>
    <row r="705" spans="1:11" ht="42" customHeight="1">
      <c r="A705" s="4" t="s">
        <v>1750</v>
      </c>
      <c r="B705" s="5" t="s">
        <v>1751</v>
      </c>
      <c r="C705" s="5" t="s">
        <v>69</v>
      </c>
      <c r="D705" s="5" t="s">
        <v>70</v>
      </c>
      <c r="E705" s="5" t="s">
        <v>185</v>
      </c>
      <c r="F705" s="9">
        <v>46</v>
      </c>
      <c r="G705" s="9">
        <v>463</v>
      </c>
      <c r="H705" s="5" t="s">
        <v>20</v>
      </c>
      <c r="I705" s="5" t="s">
        <v>1764</v>
      </c>
      <c r="J705" s="12" t="str">
        <f>HYPERLINK("https://www.boe.es/gazeta/dias/1806/06/03/pdfs/GMD-1806-46.pdf#page=3","Abrir facsímil")</f>
        <v>Abrir facsímil</v>
      </c>
      <c r="K705" s="15" t="s">
        <v>22</v>
      </c>
    </row>
    <row r="706" spans="1:11" ht="42" customHeight="1">
      <c r="A706" s="4" t="s">
        <v>1750</v>
      </c>
      <c r="B706" s="5" t="s">
        <v>1751</v>
      </c>
      <c r="C706" s="5" t="s">
        <v>31</v>
      </c>
      <c r="D706" s="5" t="s">
        <v>32</v>
      </c>
      <c r="E706" s="5" t="s">
        <v>1080</v>
      </c>
      <c r="F706" s="9">
        <v>49</v>
      </c>
      <c r="G706" s="9">
        <v>502</v>
      </c>
      <c r="H706" s="5" t="s">
        <v>20</v>
      </c>
      <c r="I706" s="5" t="s">
        <v>1765</v>
      </c>
      <c r="J706" s="12" t="str">
        <f>HYPERLINK("https://www.boe.es/gazeta/dias/1806/06/13/pdfs/GMD-1806-49.pdf#page=2","Abrir facsímil")</f>
        <v>Abrir facsímil</v>
      </c>
      <c r="K706" s="15" t="s">
        <v>22</v>
      </c>
    </row>
    <row r="707" spans="1:11" ht="42" customHeight="1">
      <c r="A707" s="4" t="s">
        <v>1750</v>
      </c>
      <c r="B707" s="5" t="s">
        <v>1751</v>
      </c>
      <c r="C707" s="5" t="s">
        <v>69</v>
      </c>
      <c r="D707" s="5" t="s">
        <v>70</v>
      </c>
      <c r="E707" s="5" t="s">
        <v>540</v>
      </c>
      <c r="F707" s="9">
        <v>51</v>
      </c>
      <c r="G707" s="9">
        <v>524</v>
      </c>
      <c r="H707" s="5" t="s">
        <v>20</v>
      </c>
      <c r="I707" s="5" t="s">
        <v>1766</v>
      </c>
      <c r="J707" s="12" t="str">
        <f>HYPERLINK("https://www.boe.es/gazeta/dias/1806/06/20/pdfs/GMD-1806-51.pdf#page=4","Abrir facsímil")</f>
        <v>Abrir facsímil</v>
      </c>
      <c r="K707" s="15" t="s">
        <v>22</v>
      </c>
    </row>
    <row r="708" spans="1:11" ht="42" customHeight="1">
      <c r="A708" s="4" t="s">
        <v>1750</v>
      </c>
      <c r="B708" s="5" t="s">
        <v>1751</v>
      </c>
      <c r="C708" s="5" t="s">
        <v>69</v>
      </c>
      <c r="D708" s="5" t="s">
        <v>70</v>
      </c>
      <c r="E708" s="5" t="s">
        <v>26</v>
      </c>
      <c r="F708" s="9">
        <v>65</v>
      </c>
      <c r="G708" s="9">
        <v>675</v>
      </c>
      <c r="H708" s="5" t="s">
        <v>20</v>
      </c>
      <c r="I708" s="5" t="s">
        <v>1767</v>
      </c>
      <c r="J708" s="12" t="str">
        <f>HYPERLINK("https://www.boe.es/gazeta/dias/1806/08/08/pdfs/GMD-1806-65.pdf#page=3","Abrir facsímil")</f>
        <v>Abrir facsímil</v>
      </c>
      <c r="K708" s="15" t="s">
        <v>22</v>
      </c>
    </row>
    <row r="709" spans="1:11" ht="42" customHeight="1">
      <c r="A709" s="4" t="s">
        <v>1750</v>
      </c>
      <c r="B709" s="5" t="s">
        <v>1751</v>
      </c>
      <c r="C709" s="5" t="s">
        <v>31</v>
      </c>
      <c r="D709" s="5" t="s">
        <v>32</v>
      </c>
      <c r="E709" s="5" t="s">
        <v>33</v>
      </c>
      <c r="F709" s="9">
        <v>82</v>
      </c>
      <c r="G709" s="9">
        <v>843</v>
      </c>
      <c r="H709" s="5" t="s">
        <v>20</v>
      </c>
      <c r="I709" s="5" t="s">
        <v>1768</v>
      </c>
      <c r="J709" s="12" t="str">
        <f>HYPERLINK("https://www.boe.es/gazeta/dias/1806/10/07/pdfs/GMD-1806-82.pdf#page=3","Abrir facsímil")</f>
        <v>Abrir facsímil</v>
      </c>
      <c r="K709" s="15" t="s">
        <v>22</v>
      </c>
    </row>
    <row r="710" spans="1:11" ht="42" customHeight="1">
      <c r="A710" s="4" t="s">
        <v>1750</v>
      </c>
      <c r="B710" s="5" t="s">
        <v>1751</v>
      </c>
      <c r="C710" s="5" t="s">
        <v>69</v>
      </c>
      <c r="D710" s="5" t="s">
        <v>70</v>
      </c>
      <c r="E710" s="5" t="s">
        <v>140</v>
      </c>
      <c r="F710" s="9">
        <v>83</v>
      </c>
      <c r="G710" s="9">
        <v>856</v>
      </c>
      <c r="H710" s="5" t="s">
        <v>20</v>
      </c>
      <c r="I710" s="5" t="s">
        <v>1769</v>
      </c>
      <c r="J710" s="12" t="str">
        <f>HYPERLINK("https://www.boe.es/gazeta/dias/1806/10/10/pdfs/GMD-1806-83.pdf#page=4","Abrir facsímil")</f>
        <v>Abrir facsímil</v>
      </c>
      <c r="K710" s="15" t="s">
        <v>22</v>
      </c>
    </row>
    <row r="711" spans="1:11" ht="42" customHeight="1">
      <c r="A711" s="4" t="s">
        <v>1770</v>
      </c>
      <c r="B711" s="5" t="s">
        <v>1771</v>
      </c>
      <c r="C711" s="5" t="s">
        <v>69</v>
      </c>
      <c r="D711" s="5" t="s">
        <v>70</v>
      </c>
      <c r="E711" s="5" t="s">
        <v>113</v>
      </c>
      <c r="F711" s="9">
        <v>28</v>
      </c>
      <c r="G711" s="9">
        <v>274</v>
      </c>
      <c r="H711" s="5" t="s">
        <v>20</v>
      </c>
      <c r="I711" s="5" t="s">
        <v>1772</v>
      </c>
      <c r="J711" s="12" t="str">
        <f>HYPERLINK("https://www.boe.es/gazeta/dias/1806/04/01/pdfs/GMD-1806-28.pdf#page=2","Abrir facsímil")</f>
        <v>Abrir facsímil</v>
      </c>
      <c r="K711" s="15" t="s">
        <v>22</v>
      </c>
    </row>
    <row r="712" spans="1:11" ht="42" customHeight="1">
      <c r="A712" s="4" t="s">
        <v>1773</v>
      </c>
      <c r="B712" s="5" t="s">
        <v>1774</v>
      </c>
      <c r="C712" s="5" t="s">
        <v>69</v>
      </c>
      <c r="D712" s="5" t="s">
        <v>70</v>
      </c>
      <c r="E712" s="5" t="s">
        <v>290</v>
      </c>
      <c r="F712" s="9">
        <v>1</v>
      </c>
      <c r="G712" s="9">
        <v>3</v>
      </c>
      <c r="H712" s="5" t="s">
        <v>20</v>
      </c>
      <c r="I712" s="5" t="s">
        <v>1775</v>
      </c>
      <c r="J712" s="12" t="str">
        <f>HYPERLINK("https://www.boe.es/gazeta/dias/1806/01/03/pdfs/GMD-1806-1.pdf#page=3","Abrir facsímil")</f>
        <v>Abrir facsímil</v>
      </c>
      <c r="K712" s="15" t="s">
        <v>22</v>
      </c>
    </row>
    <row r="713" spans="1:11" ht="42" customHeight="1">
      <c r="A713" s="4" t="s">
        <v>1773</v>
      </c>
      <c r="B713" s="5" t="s">
        <v>1774</v>
      </c>
      <c r="C713" s="5" t="s">
        <v>69</v>
      </c>
      <c r="D713" s="5" t="s">
        <v>70</v>
      </c>
      <c r="E713" s="5" t="s">
        <v>290</v>
      </c>
      <c r="F713" s="9">
        <v>1</v>
      </c>
      <c r="G713" s="9">
        <v>4</v>
      </c>
      <c r="H713" s="5" t="s">
        <v>20</v>
      </c>
      <c r="I713" s="5" t="s">
        <v>1776</v>
      </c>
      <c r="J713" s="12" t="str">
        <f>HYPERLINK("https://www.boe.es/gazeta/dias/1806/01/03/pdfs/GMD-1806-1.pdf#page=4","Abrir facsímil")</f>
        <v>Abrir facsímil</v>
      </c>
      <c r="K713" s="15" t="s">
        <v>22</v>
      </c>
    </row>
    <row r="714" spans="1:11" ht="42" customHeight="1">
      <c r="A714" s="4" t="s">
        <v>1773</v>
      </c>
      <c r="B714" s="5" t="s">
        <v>1774</v>
      </c>
      <c r="C714" s="5" t="s">
        <v>706</v>
      </c>
      <c r="D714" s="5" t="s">
        <v>707</v>
      </c>
      <c r="E714" s="5" t="s">
        <v>195</v>
      </c>
      <c r="F714" s="9" t="s">
        <v>708</v>
      </c>
      <c r="G714" s="9">
        <v>42</v>
      </c>
      <c r="H714" s="5" t="s">
        <v>20</v>
      </c>
      <c r="I714" s="5" t="s">
        <v>1777</v>
      </c>
      <c r="J714" s="12" t="str">
        <f>HYPERLINK("https://www.boe.es/gazeta/dias/1806/01/14/pdfs/GMD-1806-5E.pdf#page=2","Abrir facsímil")</f>
        <v>Abrir facsímil</v>
      </c>
      <c r="K714" s="15" t="s">
        <v>22</v>
      </c>
    </row>
    <row r="715" spans="1:11" ht="42" customHeight="1">
      <c r="A715" s="4" t="s">
        <v>1773</v>
      </c>
      <c r="B715" s="5" t="s">
        <v>1774</v>
      </c>
      <c r="C715" s="5" t="s">
        <v>69</v>
      </c>
      <c r="D715" s="5" t="s">
        <v>70</v>
      </c>
      <c r="E715" s="5" t="s">
        <v>1778</v>
      </c>
      <c r="F715" s="9">
        <v>16</v>
      </c>
      <c r="G715" s="9">
        <v>138</v>
      </c>
      <c r="H715" s="5" t="s">
        <v>20</v>
      </c>
      <c r="I715" s="5" t="s">
        <v>1779</v>
      </c>
      <c r="J715" s="12" t="str">
        <f>HYPERLINK("https://www.boe.es/gazeta/dias/1806/02/18/pdfs/GMD-1806-16.pdf#page=2","Abrir facsímil")</f>
        <v>Abrir facsímil</v>
      </c>
      <c r="K715" s="15" t="s">
        <v>22</v>
      </c>
    </row>
    <row r="716" spans="1:11" ht="42" customHeight="1">
      <c r="A716" s="4" t="s">
        <v>1773</v>
      </c>
      <c r="B716" s="5" t="s">
        <v>1774</v>
      </c>
      <c r="C716" s="5" t="s">
        <v>69</v>
      </c>
      <c r="D716" s="5" t="s">
        <v>70</v>
      </c>
      <c r="E716" s="5" t="s">
        <v>55</v>
      </c>
      <c r="F716" s="9">
        <v>20</v>
      </c>
      <c r="G716" s="9">
        <v>179</v>
      </c>
      <c r="H716" s="5" t="s">
        <v>20</v>
      </c>
      <c r="I716" s="5" t="s">
        <v>1780</v>
      </c>
      <c r="J716" s="12" t="str">
        <f>HYPERLINK("https://www.boe.es/gazeta/dias/1806/03/04/pdfs/GMD-1806-20.pdf#page=3","Abrir facsímil")</f>
        <v>Abrir facsímil</v>
      </c>
      <c r="K716" s="15" t="s">
        <v>22</v>
      </c>
    </row>
    <row r="717" spans="1:11" ht="42" customHeight="1">
      <c r="A717" s="4" t="s">
        <v>1773</v>
      </c>
      <c r="B717" s="5" t="s">
        <v>1774</v>
      </c>
      <c r="C717" s="5" t="s">
        <v>31</v>
      </c>
      <c r="D717" s="5" t="s">
        <v>32</v>
      </c>
      <c r="E717" s="5" t="s">
        <v>124</v>
      </c>
      <c r="F717" s="9">
        <v>25</v>
      </c>
      <c r="G717" s="9">
        <v>239</v>
      </c>
      <c r="H717" s="5" t="s">
        <v>20</v>
      </c>
      <c r="I717" s="5" t="s">
        <v>1781</v>
      </c>
      <c r="J717" s="12" t="str">
        <f>HYPERLINK("https://www.boe.es/gazeta/dias/1806/03/21/pdfs/GMD-1806-25.pdf#page=3","Abrir facsímil")</f>
        <v>Abrir facsímil</v>
      </c>
      <c r="K717" s="15" t="s">
        <v>22</v>
      </c>
    </row>
    <row r="718" spans="1:11" ht="42" customHeight="1">
      <c r="A718" s="4" t="s">
        <v>1773</v>
      </c>
      <c r="B718" s="5" t="s">
        <v>1774</v>
      </c>
      <c r="C718" s="5" t="s">
        <v>42</v>
      </c>
      <c r="D718" s="5" t="s">
        <v>43</v>
      </c>
      <c r="E718" s="5" t="s">
        <v>837</v>
      </c>
      <c r="F718" s="9">
        <v>26</v>
      </c>
      <c r="G718" s="9">
        <v>253</v>
      </c>
      <c r="H718" s="5" t="s">
        <v>20</v>
      </c>
      <c r="I718" s="5" t="s">
        <v>1782</v>
      </c>
      <c r="J718" s="12" t="str">
        <f>HYPERLINK("https://www.boe.es/gazeta/dias/1806/03/25/pdfs/GMD-1806-26.pdf#page=5","Abrir facsímil")</f>
        <v>Abrir facsímil</v>
      </c>
      <c r="K718" s="15" t="s">
        <v>22</v>
      </c>
    </row>
    <row r="719" spans="1:11" ht="42" customHeight="1">
      <c r="A719" s="4" t="s">
        <v>1773</v>
      </c>
      <c r="B719" s="5" t="s">
        <v>1774</v>
      </c>
      <c r="C719" s="5" t="s">
        <v>31</v>
      </c>
      <c r="D719" s="5" t="s">
        <v>32</v>
      </c>
      <c r="E719" s="5" t="s">
        <v>1005</v>
      </c>
      <c r="F719" s="9">
        <v>76</v>
      </c>
      <c r="G719" s="9">
        <v>783</v>
      </c>
      <c r="H719" s="5" t="s">
        <v>20</v>
      </c>
      <c r="I719" s="5" t="s">
        <v>1783</v>
      </c>
      <c r="J719" s="12" t="str">
        <f>HYPERLINK("https://www.boe.es/gazeta/dias/1806/09/16/pdfs/GMD-1806-76.pdf#page=3","Abrir facsímil")</f>
        <v>Abrir facsímil</v>
      </c>
      <c r="K719" s="15" t="s">
        <v>22</v>
      </c>
    </row>
    <row r="720" spans="1:11" ht="42" customHeight="1">
      <c r="A720" s="4" t="s">
        <v>1773</v>
      </c>
      <c r="B720" s="5" t="s">
        <v>1774</v>
      </c>
      <c r="C720" s="5" t="s">
        <v>69</v>
      </c>
      <c r="D720" s="5" t="s">
        <v>70</v>
      </c>
      <c r="E720" s="5" t="s">
        <v>816</v>
      </c>
      <c r="F720" s="9">
        <v>86</v>
      </c>
      <c r="G720" s="9">
        <v>886</v>
      </c>
      <c r="H720" s="5" t="s">
        <v>20</v>
      </c>
      <c r="I720" s="5" t="s">
        <v>1784</v>
      </c>
      <c r="J720" s="12" t="str">
        <f>HYPERLINK("https://www.boe.es/gazeta/dias/1806/10/21/pdfs/GMD-1806-86.pdf#page=2","Abrir facsímil")</f>
        <v>Abrir facsímil</v>
      </c>
      <c r="K720" s="15" t="s">
        <v>22</v>
      </c>
    </row>
    <row r="721" spans="1:11" ht="42" customHeight="1">
      <c r="A721" s="4" t="s">
        <v>1785</v>
      </c>
      <c r="B721" s="5" t="s">
        <v>1786</v>
      </c>
      <c r="C721" s="5" t="s">
        <v>69</v>
      </c>
      <c r="D721" s="5" t="s">
        <v>70</v>
      </c>
      <c r="E721" s="5" t="s">
        <v>859</v>
      </c>
      <c r="F721" s="9">
        <v>63</v>
      </c>
      <c r="G721" s="9">
        <v>657</v>
      </c>
      <c r="H721" s="5" t="s">
        <v>20</v>
      </c>
      <c r="I721" s="5" t="s">
        <v>1787</v>
      </c>
      <c r="J721" s="12" t="str">
        <f>HYPERLINK("https://www.boe.es/gazeta/dias/1806/08/01/pdfs/GMD-1806-63.pdf#page=5","Abrir facsímil")</f>
        <v>Abrir facsímil</v>
      </c>
      <c r="K721" s="15" t="s">
        <v>22</v>
      </c>
    </row>
    <row r="722" spans="1:11" ht="42" customHeight="1">
      <c r="A722" s="4" t="s">
        <v>1788</v>
      </c>
      <c r="B722" s="5" t="s">
        <v>1789</v>
      </c>
      <c r="C722" s="5" t="s">
        <v>69</v>
      </c>
      <c r="D722" s="5" t="s">
        <v>70</v>
      </c>
      <c r="E722" s="5" t="s">
        <v>93</v>
      </c>
      <c r="F722" s="9">
        <v>72</v>
      </c>
      <c r="G722" s="9">
        <v>743</v>
      </c>
      <c r="H722" s="5" t="s">
        <v>20</v>
      </c>
      <c r="I722" s="5" t="s">
        <v>1790</v>
      </c>
      <c r="J722" s="12" t="str">
        <f>HYPERLINK("https://www.boe.es/gazeta/dias/1806/09/02/pdfs/GMD-1806-72.pdf#page=3","Abrir facsímil")</f>
        <v>Abrir facsímil</v>
      </c>
      <c r="K722" s="15" t="s">
        <v>22</v>
      </c>
    </row>
    <row r="723" spans="1:11" ht="42" customHeight="1">
      <c r="A723" s="4" t="s">
        <v>1791</v>
      </c>
      <c r="B723" s="5" t="s">
        <v>1792</v>
      </c>
      <c r="C723" s="5" t="s">
        <v>31</v>
      </c>
      <c r="D723" s="5" t="s">
        <v>32</v>
      </c>
      <c r="E723" s="5" t="s">
        <v>837</v>
      </c>
      <c r="F723" s="9">
        <v>26</v>
      </c>
      <c r="G723" s="9">
        <v>251</v>
      </c>
      <c r="H723" s="5" t="s">
        <v>20</v>
      </c>
      <c r="I723" s="5" t="s">
        <v>1793</v>
      </c>
      <c r="J723" s="12" t="str">
        <f>HYPERLINK("https://www.boe.es/gazeta/dias/1806/03/25/pdfs/GMD-1806-26.pdf#page=3","Abrir facsímil")</f>
        <v>Abrir facsímil</v>
      </c>
      <c r="K723" s="15" t="s">
        <v>22</v>
      </c>
    </row>
    <row r="724" spans="1:11" ht="42" customHeight="1">
      <c r="A724" s="4" t="s">
        <v>1794</v>
      </c>
      <c r="B724" s="5" t="s">
        <v>1795</v>
      </c>
      <c r="C724" s="5" t="s">
        <v>69</v>
      </c>
      <c r="D724" s="5" t="s">
        <v>70</v>
      </c>
      <c r="E724" s="5" t="s">
        <v>90</v>
      </c>
      <c r="F724" s="9">
        <v>60</v>
      </c>
      <c r="G724" s="9">
        <v>618</v>
      </c>
      <c r="H724" s="5" t="s">
        <v>20</v>
      </c>
      <c r="I724" s="5" t="s">
        <v>1796</v>
      </c>
      <c r="J724" s="12" t="str">
        <f>HYPERLINK("https://www.boe.es/gazeta/dias/1806/07/22/pdfs/GMD-1806-60.pdf#page=2","Abrir facsímil")</f>
        <v>Abrir facsímil</v>
      </c>
      <c r="K724" s="15" t="s">
        <v>22</v>
      </c>
    </row>
    <row r="725" spans="1:11" ht="42" customHeight="1">
      <c r="A725" s="4" t="s">
        <v>1797</v>
      </c>
      <c r="B725" s="5" t="s">
        <v>1798</v>
      </c>
      <c r="C725" s="5" t="s">
        <v>36</v>
      </c>
      <c r="D725" s="5" t="s">
        <v>37</v>
      </c>
      <c r="E725" s="5" t="s">
        <v>38</v>
      </c>
      <c r="F725" s="9">
        <v>92</v>
      </c>
      <c r="G725" s="9">
        <v>964</v>
      </c>
      <c r="H725" s="5" t="s">
        <v>20</v>
      </c>
      <c r="I725" s="5" t="s">
        <v>1799</v>
      </c>
      <c r="J725" s="12" t="str">
        <f>HYPERLINK("https://www.boe.es/gazeta/dias/1806/11/11/pdfs/GMD-1806-92.pdf#page=16","Abrir facsímil")</f>
        <v>Abrir facsímil</v>
      </c>
      <c r="K725" s="15" t="s">
        <v>22</v>
      </c>
    </row>
    <row r="726" spans="1:11" ht="42" customHeight="1">
      <c r="A726" s="4" t="s">
        <v>1800</v>
      </c>
      <c r="B726" s="5" t="s">
        <v>1801</v>
      </c>
      <c r="C726" s="5" t="s">
        <v>42</v>
      </c>
      <c r="D726" s="5" t="s">
        <v>43</v>
      </c>
      <c r="E726" s="5" t="s">
        <v>279</v>
      </c>
      <c r="F726" s="9">
        <v>52</v>
      </c>
      <c r="G726" s="9">
        <v>540</v>
      </c>
      <c r="H726" s="5" t="s">
        <v>20</v>
      </c>
      <c r="I726" s="5" t="s">
        <v>1802</v>
      </c>
      <c r="J726" s="12" t="str">
        <f>HYPERLINK("https://www.boe.es/gazeta/dias/1806/06/24/pdfs/GMD-1806-52.pdf#page=8","Abrir facsímil")</f>
        <v>Abrir facsímil</v>
      </c>
      <c r="K726" s="15" t="s">
        <v>22</v>
      </c>
    </row>
    <row r="727" spans="1:11" ht="42" customHeight="1">
      <c r="A727" s="4" t="s">
        <v>1803</v>
      </c>
      <c r="B727" s="5" t="s">
        <v>1804</v>
      </c>
      <c r="C727" s="5" t="s">
        <v>36</v>
      </c>
      <c r="D727" s="5" t="s">
        <v>37</v>
      </c>
      <c r="E727" s="5" t="s">
        <v>51</v>
      </c>
      <c r="F727" s="9">
        <v>44</v>
      </c>
      <c r="G727" s="9">
        <v>448</v>
      </c>
      <c r="H727" s="5" t="s">
        <v>20</v>
      </c>
      <c r="I727" s="5" t="s">
        <v>1805</v>
      </c>
      <c r="J727" s="12" t="str">
        <f>HYPERLINK("https://www.boe.es/gazeta/dias/1806/05/27/pdfs/GMD-1806-44.pdf#page=12","Abrir facsímil")</f>
        <v>Abrir facsímil</v>
      </c>
      <c r="K727" s="15" t="s">
        <v>22</v>
      </c>
    </row>
    <row r="728" spans="1:11" ht="42" customHeight="1">
      <c r="A728" s="4" t="s">
        <v>1803</v>
      </c>
      <c r="B728" s="5" t="s">
        <v>1804</v>
      </c>
      <c r="C728" s="5" t="s">
        <v>36</v>
      </c>
      <c r="D728" s="5" t="s">
        <v>37</v>
      </c>
      <c r="E728" s="5" t="s">
        <v>136</v>
      </c>
      <c r="F728" s="9">
        <v>50</v>
      </c>
      <c r="G728" s="9">
        <v>520</v>
      </c>
      <c r="H728" s="5" t="s">
        <v>20</v>
      </c>
      <c r="I728" s="5" t="s">
        <v>1806</v>
      </c>
      <c r="J728" s="12" t="str">
        <f>HYPERLINK("https://www.boe.es/gazeta/dias/1806/06/17/pdfs/GMD-1806-50.pdf#page=12","Abrir facsímil")</f>
        <v>Abrir facsímil</v>
      </c>
      <c r="K728" s="15" t="s">
        <v>22</v>
      </c>
    </row>
    <row r="729" spans="1:11" ht="42" customHeight="1">
      <c r="A729" s="4" t="s">
        <v>1803</v>
      </c>
      <c r="B729" s="5" t="s">
        <v>1804</v>
      </c>
      <c r="C729" s="5" t="s">
        <v>36</v>
      </c>
      <c r="D729" s="5" t="s">
        <v>37</v>
      </c>
      <c r="E729" s="5" t="s">
        <v>483</v>
      </c>
      <c r="F729" s="9">
        <v>58</v>
      </c>
      <c r="G729" s="9">
        <v>604</v>
      </c>
      <c r="H729" s="5" t="s">
        <v>20</v>
      </c>
      <c r="I729" s="5" t="s">
        <v>1807</v>
      </c>
      <c r="J729" s="12" t="str">
        <f>HYPERLINK("https://www.boe.es/gazeta/dias/1806/07/15/pdfs/GMD-1806-58.pdf#page=8","Abrir facsímil")</f>
        <v>Abrir facsímil</v>
      </c>
      <c r="K729" s="15" t="s">
        <v>22</v>
      </c>
    </row>
    <row r="730" spans="1:11" ht="42" customHeight="1">
      <c r="A730" s="4" t="s">
        <v>1808</v>
      </c>
      <c r="B730" s="5" t="s">
        <v>1809</v>
      </c>
      <c r="C730" s="5" t="s">
        <v>31</v>
      </c>
      <c r="D730" s="5" t="s">
        <v>32</v>
      </c>
      <c r="E730" s="5" t="s">
        <v>86</v>
      </c>
      <c r="F730" s="9">
        <v>53</v>
      </c>
      <c r="G730" s="9">
        <v>552</v>
      </c>
      <c r="H730" s="5" t="s">
        <v>20</v>
      </c>
      <c r="I730" s="5" t="s">
        <v>1810</v>
      </c>
      <c r="J730" s="12" t="str">
        <f>HYPERLINK("https://www.boe.es/gazeta/dias/1806/06/27/pdfs/GMD-1806-53.pdf#page=8","Abrir facsímil")</f>
        <v>Abrir facsímil</v>
      </c>
      <c r="K730" s="15" t="s">
        <v>22</v>
      </c>
    </row>
    <row r="731" spans="1:11" ht="42" customHeight="1">
      <c r="A731" s="4" t="s">
        <v>1811</v>
      </c>
      <c r="B731" s="5" t="s">
        <v>1812</v>
      </c>
      <c r="C731" s="5" t="s">
        <v>17</v>
      </c>
      <c r="D731" s="5" t="s">
        <v>18</v>
      </c>
      <c r="E731" s="5" t="s">
        <v>494</v>
      </c>
      <c r="F731" s="9">
        <v>69</v>
      </c>
      <c r="G731" s="9">
        <v>721</v>
      </c>
      <c r="H731" s="5" t="s">
        <v>20</v>
      </c>
      <c r="I731" s="5" t="s">
        <v>1813</v>
      </c>
      <c r="J731" s="12" t="str">
        <f>HYPERLINK("https://www.boe.es/gazeta/dias/1806/08/22/pdfs/GMD-1806-69.pdf#page=9","Abrir facsímil")</f>
        <v>Abrir facsímil</v>
      </c>
      <c r="K731" s="15" t="s">
        <v>22</v>
      </c>
    </row>
    <row r="732" spans="1:11" ht="42" customHeight="1">
      <c r="A732" s="4" t="s">
        <v>1814</v>
      </c>
      <c r="B732" s="5" t="s">
        <v>1815</v>
      </c>
      <c r="C732" s="5" t="s">
        <v>75</v>
      </c>
      <c r="D732" s="5" t="s">
        <v>43</v>
      </c>
      <c r="E732" s="5" t="s">
        <v>367</v>
      </c>
      <c r="F732" s="9">
        <v>87</v>
      </c>
      <c r="G732" s="9">
        <v>902</v>
      </c>
      <c r="H732" s="5" t="s">
        <v>20</v>
      </c>
      <c r="I732" s="5" t="s">
        <v>1816</v>
      </c>
      <c r="J732" s="12" t="str">
        <f>HYPERLINK("https://www.boe.es/gazeta/dias/1806/10/24/pdfs/GMD-1806-87.pdf#page=10","Abrir facsímil")</f>
        <v>Abrir facsímil</v>
      </c>
      <c r="K732" s="15" t="s">
        <v>22</v>
      </c>
    </row>
    <row r="733" spans="1:11" ht="42" customHeight="1">
      <c r="A733" s="4" t="s">
        <v>1817</v>
      </c>
      <c r="B733" s="5" t="s">
        <v>1818</v>
      </c>
      <c r="C733" s="5" t="s">
        <v>75</v>
      </c>
      <c r="D733" s="5" t="s">
        <v>43</v>
      </c>
      <c r="E733" s="5" t="s">
        <v>48</v>
      </c>
      <c r="F733" s="9">
        <v>67</v>
      </c>
      <c r="G733" s="9">
        <v>702</v>
      </c>
      <c r="H733" s="5" t="s">
        <v>20</v>
      </c>
      <c r="I733" s="5" t="s">
        <v>1819</v>
      </c>
      <c r="J733" s="12" t="str">
        <f>HYPERLINK("https://www.boe.es/gazeta/dias/1806/08/15/pdfs/GMD-1806-67.pdf#page=10","Abrir facsímil")</f>
        <v>Abrir facsímil</v>
      </c>
      <c r="K733" s="15" t="s">
        <v>22</v>
      </c>
    </row>
    <row r="734" spans="1:11" ht="42" customHeight="1">
      <c r="A734" s="4" t="s">
        <v>1817</v>
      </c>
      <c r="B734" s="5" t="s">
        <v>1818</v>
      </c>
      <c r="C734" s="5" t="s">
        <v>75</v>
      </c>
      <c r="D734" s="5" t="s">
        <v>43</v>
      </c>
      <c r="E734" s="5" t="s">
        <v>816</v>
      </c>
      <c r="F734" s="9">
        <v>86</v>
      </c>
      <c r="G734" s="9">
        <v>891</v>
      </c>
      <c r="H734" s="5" t="s">
        <v>20</v>
      </c>
      <c r="I734" s="5" t="s">
        <v>1820</v>
      </c>
      <c r="J734" s="12" t="str">
        <f>HYPERLINK("https://www.boe.es/gazeta/dias/1806/10/21/pdfs/GMD-1806-86.pdf#page=7","Abrir facsímil")</f>
        <v>Abrir facsímil</v>
      </c>
      <c r="K734" s="15" t="s">
        <v>22</v>
      </c>
    </row>
    <row r="735" spans="1:11" ht="42" customHeight="1">
      <c r="A735" s="4" t="s">
        <v>1817</v>
      </c>
      <c r="B735" s="5" t="s">
        <v>1818</v>
      </c>
      <c r="C735" s="5" t="s">
        <v>75</v>
      </c>
      <c r="D735" s="5" t="s">
        <v>43</v>
      </c>
      <c r="E735" s="5" t="s">
        <v>570</v>
      </c>
      <c r="F735" s="9">
        <v>93</v>
      </c>
      <c r="G735" s="9">
        <v>980</v>
      </c>
      <c r="H735" s="5" t="s">
        <v>20</v>
      </c>
      <c r="I735" s="5" t="s">
        <v>1821</v>
      </c>
      <c r="J735" s="12" t="str">
        <f>HYPERLINK("https://www.boe.es/gazeta/dias/1806/11/14/pdfs/GMD-1806-93.pdf#page=16","Abrir facsímil")</f>
        <v>Abrir facsímil</v>
      </c>
      <c r="K735" s="15" t="s">
        <v>22</v>
      </c>
    </row>
    <row r="736" spans="1:11" ht="42" customHeight="1">
      <c r="A736" s="4" t="s">
        <v>1817</v>
      </c>
      <c r="B736" s="5" t="s">
        <v>1818</v>
      </c>
      <c r="C736" s="5" t="s">
        <v>17</v>
      </c>
      <c r="D736" s="5" t="s">
        <v>18</v>
      </c>
      <c r="E736" s="5" t="s">
        <v>209</v>
      </c>
      <c r="F736" s="9">
        <v>95</v>
      </c>
      <c r="G736" s="9">
        <v>1007</v>
      </c>
      <c r="H736" s="5" t="s">
        <v>20</v>
      </c>
      <c r="I736" s="5" t="s">
        <v>1822</v>
      </c>
      <c r="J736" s="12" t="str">
        <f>HYPERLINK("https://www.boe.es/gazeta/dias/1806/11/21/pdfs/GMD-1806-95.pdf#page=15","Abrir facsímil")</f>
        <v>Abrir facsímil</v>
      </c>
      <c r="K736" s="15" t="s">
        <v>22</v>
      </c>
    </row>
    <row r="737" spans="1:11" ht="42" customHeight="1">
      <c r="A737" s="4" t="s">
        <v>1823</v>
      </c>
      <c r="B737" s="5" t="s">
        <v>1824</v>
      </c>
      <c r="C737" s="5" t="s">
        <v>31</v>
      </c>
      <c r="D737" s="5" t="s">
        <v>32</v>
      </c>
      <c r="E737" s="5" t="s">
        <v>124</v>
      </c>
      <c r="F737" s="9">
        <v>25</v>
      </c>
      <c r="G737" s="9">
        <v>245</v>
      </c>
      <c r="H737" s="5" t="s">
        <v>20</v>
      </c>
      <c r="I737" s="5" t="s">
        <v>1825</v>
      </c>
      <c r="J737" s="12" t="str">
        <f>HYPERLINK("https://www.boe.es/gazeta/dias/1806/03/21/pdfs/GMD-1806-25.pdf#page=9","Abrir facsímil")</f>
        <v>Abrir facsímil</v>
      </c>
      <c r="K737" s="15" t="s">
        <v>22</v>
      </c>
    </row>
    <row r="738" spans="1:11" ht="42" customHeight="1">
      <c r="A738" s="4" t="s">
        <v>1826</v>
      </c>
      <c r="B738" s="5" t="s">
        <v>1827</v>
      </c>
      <c r="C738" s="5" t="s">
        <v>36</v>
      </c>
      <c r="D738" s="5" t="s">
        <v>37</v>
      </c>
      <c r="E738" s="5" t="s">
        <v>55</v>
      </c>
      <c r="F738" s="9">
        <v>20</v>
      </c>
      <c r="G738" s="9">
        <v>187</v>
      </c>
      <c r="H738" s="5" t="s">
        <v>20</v>
      </c>
      <c r="I738" s="5" t="s">
        <v>1828</v>
      </c>
      <c r="J738" s="12" t="str">
        <f>HYPERLINK("https://www.boe.es/gazeta/dias/1806/03/04/pdfs/GMD-1806-20.pdf#page=11","Abrir facsímil")</f>
        <v>Abrir facsímil</v>
      </c>
      <c r="K738" s="15" t="s">
        <v>22</v>
      </c>
    </row>
    <row r="739" spans="1:11" ht="42" customHeight="1">
      <c r="A739" s="4" t="s">
        <v>1829</v>
      </c>
      <c r="B739" s="5" t="s">
        <v>1830</v>
      </c>
      <c r="C739" s="5" t="s">
        <v>17</v>
      </c>
      <c r="D739" s="5" t="s">
        <v>18</v>
      </c>
      <c r="E739" s="5" t="s">
        <v>93</v>
      </c>
      <c r="F739" s="9">
        <v>72</v>
      </c>
      <c r="G739" s="9">
        <v>748</v>
      </c>
      <c r="H739" s="5" t="s">
        <v>20</v>
      </c>
      <c r="I739" s="5" t="s">
        <v>1831</v>
      </c>
      <c r="J739" s="12" t="str">
        <f>HYPERLINK("https://www.boe.es/gazeta/dias/1806/09/02/pdfs/GMD-1806-72.pdf#page=8","Abrir facsímil")</f>
        <v>Abrir facsímil</v>
      </c>
      <c r="K739" s="15" t="s">
        <v>22</v>
      </c>
    </row>
    <row r="740" spans="1:11" ht="42" customHeight="1">
      <c r="A740" s="4" t="s">
        <v>1832</v>
      </c>
      <c r="B740" s="5" t="s">
        <v>1833</v>
      </c>
      <c r="C740" s="5" t="s">
        <v>17</v>
      </c>
      <c r="D740" s="5" t="s">
        <v>18</v>
      </c>
      <c r="E740" s="5" t="s">
        <v>1031</v>
      </c>
      <c r="F740" s="9">
        <v>107</v>
      </c>
      <c r="G740" s="9">
        <v>1132</v>
      </c>
      <c r="H740" s="5" t="s">
        <v>20</v>
      </c>
      <c r="I740" s="5" t="s">
        <v>1834</v>
      </c>
      <c r="J740" s="12" t="str">
        <f>HYPERLINK("https://www.boe.es/gazeta/dias/1806/12/30/pdfs/GMD-1806-107.pdf#page=8","Abrir facsímil")</f>
        <v>Abrir facsímil</v>
      </c>
      <c r="K740" s="15" t="s">
        <v>22</v>
      </c>
    </row>
    <row r="741" spans="1:11" ht="42" customHeight="1">
      <c r="A741" s="4" t="s">
        <v>1835</v>
      </c>
      <c r="B741" s="5" t="s">
        <v>1836</v>
      </c>
      <c r="C741" s="5" t="s">
        <v>17</v>
      </c>
      <c r="D741" s="5" t="s">
        <v>18</v>
      </c>
      <c r="E741" s="5" t="s">
        <v>213</v>
      </c>
      <c r="F741" s="9">
        <v>73</v>
      </c>
      <c r="G741" s="9">
        <v>757</v>
      </c>
      <c r="H741" s="5" t="s">
        <v>20</v>
      </c>
      <c r="I741" s="5" t="s">
        <v>1837</v>
      </c>
      <c r="J741" s="12" t="str">
        <f>HYPERLINK("https://www.boe.es/gazeta/dias/1806/09/05/pdfs/GMD-1806-73.pdf#page=5","Abrir facsímil")</f>
        <v>Abrir facsímil</v>
      </c>
      <c r="K741" s="15" t="s">
        <v>22</v>
      </c>
    </row>
    <row r="742" spans="1:11" ht="42" customHeight="1">
      <c r="A742" s="4" t="s">
        <v>1838</v>
      </c>
      <c r="B742" s="5" t="s">
        <v>1839</v>
      </c>
      <c r="C742" s="5" t="s">
        <v>31</v>
      </c>
      <c r="D742" s="5" t="s">
        <v>32</v>
      </c>
      <c r="E742" s="5" t="s">
        <v>554</v>
      </c>
      <c r="F742" s="9">
        <v>90</v>
      </c>
      <c r="G742" s="9">
        <v>933</v>
      </c>
      <c r="H742" s="5" t="s">
        <v>20</v>
      </c>
      <c r="I742" s="5" t="s">
        <v>1840</v>
      </c>
      <c r="J742" s="12" t="str">
        <f>HYPERLINK("https://www.boe.es/gazeta/dias/1806/11/04/pdfs/GMD-1806-90.pdf#page=9","Abrir facsímil")</f>
        <v>Abrir facsímil</v>
      </c>
      <c r="K742" s="15" t="s">
        <v>22</v>
      </c>
    </row>
    <row r="743" spans="1:11" ht="42" customHeight="1">
      <c r="A743" s="4" t="s">
        <v>1841</v>
      </c>
      <c r="B743" s="5" t="s">
        <v>1842</v>
      </c>
      <c r="C743" s="5" t="s">
        <v>42</v>
      </c>
      <c r="D743" s="5" t="s">
        <v>43</v>
      </c>
      <c r="E743" s="5" t="s">
        <v>911</v>
      </c>
      <c r="F743" s="9">
        <v>64</v>
      </c>
      <c r="G743" s="9">
        <v>671</v>
      </c>
      <c r="H743" s="5" t="s">
        <v>20</v>
      </c>
      <c r="I743" s="5" t="s">
        <v>1843</v>
      </c>
      <c r="J743" s="12" t="str">
        <f>HYPERLINK("https://www.boe.es/gazeta/dias/1806/08/05/pdfs/GMD-1806-64.pdf#page=7","Abrir facsímil")</f>
        <v>Abrir facsímil</v>
      </c>
      <c r="K743" s="15" t="s">
        <v>22</v>
      </c>
    </row>
    <row r="744" spans="1:11" ht="42" customHeight="1">
      <c r="A744" s="4" t="s">
        <v>1844</v>
      </c>
      <c r="B744" s="5" t="s">
        <v>1845</v>
      </c>
      <c r="C744" s="5" t="s">
        <v>42</v>
      </c>
      <c r="D744" s="5" t="s">
        <v>43</v>
      </c>
      <c r="E744" s="5" t="s">
        <v>911</v>
      </c>
      <c r="F744" s="9">
        <v>64</v>
      </c>
      <c r="G744" s="9">
        <v>671</v>
      </c>
      <c r="H744" s="5" t="s">
        <v>20</v>
      </c>
      <c r="I744" s="5" t="s">
        <v>1846</v>
      </c>
      <c r="J744" s="12" t="str">
        <f>HYPERLINK("https://www.boe.es/gazeta/dias/1806/08/05/pdfs/GMD-1806-64.pdf#page=7","Abrir facsímil")</f>
        <v>Abrir facsímil</v>
      </c>
      <c r="K744" s="15" t="s">
        <v>22</v>
      </c>
    </row>
    <row r="745" spans="1:11" ht="42" customHeight="1">
      <c r="A745" s="4" t="s">
        <v>1847</v>
      </c>
      <c r="B745" s="5" t="s">
        <v>1847</v>
      </c>
      <c r="C745" s="5" t="s">
        <v>31</v>
      </c>
      <c r="D745" s="5" t="s">
        <v>32</v>
      </c>
      <c r="E745" s="5" t="s">
        <v>59</v>
      </c>
      <c r="F745" s="9">
        <v>21</v>
      </c>
      <c r="G745" s="9">
        <v>193</v>
      </c>
      <c r="H745" s="5" t="s">
        <v>20</v>
      </c>
      <c r="I745" s="5" t="s">
        <v>1848</v>
      </c>
      <c r="J745" s="12" t="str">
        <f>HYPERLINK("https://www.boe.es/gazeta/dias/1806/03/07/pdfs/GMD-1806-21.pdf#page=5","Abrir facsímil")</f>
        <v>Abrir facsímil</v>
      </c>
      <c r="K745" s="15" t="s">
        <v>22</v>
      </c>
    </row>
    <row r="746" spans="1:11" ht="42" customHeight="1">
      <c r="A746" s="4" t="s">
        <v>1847</v>
      </c>
      <c r="B746" s="5" t="s">
        <v>1847</v>
      </c>
      <c r="C746" s="5" t="s">
        <v>69</v>
      </c>
      <c r="D746" s="5" t="s">
        <v>70</v>
      </c>
      <c r="E746" s="5" t="s">
        <v>259</v>
      </c>
      <c r="F746" s="9">
        <v>34</v>
      </c>
      <c r="G746" s="9">
        <v>331</v>
      </c>
      <c r="H746" s="5" t="s">
        <v>20</v>
      </c>
      <c r="I746" s="5" t="s">
        <v>1849</v>
      </c>
      <c r="J746" s="12" t="str">
        <f>HYPERLINK("https://www.boe.es/gazeta/dias/1806/04/22/pdfs/GMD-1806-34.pdf#page=3","Abrir facsímil")</f>
        <v>Abrir facsímil</v>
      </c>
      <c r="K746" s="15" t="s">
        <v>22</v>
      </c>
    </row>
    <row r="747" spans="1:11" ht="42" customHeight="1">
      <c r="A747" s="4" t="s">
        <v>1850</v>
      </c>
      <c r="B747" s="5" t="s">
        <v>1851</v>
      </c>
      <c r="C747" s="5" t="s">
        <v>31</v>
      </c>
      <c r="D747" s="5" t="s">
        <v>32</v>
      </c>
      <c r="E747" s="5" t="s">
        <v>127</v>
      </c>
      <c r="F747" s="9">
        <v>81</v>
      </c>
      <c r="G747" s="9">
        <v>837</v>
      </c>
      <c r="H747" s="5" t="s">
        <v>20</v>
      </c>
      <c r="I747" s="5" t="s">
        <v>1852</v>
      </c>
      <c r="J747" s="12" t="str">
        <f>HYPERLINK("https://www.boe.es/gazeta/dias/1806/10/03/pdfs/GMD-1806-81.pdf#page=5","Abrir facsímil")</f>
        <v>Abrir facsímil</v>
      </c>
      <c r="K747" s="15" t="s">
        <v>22</v>
      </c>
    </row>
    <row r="748" spans="1:11" ht="42" customHeight="1">
      <c r="A748" s="4" t="s">
        <v>1853</v>
      </c>
      <c r="B748" s="5" t="s">
        <v>1854</v>
      </c>
      <c r="C748" s="5" t="s">
        <v>42</v>
      </c>
      <c r="D748" s="5" t="s">
        <v>43</v>
      </c>
      <c r="E748" s="5" t="s">
        <v>570</v>
      </c>
      <c r="F748" s="9">
        <v>93</v>
      </c>
      <c r="G748" s="9">
        <v>978</v>
      </c>
      <c r="H748" s="5" t="s">
        <v>20</v>
      </c>
      <c r="I748" s="5" t="s">
        <v>1855</v>
      </c>
      <c r="J748" s="12" t="str">
        <f>HYPERLINK("https://www.boe.es/gazeta/dias/1806/11/14/pdfs/GMD-1806-93.pdf#page=14","Abrir facsímil")</f>
        <v>Abrir facsímil</v>
      </c>
      <c r="K748" s="15" t="s">
        <v>22</v>
      </c>
    </row>
    <row r="749" spans="1:11" ht="42" customHeight="1">
      <c r="A749" s="4" t="s">
        <v>1856</v>
      </c>
      <c r="B749" s="5" t="s">
        <v>1857</v>
      </c>
      <c r="C749" s="5" t="s">
        <v>31</v>
      </c>
      <c r="D749" s="5" t="s">
        <v>32</v>
      </c>
      <c r="E749" s="5" t="s">
        <v>136</v>
      </c>
      <c r="F749" s="9">
        <v>50</v>
      </c>
      <c r="G749" s="9">
        <v>515</v>
      </c>
      <c r="H749" s="5" t="s">
        <v>20</v>
      </c>
      <c r="I749" s="5" t="s">
        <v>1858</v>
      </c>
      <c r="J749" s="12" t="str">
        <f>HYPERLINK("https://www.boe.es/gazeta/dias/1806/06/17/pdfs/GMD-1806-50.pdf#page=7","Abrir facsímil")</f>
        <v>Abrir facsímil</v>
      </c>
      <c r="K749" s="15" t="s">
        <v>22</v>
      </c>
    </row>
    <row r="750" spans="1:11" ht="42" customHeight="1">
      <c r="A750" s="4" t="s">
        <v>1859</v>
      </c>
      <c r="B750" s="5" t="s">
        <v>1860</v>
      </c>
      <c r="C750" s="5" t="s">
        <v>75</v>
      </c>
      <c r="D750" s="5" t="s">
        <v>43</v>
      </c>
      <c r="E750" s="5" t="s">
        <v>38</v>
      </c>
      <c r="F750" s="9">
        <v>92</v>
      </c>
      <c r="G750" s="9">
        <v>963</v>
      </c>
      <c r="H750" s="5" t="s">
        <v>20</v>
      </c>
      <c r="I750" s="5" t="s">
        <v>1861</v>
      </c>
      <c r="J750" s="12" t="str">
        <f>HYPERLINK("https://www.boe.es/gazeta/dias/1806/11/11/pdfs/GMD-1806-92.pdf#page=15","Abrir facsímil")</f>
        <v>Abrir facsímil</v>
      </c>
      <c r="K750" s="15" t="s">
        <v>22</v>
      </c>
    </row>
    <row r="751" spans="1:11" ht="42" customHeight="1">
      <c r="A751" s="4" t="s">
        <v>1862</v>
      </c>
      <c r="B751" s="5" t="s">
        <v>1863</v>
      </c>
      <c r="C751" s="5" t="s">
        <v>75</v>
      </c>
      <c r="D751" s="5" t="s">
        <v>43</v>
      </c>
      <c r="E751" s="5" t="s">
        <v>51</v>
      </c>
      <c r="F751" s="9">
        <v>44</v>
      </c>
      <c r="G751" s="9">
        <v>445</v>
      </c>
      <c r="H751" s="5" t="s">
        <v>20</v>
      </c>
      <c r="I751" s="5" t="s">
        <v>1864</v>
      </c>
      <c r="J751" s="12" t="str">
        <f>HYPERLINK("https://www.boe.es/gazeta/dias/1806/05/27/pdfs/GMD-1806-44.pdf#page=9","Abrir facsímil")</f>
        <v>Abrir facsímil</v>
      </c>
      <c r="K751" s="15" t="s">
        <v>22</v>
      </c>
    </row>
    <row r="752" spans="1:11" ht="42" customHeight="1">
      <c r="A752" s="4" t="s">
        <v>1865</v>
      </c>
      <c r="B752" s="5" t="s">
        <v>1866</v>
      </c>
      <c r="C752" s="5" t="s">
        <v>42</v>
      </c>
      <c r="D752" s="5" t="s">
        <v>43</v>
      </c>
      <c r="E752" s="5" t="s">
        <v>140</v>
      </c>
      <c r="F752" s="9">
        <v>83</v>
      </c>
      <c r="G752" s="9">
        <v>860</v>
      </c>
      <c r="H752" s="5" t="s">
        <v>20</v>
      </c>
      <c r="I752" s="5" t="s">
        <v>1867</v>
      </c>
      <c r="J752" s="12" t="str">
        <f>HYPERLINK("https://www.boe.es/gazeta/dias/1806/10/10/pdfs/GMD-1806-83.pdf#page=8","Abrir facsímil")</f>
        <v>Abrir facsímil</v>
      </c>
      <c r="K752" s="15" t="s">
        <v>22</v>
      </c>
    </row>
    <row r="753" spans="1:11" ht="42" customHeight="1">
      <c r="A753" s="4" t="s">
        <v>1868</v>
      </c>
      <c r="B753" s="5" t="s">
        <v>1869</v>
      </c>
      <c r="C753" s="5" t="s">
        <v>31</v>
      </c>
      <c r="D753" s="5" t="s">
        <v>32</v>
      </c>
      <c r="E753" s="5" t="s">
        <v>816</v>
      </c>
      <c r="F753" s="9">
        <v>86</v>
      </c>
      <c r="G753" s="9">
        <v>891</v>
      </c>
      <c r="H753" s="5" t="s">
        <v>20</v>
      </c>
      <c r="I753" s="5" t="s">
        <v>1870</v>
      </c>
      <c r="J753" s="12" t="str">
        <f>HYPERLINK("https://www.boe.es/gazeta/dias/1806/10/21/pdfs/GMD-1806-86.pdf#page=7","Abrir facsímil")</f>
        <v>Abrir facsímil</v>
      </c>
      <c r="K753" s="15" t="s">
        <v>22</v>
      </c>
    </row>
    <row r="754" spans="1:11" ht="42" customHeight="1">
      <c r="A754" s="4" t="s">
        <v>1871</v>
      </c>
      <c r="B754" s="5" t="s">
        <v>1871</v>
      </c>
      <c r="C754" s="5" t="s">
        <v>17</v>
      </c>
      <c r="D754" s="5" t="s">
        <v>18</v>
      </c>
      <c r="E754" s="5" t="s">
        <v>161</v>
      </c>
      <c r="F754" s="9">
        <v>11</v>
      </c>
      <c r="G754" s="9">
        <v>98</v>
      </c>
      <c r="H754" s="5" t="s">
        <v>20</v>
      </c>
      <c r="I754" s="5" t="s">
        <v>1872</v>
      </c>
      <c r="J754" s="12" t="str">
        <f>HYPERLINK("https://www.boe.es/gazeta/dias/1806/01/31/pdfs/GMD-1806-11.pdf#page=6","Abrir facsímil")</f>
        <v>Abrir facsímil</v>
      </c>
      <c r="K754" s="15" t="s">
        <v>22</v>
      </c>
    </row>
    <row r="755" spans="1:11" ht="42" customHeight="1">
      <c r="A755" s="4" t="s">
        <v>1873</v>
      </c>
      <c r="B755" s="5" t="s">
        <v>1873</v>
      </c>
      <c r="C755" s="5" t="s">
        <v>36</v>
      </c>
      <c r="D755" s="5" t="s">
        <v>37</v>
      </c>
      <c r="E755" s="5" t="s">
        <v>279</v>
      </c>
      <c r="F755" s="9">
        <v>52</v>
      </c>
      <c r="G755" s="9">
        <v>542</v>
      </c>
      <c r="H755" s="5" t="s">
        <v>20</v>
      </c>
      <c r="I755" s="5" t="s">
        <v>1874</v>
      </c>
      <c r="J755" s="12" t="str">
        <f>HYPERLINK("https://www.boe.es/gazeta/dias/1806/06/24/pdfs/GMD-1806-52.pdf#page=10","Abrir facsímil")</f>
        <v>Abrir facsímil</v>
      </c>
      <c r="K755" s="15" t="s">
        <v>22</v>
      </c>
    </row>
    <row r="756" spans="1:11" ht="42" customHeight="1">
      <c r="A756" s="4" t="s">
        <v>1873</v>
      </c>
      <c r="B756" s="5" t="s">
        <v>1873</v>
      </c>
      <c r="C756" s="5" t="s">
        <v>75</v>
      </c>
      <c r="D756" s="5" t="s">
        <v>43</v>
      </c>
      <c r="E756" s="5" t="s">
        <v>110</v>
      </c>
      <c r="F756" s="9">
        <v>55</v>
      </c>
      <c r="G756" s="9">
        <v>574</v>
      </c>
      <c r="H756" s="5" t="s">
        <v>20</v>
      </c>
      <c r="I756" s="5" t="s">
        <v>1875</v>
      </c>
      <c r="J756" s="12" t="str">
        <f>HYPERLINK("https://www.boe.es/gazeta/dias/1806/07/04/pdfs/GMD-1806-55.pdf#page=10","Abrir facsímil")</f>
        <v>Abrir facsímil</v>
      </c>
      <c r="K756" s="15" t="s">
        <v>22</v>
      </c>
    </row>
    <row r="757" spans="1:11" ht="42" customHeight="1">
      <c r="A757" s="4" t="s">
        <v>1876</v>
      </c>
      <c r="B757" s="5" t="s">
        <v>1877</v>
      </c>
      <c r="C757" s="5" t="s">
        <v>17</v>
      </c>
      <c r="D757" s="5" t="s">
        <v>18</v>
      </c>
      <c r="E757" s="5" t="s">
        <v>220</v>
      </c>
      <c r="F757" s="9">
        <v>24</v>
      </c>
      <c r="G757" s="9">
        <v>234</v>
      </c>
      <c r="H757" s="5" t="s">
        <v>20</v>
      </c>
      <c r="I757" s="5" t="s">
        <v>1878</v>
      </c>
      <c r="J757" s="12" t="str">
        <f>HYPERLINK("https://www.boe.es/gazeta/dias/1806/03/18/pdfs/GMD-1806-24.pdf#page=10","Abrir facsímil")</f>
        <v>Abrir facsímil</v>
      </c>
      <c r="K757" s="15" t="s">
        <v>22</v>
      </c>
    </row>
    <row r="758" spans="1:11" ht="42" customHeight="1">
      <c r="A758" s="4" t="s">
        <v>1876</v>
      </c>
      <c r="B758" s="5" t="s">
        <v>1877</v>
      </c>
      <c r="C758" s="5" t="s">
        <v>17</v>
      </c>
      <c r="D758" s="5" t="s">
        <v>18</v>
      </c>
      <c r="E758" s="5" t="s">
        <v>90</v>
      </c>
      <c r="F758" s="9">
        <v>60</v>
      </c>
      <c r="G758" s="9">
        <v>624</v>
      </c>
      <c r="H758" s="5" t="s">
        <v>20</v>
      </c>
      <c r="I758" s="5" t="s">
        <v>1879</v>
      </c>
      <c r="J758" s="12" t="str">
        <f>HYPERLINK("https://www.boe.es/gazeta/dias/1806/07/22/pdfs/GMD-1806-60.pdf#page=8","Abrir facsímil")</f>
        <v>Abrir facsímil</v>
      </c>
      <c r="K758" s="15" t="s">
        <v>22</v>
      </c>
    </row>
    <row r="759" spans="1:11" ht="42" customHeight="1">
      <c r="A759" s="4" t="s">
        <v>1876</v>
      </c>
      <c r="B759" s="5" t="s">
        <v>1877</v>
      </c>
      <c r="C759" s="5" t="s">
        <v>17</v>
      </c>
      <c r="D759" s="5" t="s">
        <v>18</v>
      </c>
      <c r="E759" s="5" t="s">
        <v>209</v>
      </c>
      <c r="F759" s="9">
        <v>95</v>
      </c>
      <c r="G759" s="9">
        <v>1007</v>
      </c>
      <c r="H759" s="5" t="s">
        <v>20</v>
      </c>
      <c r="I759" s="5" t="s">
        <v>1880</v>
      </c>
      <c r="J759" s="12" t="str">
        <f>HYPERLINK("https://www.boe.es/gazeta/dias/1806/11/21/pdfs/GMD-1806-95.pdf#page=15","Abrir facsímil")</f>
        <v>Abrir facsímil</v>
      </c>
      <c r="K759" s="15" t="s">
        <v>22</v>
      </c>
    </row>
    <row r="760" spans="1:11" ht="42" customHeight="1">
      <c r="A760" s="4" t="s">
        <v>1881</v>
      </c>
      <c r="B760" s="5" t="s">
        <v>1882</v>
      </c>
      <c r="C760" s="5" t="s">
        <v>17</v>
      </c>
      <c r="D760" s="5" t="s">
        <v>18</v>
      </c>
      <c r="E760" s="5" t="s">
        <v>181</v>
      </c>
      <c r="F760" s="9">
        <v>99</v>
      </c>
      <c r="G760" s="9">
        <v>1053</v>
      </c>
      <c r="H760" s="5" t="s">
        <v>20</v>
      </c>
      <c r="I760" s="5" t="s">
        <v>1883</v>
      </c>
      <c r="J760" s="12" t="str">
        <f>HYPERLINK("https://www.boe.es/gazeta/dias/1806/12/05/pdfs/GMD-1806-99.pdf#page=9","Abrir facsímil")</f>
        <v>Abrir facsímil</v>
      </c>
      <c r="K760" s="15" t="s">
        <v>22</v>
      </c>
    </row>
    <row r="761" spans="1:11" ht="42" customHeight="1">
      <c r="A761" s="4" t="s">
        <v>1884</v>
      </c>
      <c r="B761" s="5" t="s">
        <v>1885</v>
      </c>
      <c r="C761" s="5" t="s">
        <v>31</v>
      </c>
      <c r="D761" s="5" t="s">
        <v>32</v>
      </c>
      <c r="E761" s="5" t="s">
        <v>79</v>
      </c>
      <c r="F761" s="9">
        <v>68</v>
      </c>
      <c r="G761" s="9">
        <v>709</v>
      </c>
      <c r="H761" s="5" t="s">
        <v>20</v>
      </c>
      <c r="I761" s="5" t="s">
        <v>1886</v>
      </c>
      <c r="J761" s="12" t="str">
        <f>HYPERLINK("https://www.boe.es/gazeta/dias/1806/08/19/pdfs/GMD-1806-68.pdf#page=5","Abrir facsímil")</f>
        <v>Abrir facsímil</v>
      </c>
      <c r="K761" s="15" t="s">
        <v>22</v>
      </c>
    </row>
    <row r="762" spans="1:11" ht="42" customHeight="1">
      <c r="A762" s="4" t="s">
        <v>1887</v>
      </c>
      <c r="B762" s="5" t="s">
        <v>1888</v>
      </c>
      <c r="C762" s="5" t="s">
        <v>42</v>
      </c>
      <c r="D762" s="5" t="s">
        <v>43</v>
      </c>
      <c r="E762" s="5" t="s">
        <v>185</v>
      </c>
      <c r="F762" s="9">
        <v>46</v>
      </c>
      <c r="G762" s="9">
        <v>469</v>
      </c>
      <c r="H762" s="5" t="s">
        <v>20</v>
      </c>
      <c r="I762" s="5" t="s">
        <v>1889</v>
      </c>
      <c r="J762" s="12" t="str">
        <f>HYPERLINK("https://www.boe.es/gazeta/dias/1806/06/03/pdfs/GMD-1806-46.pdf#page=9","Abrir facsímil")</f>
        <v>Abrir facsímil</v>
      </c>
      <c r="K762" s="15" t="s">
        <v>22</v>
      </c>
    </row>
    <row r="763" spans="1:11" ht="42" customHeight="1">
      <c r="A763" s="4" t="s">
        <v>1890</v>
      </c>
      <c r="B763" s="5" t="s">
        <v>1891</v>
      </c>
      <c r="C763" s="5" t="s">
        <v>75</v>
      </c>
      <c r="D763" s="5" t="s">
        <v>43</v>
      </c>
      <c r="E763" s="5" t="s">
        <v>175</v>
      </c>
      <c r="F763" s="9">
        <v>40</v>
      </c>
      <c r="G763" s="9">
        <v>397</v>
      </c>
      <c r="H763" s="5" t="s">
        <v>20</v>
      </c>
      <c r="I763" s="5" t="s">
        <v>1892</v>
      </c>
      <c r="J763" s="12" t="str">
        <f>HYPERLINK("https://www.boe.es/gazeta/dias/1806/05/13/pdfs/GMD-1806-40.pdf#page=9","Abrir facsímil")</f>
        <v>Abrir facsímil</v>
      </c>
      <c r="K763" s="15" t="s">
        <v>22</v>
      </c>
    </row>
    <row r="764" spans="1:11" ht="42" customHeight="1">
      <c r="A764" s="4" t="s">
        <v>1890</v>
      </c>
      <c r="B764" s="5" t="s">
        <v>1891</v>
      </c>
      <c r="C764" s="5" t="s">
        <v>36</v>
      </c>
      <c r="D764" s="5" t="s">
        <v>37</v>
      </c>
      <c r="E764" s="5" t="s">
        <v>51</v>
      </c>
      <c r="F764" s="9">
        <v>44</v>
      </c>
      <c r="G764" s="9">
        <v>446</v>
      </c>
      <c r="H764" s="5" t="s">
        <v>20</v>
      </c>
      <c r="I764" s="5" t="s">
        <v>1893</v>
      </c>
      <c r="J764" s="12" t="str">
        <f>HYPERLINK("https://www.boe.es/gazeta/dias/1806/05/27/pdfs/GMD-1806-44.pdf#page=10","Abrir facsímil")</f>
        <v>Abrir facsímil</v>
      </c>
      <c r="K764" s="15" t="s">
        <v>22</v>
      </c>
    </row>
    <row r="765" spans="1:11" ht="42" customHeight="1">
      <c r="A765" s="4" t="s">
        <v>1894</v>
      </c>
      <c r="B765" s="5" t="s">
        <v>1895</v>
      </c>
      <c r="C765" s="5" t="s">
        <v>31</v>
      </c>
      <c r="D765" s="5" t="s">
        <v>32</v>
      </c>
      <c r="E765" s="5" t="s">
        <v>1080</v>
      </c>
      <c r="F765" s="9">
        <v>49</v>
      </c>
      <c r="G765" s="9">
        <v>506</v>
      </c>
      <c r="H765" s="5" t="s">
        <v>20</v>
      </c>
      <c r="I765" s="5" t="s">
        <v>1896</v>
      </c>
      <c r="J765" s="12" t="str">
        <f>HYPERLINK("https://www.boe.es/gazeta/dias/1806/06/13/pdfs/GMD-1806-49.pdf#page=6","Abrir facsímil")</f>
        <v>Abrir facsímil</v>
      </c>
      <c r="K765" s="15" t="s">
        <v>22</v>
      </c>
    </row>
    <row r="766" spans="1:11" ht="42" customHeight="1">
      <c r="A766" s="4" t="s">
        <v>1897</v>
      </c>
      <c r="B766" s="5" t="s">
        <v>1898</v>
      </c>
      <c r="C766" s="5" t="s">
        <v>31</v>
      </c>
      <c r="D766" s="5" t="s">
        <v>32</v>
      </c>
      <c r="E766" s="5" t="s">
        <v>213</v>
      </c>
      <c r="F766" s="9">
        <v>73</v>
      </c>
      <c r="G766" s="9">
        <v>759</v>
      </c>
      <c r="H766" s="5" t="s">
        <v>20</v>
      </c>
      <c r="I766" s="5" t="s">
        <v>1899</v>
      </c>
      <c r="J766" s="12" t="str">
        <f>HYPERLINK("https://www.boe.es/gazeta/dias/1806/09/05/pdfs/GMD-1806-73.pdf#page=7","Abrir facsímil")</f>
        <v>Abrir facsímil</v>
      </c>
      <c r="K766" s="15" t="s">
        <v>22</v>
      </c>
    </row>
    <row r="767" spans="1:11" ht="42" customHeight="1">
      <c r="A767" s="4" t="s">
        <v>1900</v>
      </c>
      <c r="B767" s="5" t="s">
        <v>1901</v>
      </c>
      <c r="C767" s="5" t="s">
        <v>31</v>
      </c>
      <c r="D767" s="5" t="s">
        <v>32</v>
      </c>
      <c r="E767" s="5" t="s">
        <v>340</v>
      </c>
      <c r="F767" s="9">
        <v>31</v>
      </c>
      <c r="G767" s="9">
        <v>305</v>
      </c>
      <c r="H767" s="5" t="s">
        <v>20</v>
      </c>
      <c r="I767" s="5" t="s">
        <v>1902</v>
      </c>
      <c r="J767" s="12" t="str">
        <f>HYPERLINK("https://www.boe.es/gazeta/dias/1806/04/11/pdfs/GMD-1806-31.pdf#page=9","Abrir facsímil")</f>
        <v>Abrir facsímil</v>
      </c>
      <c r="K767" s="15" t="s">
        <v>22</v>
      </c>
    </row>
    <row r="768" spans="1:11" ht="42" customHeight="1">
      <c r="A768" s="4" t="s">
        <v>1903</v>
      </c>
      <c r="B768" s="5" t="s">
        <v>1904</v>
      </c>
      <c r="C768" s="5" t="s">
        <v>36</v>
      </c>
      <c r="D768" s="5" t="s">
        <v>37</v>
      </c>
      <c r="E768" s="5" t="s">
        <v>79</v>
      </c>
      <c r="F768" s="9">
        <v>68</v>
      </c>
      <c r="G768" s="9" t="s">
        <v>1905</v>
      </c>
      <c r="H768" s="5" t="s">
        <v>20</v>
      </c>
      <c r="I768" s="5" t="s">
        <v>1906</v>
      </c>
      <c r="J768" s="12" t="str">
        <f>HYPERLINK("https://www.boe.es/gazeta/dias/1806/08/19/pdfs/GMD-C-1806-68.pdf#page=2","Abrir facsímil")</f>
        <v>Abrir facsímil</v>
      </c>
      <c r="K768" s="15" t="s">
        <v>22</v>
      </c>
    </row>
    <row r="769" spans="1:11" ht="42" customHeight="1">
      <c r="A769" s="4" t="s">
        <v>1907</v>
      </c>
      <c r="B769" s="5" t="s">
        <v>1908</v>
      </c>
      <c r="C769" s="5" t="s">
        <v>31</v>
      </c>
      <c r="D769" s="5" t="s">
        <v>32</v>
      </c>
      <c r="E769" s="5" t="s">
        <v>271</v>
      </c>
      <c r="F769" s="9">
        <v>6</v>
      </c>
      <c r="G769" s="9">
        <v>48</v>
      </c>
      <c r="H769" s="5" t="s">
        <v>20</v>
      </c>
      <c r="I769" s="5" t="s">
        <v>1909</v>
      </c>
      <c r="J769" s="12" t="str">
        <f>HYPERLINK("https://www.boe.es/gazeta/dias/1806/01/17/pdfs/GMD-1806-6.pdf#page=4","Abrir facsímil")</f>
        <v>Abrir facsímil</v>
      </c>
      <c r="K769" s="15" t="s">
        <v>22</v>
      </c>
    </row>
    <row r="770" spans="1:11" ht="42" customHeight="1">
      <c r="A770" s="4" t="s">
        <v>1910</v>
      </c>
      <c r="B770" s="5" t="s">
        <v>1911</v>
      </c>
      <c r="C770" s="5" t="s">
        <v>69</v>
      </c>
      <c r="D770" s="5" t="s">
        <v>70</v>
      </c>
      <c r="E770" s="5" t="s">
        <v>172</v>
      </c>
      <c r="F770" s="9">
        <v>17</v>
      </c>
      <c r="G770" s="9">
        <v>149</v>
      </c>
      <c r="H770" s="5" t="s">
        <v>20</v>
      </c>
      <c r="I770" s="5" t="s">
        <v>1912</v>
      </c>
      <c r="J770" s="12" t="str">
        <f>HYPERLINK("https://www.boe.es/gazeta/dias/1806/02/21/pdfs/GMD-1806-17.pdf#page=5","Abrir facsímil")</f>
        <v>Abrir facsímil</v>
      </c>
      <c r="K770" s="15" t="s">
        <v>22</v>
      </c>
    </row>
    <row r="771" spans="1:11" ht="42" customHeight="1">
      <c r="A771" s="4" t="s">
        <v>1907</v>
      </c>
      <c r="B771" s="5" t="s">
        <v>1908</v>
      </c>
      <c r="C771" s="5" t="s">
        <v>69</v>
      </c>
      <c r="D771" s="5" t="s">
        <v>70</v>
      </c>
      <c r="E771" s="5" t="s">
        <v>238</v>
      </c>
      <c r="F771" s="9">
        <v>18</v>
      </c>
      <c r="G771" s="9">
        <v>156</v>
      </c>
      <c r="H771" s="5" t="s">
        <v>20</v>
      </c>
      <c r="I771" s="5" t="s">
        <v>1913</v>
      </c>
      <c r="J771" s="12" t="str">
        <f>HYPERLINK("https://www.boe.es/gazeta/dias/1806/02/25/pdfs/GMD-1806-18.pdf#page=4","Abrir facsímil")</f>
        <v>Abrir facsímil</v>
      </c>
      <c r="K771" s="15" t="s">
        <v>22</v>
      </c>
    </row>
    <row r="772" spans="1:11" ht="42" customHeight="1">
      <c r="A772" s="4" t="s">
        <v>1907</v>
      </c>
      <c r="B772" s="5" t="s">
        <v>1908</v>
      </c>
      <c r="C772" s="5" t="s">
        <v>69</v>
      </c>
      <c r="D772" s="5" t="s">
        <v>70</v>
      </c>
      <c r="E772" s="5" t="s">
        <v>238</v>
      </c>
      <c r="F772" s="9">
        <v>18</v>
      </c>
      <c r="G772" s="9">
        <v>157</v>
      </c>
      <c r="H772" s="5" t="s">
        <v>20</v>
      </c>
      <c r="I772" s="5" t="s">
        <v>1914</v>
      </c>
      <c r="J772" s="12" t="str">
        <f>HYPERLINK("https://www.boe.es/gazeta/dias/1806/02/25/pdfs/GMD-1806-18.pdf#page=5","Abrir facsímil")</f>
        <v>Abrir facsímil</v>
      </c>
      <c r="K772" s="15" t="s">
        <v>22</v>
      </c>
    </row>
    <row r="773" spans="1:11" ht="42" customHeight="1">
      <c r="A773" s="4" t="s">
        <v>1907</v>
      </c>
      <c r="B773" s="5" t="s">
        <v>1908</v>
      </c>
      <c r="C773" s="5" t="s">
        <v>69</v>
      </c>
      <c r="D773" s="5" t="s">
        <v>70</v>
      </c>
      <c r="E773" s="5" t="s">
        <v>59</v>
      </c>
      <c r="F773" s="9">
        <v>21</v>
      </c>
      <c r="G773" s="9">
        <v>190</v>
      </c>
      <c r="H773" s="5" t="s">
        <v>20</v>
      </c>
      <c r="I773" s="5" t="s">
        <v>1915</v>
      </c>
      <c r="J773" s="12" t="str">
        <f>HYPERLINK("https://www.boe.es/gazeta/dias/1806/03/07/pdfs/GMD-1806-21.pdf#page=2","Abrir facsímil")</f>
        <v>Abrir facsímil</v>
      </c>
      <c r="K773" s="15" t="s">
        <v>22</v>
      </c>
    </row>
    <row r="774" spans="1:11" ht="42" customHeight="1">
      <c r="A774" s="4" t="s">
        <v>1907</v>
      </c>
      <c r="B774" s="5" t="s">
        <v>1908</v>
      </c>
      <c r="C774" s="5" t="s">
        <v>69</v>
      </c>
      <c r="D774" s="5" t="s">
        <v>70</v>
      </c>
      <c r="E774" s="5" t="s">
        <v>59</v>
      </c>
      <c r="F774" s="9">
        <v>21</v>
      </c>
      <c r="G774" s="9">
        <v>192</v>
      </c>
      <c r="H774" s="5" t="s">
        <v>20</v>
      </c>
      <c r="I774" s="5" t="s">
        <v>1916</v>
      </c>
      <c r="J774" s="12" t="str">
        <f>HYPERLINK("https://www.boe.es/gazeta/dias/1806/03/07/pdfs/GMD-1806-21.pdf#page=4","Abrir facsímil")</f>
        <v>Abrir facsímil</v>
      </c>
      <c r="K774" s="15" t="s">
        <v>22</v>
      </c>
    </row>
    <row r="775" spans="1:11" ht="42" customHeight="1">
      <c r="A775" s="4" t="s">
        <v>1907</v>
      </c>
      <c r="B775" s="5" t="s">
        <v>1908</v>
      </c>
      <c r="C775" s="5" t="s">
        <v>69</v>
      </c>
      <c r="D775" s="5" t="s">
        <v>70</v>
      </c>
      <c r="E775" s="5" t="s">
        <v>59</v>
      </c>
      <c r="F775" s="9">
        <v>21</v>
      </c>
      <c r="G775" s="9">
        <v>193</v>
      </c>
      <c r="H775" s="5" t="s">
        <v>20</v>
      </c>
      <c r="I775" s="5" t="s">
        <v>1917</v>
      </c>
      <c r="J775" s="12" t="str">
        <f>HYPERLINK("https://www.boe.es/gazeta/dias/1806/03/07/pdfs/GMD-1806-21.pdf#page=5","Abrir facsímil")</f>
        <v>Abrir facsímil</v>
      </c>
      <c r="K775" s="15" t="s">
        <v>22</v>
      </c>
    </row>
    <row r="776" spans="1:11" ht="42" customHeight="1">
      <c r="A776" s="4" t="s">
        <v>1907</v>
      </c>
      <c r="B776" s="5" t="s">
        <v>1908</v>
      </c>
      <c r="C776" s="5" t="s">
        <v>69</v>
      </c>
      <c r="D776" s="5" t="s">
        <v>70</v>
      </c>
      <c r="E776" s="5" t="s">
        <v>175</v>
      </c>
      <c r="F776" s="9">
        <v>40</v>
      </c>
      <c r="G776" s="9">
        <v>392</v>
      </c>
      <c r="H776" s="5" t="s">
        <v>20</v>
      </c>
      <c r="I776" s="5" t="s">
        <v>1918</v>
      </c>
      <c r="J776" s="12" t="str">
        <f>HYPERLINK("https://www.boe.es/gazeta/dias/1806/05/13/pdfs/GMD-1806-40.pdf#page=4","Abrir facsímil")</f>
        <v>Abrir facsímil</v>
      </c>
      <c r="K776" s="15" t="s">
        <v>22</v>
      </c>
    </row>
    <row r="777" spans="1:11" ht="42" customHeight="1">
      <c r="A777" s="4" t="s">
        <v>1919</v>
      </c>
      <c r="B777" s="5" t="s">
        <v>1920</v>
      </c>
      <c r="C777" s="5" t="s">
        <v>69</v>
      </c>
      <c r="D777" s="5" t="s">
        <v>70</v>
      </c>
      <c r="E777" s="5" t="s">
        <v>309</v>
      </c>
      <c r="F777" s="9">
        <v>41</v>
      </c>
      <c r="G777" s="9">
        <v>403</v>
      </c>
      <c r="H777" s="5" t="s">
        <v>20</v>
      </c>
      <c r="I777" s="5" t="s">
        <v>1921</v>
      </c>
      <c r="J777" s="12" t="str">
        <f>HYPERLINK("https://www.boe.es/gazeta/dias/1806/05/16/pdfs/GMD-1806-41.pdf#page=3","Abrir facsímil")</f>
        <v>Abrir facsímil</v>
      </c>
      <c r="K777" s="15" t="s">
        <v>22</v>
      </c>
    </row>
    <row r="778" spans="1:11" ht="42" customHeight="1">
      <c r="A778" s="4" t="s">
        <v>1907</v>
      </c>
      <c r="B778" s="5" t="s">
        <v>1908</v>
      </c>
      <c r="C778" s="5" t="s">
        <v>42</v>
      </c>
      <c r="D778" s="5" t="s">
        <v>43</v>
      </c>
      <c r="E778" s="5" t="s">
        <v>810</v>
      </c>
      <c r="F778" s="9">
        <v>71</v>
      </c>
      <c r="G778" s="9">
        <v>736</v>
      </c>
      <c r="H778" s="5" t="s">
        <v>20</v>
      </c>
      <c r="I778" s="5" t="s">
        <v>1922</v>
      </c>
      <c r="J778" s="12" t="str">
        <f>HYPERLINK("https://www.boe.es/gazeta/dias/1806/08/29/pdfs/GMD-1806-71.pdf#page=4","Abrir facsímil")</f>
        <v>Abrir facsímil</v>
      </c>
      <c r="K778" s="15" t="s">
        <v>22</v>
      </c>
    </row>
    <row r="779" spans="1:11" ht="42" customHeight="1">
      <c r="A779" s="4" t="s">
        <v>1907</v>
      </c>
      <c r="B779" s="5" t="s">
        <v>1908</v>
      </c>
      <c r="C779" s="5" t="s">
        <v>69</v>
      </c>
      <c r="D779" s="5" t="s">
        <v>70</v>
      </c>
      <c r="E779" s="5" t="s">
        <v>810</v>
      </c>
      <c r="F779" s="9">
        <v>71</v>
      </c>
      <c r="G779" s="9">
        <v>737</v>
      </c>
      <c r="H779" s="5" t="s">
        <v>20</v>
      </c>
      <c r="I779" s="5" t="s">
        <v>1923</v>
      </c>
      <c r="J779" s="12" t="str">
        <f>HYPERLINK("https://www.boe.es/gazeta/dias/1806/08/29/pdfs/GMD-1806-71.pdf#page=5","Abrir facsímil")</f>
        <v>Abrir facsímil</v>
      </c>
      <c r="K779" s="15" t="s">
        <v>22</v>
      </c>
    </row>
    <row r="780" spans="1:11" ht="42" customHeight="1">
      <c r="A780" s="4" t="s">
        <v>1924</v>
      </c>
      <c r="B780" s="5" t="s">
        <v>1925</v>
      </c>
      <c r="C780" s="5" t="s">
        <v>69</v>
      </c>
      <c r="D780" s="5" t="s">
        <v>70</v>
      </c>
      <c r="E780" s="5" t="s">
        <v>309</v>
      </c>
      <c r="F780" s="9">
        <v>41</v>
      </c>
      <c r="G780" s="9">
        <v>402</v>
      </c>
      <c r="H780" s="5" t="s">
        <v>20</v>
      </c>
      <c r="I780" s="5" t="s">
        <v>1926</v>
      </c>
      <c r="J780" s="12" t="str">
        <f>HYPERLINK("https://www.boe.es/gazeta/dias/1806/05/16/pdfs/GMD-1806-41.pdf#page=2","Abrir facsímil")</f>
        <v>Abrir facsímil</v>
      </c>
      <c r="K780" s="15" t="s">
        <v>22</v>
      </c>
    </row>
    <row r="781" spans="1:11" ht="42" customHeight="1">
      <c r="A781" s="4" t="s">
        <v>1927</v>
      </c>
      <c r="B781" s="5" t="s">
        <v>1928</v>
      </c>
      <c r="C781" s="5" t="s">
        <v>31</v>
      </c>
      <c r="D781" s="5" t="s">
        <v>32</v>
      </c>
      <c r="E781" s="5" t="s">
        <v>140</v>
      </c>
      <c r="F781" s="9">
        <v>83</v>
      </c>
      <c r="G781" s="9">
        <v>860</v>
      </c>
      <c r="H781" s="5" t="s">
        <v>20</v>
      </c>
      <c r="I781" s="5" t="s">
        <v>1929</v>
      </c>
      <c r="J781" s="12" t="str">
        <f>HYPERLINK("https://www.boe.es/gazeta/dias/1806/10/10/pdfs/GMD-1806-83.pdf#page=8","Abrir facsímil")</f>
        <v>Abrir facsímil</v>
      </c>
      <c r="K781" s="15" t="s">
        <v>22</v>
      </c>
    </row>
    <row r="782" spans="1:11" ht="42" customHeight="1">
      <c r="A782" s="4" t="s">
        <v>1930</v>
      </c>
      <c r="B782" s="5" t="s">
        <v>1930</v>
      </c>
      <c r="C782" s="5" t="s">
        <v>17</v>
      </c>
      <c r="D782" s="5" t="s">
        <v>18</v>
      </c>
      <c r="E782" s="5" t="s">
        <v>209</v>
      </c>
      <c r="F782" s="9">
        <v>95</v>
      </c>
      <c r="G782" s="9">
        <v>1007</v>
      </c>
      <c r="H782" s="5" t="s">
        <v>20</v>
      </c>
      <c r="I782" s="5" t="s">
        <v>1931</v>
      </c>
      <c r="J782" s="12" t="str">
        <f>HYPERLINK("https://www.boe.es/gazeta/dias/1806/11/21/pdfs/GMD-1806-95.pdf#page=15","Abrir facsímil")</f>
        <v>Abrir facsímil</v>
      </c>
      <c r="K782" s="15" t="s">
        <v>22</v>
      </c>
    </row>
    <row r="783" spans="1:11" ht="42" customHeight="1">
      <c r="A783" s="4" t="s">
        <v>1932</v>
      </c>
      <c r="B783" s="5" t="s">
        <v>1932</v>
      </c>
      <c r="C783" s="5" t="s">
        <v>17</v>
      </c>
      <c r="D783" s="5" t="s">
        <v>18</v>
      </c>
      <c r="E783" s="5" t="s">
        <v>220</v>
      </c>
      <c r="F783" s="9">
        <v>24</v>
      </c>
      <c r="G783" s="9">
        <v>234</v>
      </c>
      <c r="H783" s="5" t="s">
        <v>20</v>
      </c>
      <c r="I783" s="5" t="s">
        <v>1933</v>
      </c>
      <c r="J783" s="12" t="str">
        <f>HYPERLINK("https://www.boe.es/gazeta/dias/1806/03/18/pdfs/GMD-1806-24.pdf#page=10","Abrir facsímil")</f>
        <v>Abrir facsímil</v>
      </c>
      <c r="K783" s="15" t="s">
        <v>22</v>
      </c>
    </row>
    <row r="784" spans="1:11" ht="42" customHeight="1">
      <c r="A784" s="4" t="s">
        <v>1934</v>
      </c>
      <c r="B784" s="5" t="s">
        <v>1934</v>
      </c>
      <c r="C784" s="5" t="s">
        <v>17</v>
      </c>
      <c r="D784" s="5" t="s">
        <v>18</v>
      </c>
      <c r="E784" s="5" t="s">
        <v>90</v>
      </c>
      <c r="F784" s="9">
        <v>60</v>
      </c>
      <c r="G784" s="9">
        <v>625</v>
      </c>
      <c r="H784" s="5" t="s">
        <v>20</v>
      </c>
      <c r="I784" s="5" t="s">
        <v>1935</v>
      </c>
      <c r="J784" s="12" t="str">
        <f>HYPERLINK("https://www.boe.es/gazeta/dias/1806/07/22/pdfs/GMD-1806-60.pdf#page=9","Abrir facsímil")</f>
        <v>Abrir facsímil</v>
      </c>
      <c r="K784" s="15" t="s">
        <v>22</v>
      </c>
    </row>
    <row r="785" spans="1:11" ht="42" customHeight="1">
      <c r="A785" s="4" t="s">
        <v>1936</v>
      </c>
      <c r="B785" s="5" t="s">
        <v>1937</v>
      </c>
      <c r="C785" s="5" t="s">
        <v>69</v>
      </c>
      <c r="D785" s="5" t="s">
        <v>70</v>
      </c>
      <c r="E785" s="5" t="s">
        <v>430</v>
      </c>
      <c r="F785" s="9">
        <v>12</v>
      </c>
      <c r="G785" s="9">
        <v>101</v>
      </c>
      <c r="H785" s="5" t="s">
        <v>20</v>
      </c>
      <c r="I785" s="5" t="s">
        <v>1938</v>
      </c>
      <c r="J785" s="12" t="str">
        <f>HYPERLINK("https://www.boe.es/gazeta/dias/1806/02/04/pdfs/GMD-1806-12.pdf#page=1","Abrir facsímil")</f>
        <v>Abrir facsímil</v>
      </c>
      <c r="K785" s="15" t="s">
        <v>22</v>
      </c>
    </row>
    <row r="786" spans="1:11" ht="42" customHeight="1">
      <c r="A786" s="4" t="s">
        <v>1939</v>
      </c>
      <c r="B786" s="5" t="s">
        <v>1940</v>
      </c>
      <c r="C786" s="5" t="s">
        <v>17</v>
      </c>
      <c r="D786" s="5" t="s">
        <v>18</v>
      </c>
      <c r="E786" s="5" t="s">
        <v>213</v>
      </c>
      <c r="F786" s="9">
        <v>73</v>
      </c>
      <c r="G786" s="9">
        <v>759</v>
      </c>
      <c r="H786" s="5" t="s">
        <v>20</v>
      </c>
      <c r="I786" s="5" t="s">
        <v>1941</v>
      </c>
      <c r="J786" s="12" t="str">
        <f>HYPERLINK("https://www.boe.es/gazeta/dias/1806/09/05/pdfs/GMD-1806-73.pdf#page=7","Abrir facsímil")</f>
        <v>Abrir facsímil</v>
      </c>
      <c r="K786" s="15" t="s">
        <v>22</v>
      </c>
    </row>
    <row r="787" spans="1:11" ht="42" customHeight="1">
      <c r="A787" s="4" t="s">
        <v>1942</v>
      </c>
      <c r="B787" s="5" t="s">
        <v>1943</v>
      </c>
      <c r="C787" s="5" t="s">
        <v>69</v>
      </c>
      <c r="D787" s="5" t="s">
        <v>70</v>
      </c>
      <c r="E787" s="5" t="s">
        <v>161</v>
      </c>
      <c r="F787" s="9">
        <v>11</v>
      </c>
      <c r="G787" s="9">
        <v>93</v>
      </c>
      <c r="H787" s="5" t="s">
        <v>20</v>
      </c>
      <c r="I787" s="5" t="s">
        <v>1944</v>
      </c>
      <c r="J787" s="12" t="str">
        <f>HYPERLINK("https://www.boe.es/gazeta/dias/1806/01/31/pdfs/GMD-1806-11.pdf#page=1","Abrir facsímil")</f>
        <v>Abrir facsímil</v>
      </c>
      <c r="K787" s="15" t="s">
        <v>22</v>
      </c>
    </row>
    <row r="788" spans="1:11" ht="42" customHeight="1">
      <c r="A788" s="4" t="s">
        <v>1945</v>
      </c>
      <c r="B788" s="5" t="s">
        <v>1946</v>
      </c>
      <c r="C788" s="5" t="s">
        <v>31</v>
      </c>
      <c r="D788" s="5" t="s">
        <v>32</v>
      </c>
      <c r="E788" s="5" t="s">
        <v>195</v>
      </c>
      <c r="F788" s="9">
        <v>4</v>
      </c>
      <c r="G788" s="9">
        <v>32</v>
      </c>
      <c r="H788" s="5" t="s">
        <v>20</v>
      </c>
      <c r="I788" s="5" t="s">
        <v>1947</v>
      </c>
      <c r="J788" s="12" t="str">
        <f>HYPERLINK("https://www.boe.es/gazeta/dias/1806/01/14/pdfs/GMD-1806-4.pdf#page=4","Abrir facsímil")</f>
        <v>Abrir facsímil</v>
      </c>
      <c r="K788" s="15" t="s">
        <v>22</v>
      </c>
    </row>
    <row r="789" spans="1:11" ht="42" customHeight="1">
      <c r="A789" s="4" t="s">
        <v>1945</v>
      </c>
      <c r="B789" s="5" t="s">
        <v>1946</v>
      </c>
      <c r="C789" s="5" t="s">
        <v>31</v>
      </c>
      <c r="D789" s="5" t="s">
        <v>32</v>
      </c>
      <c r="E789" s="5" t="s">
        <v>100</v>
      </c>
      <c r="F789" s="9">
        <v>7</v>
      </c>
      <c r="G789" s="9">
        <v>60</v>
      </c>
      <c r="H789" s="5" t="s">
        <v>20</v>
      </c>
      <c r="I789" s="5" t="s">
        <v>1948</v>
      </c>
      <c r="J789" s="12" t="str">
        <f>HYPERLINK("https://www.boe.es/gazeta/dias/1806/01/21/pdfs/GMD-1806-7.pdf#page=4","Abrir facsímil")</f>
        <v>Abrir facsímil</v>
      </c>
      <c r="K789" s="15" t="s">
        <v>22</v>
      </c>
    </row>
    <row r="790" spans="1:11" ht="42" customHeight="1">
      <c r="A790" s="4" t="s">
        <v>1945</v>
      </c>
      <c r="B790" s="5" t="s">
        <v>1946</v>
      </c>
      <c r="C790" s="5" t="s">
        <v>69</v>
      </c>
      <c r="D790" s="5" t="s">
        <v>70</v>
      </c>
      <c r="E790" s="5" t="s">
        <v>669</v>
      </c>
      <c r="F790" s="9">
        <v>14</v>
      </c>
      <c r="G790" s="9">
        <v>118</v>
      </c>
      <c r="H790" s="5" t="s">
        <v>20</v>
      </c>
      <c r="I790" s="5" t="s">
        <v>1949</v>
      </c>
      <c r="J790" s="12" t="str">
        <f>HYPERLINK("https://www.boe.es/gazeta/dias/1806/02/11/pdfs/GMD-1806-14.pdf#page=2","Abrir facsímil")</f>
        <v>Abrir facsímil</v>
      </c>
      <c r="K790" s="15" t="s">
        <v>22</v>
      </c>
    </row>
    <row r="791" spans="1:11" ht="42" customHeight="1">
      <c r="A791" s="4" t="s">
        <v>1945</v>
      </c>
      <c r="B791" s="5" t="s">
        <v>1946</v>
      </c>
      <c r="C791" s="5" t="s">
        <v>69</v>
      </c>
      <c r="D791" s="5" t="s">
        <v>70</v>
      </c>
      <c r="E791" s="5" t="s">
        <v>1778</v>
      </c>
      <c r="F791" s="9">
        <v>16</v>
      </c>
      <c r="G791" s="9">
        <v>140</v>
      </c>
      <c r="H791" s="5" t="s">
        <v>20</v>
      </c>
      <c r="I791" s="5" t="s">
        <v>1950</v>
      </c>
      <c r="J791" s="12" t="str">
        <f>HYPERLINK("https://www.boe.es/gazeta/dias/1806/02/18/pdfs/GMD-1806-16.pdf#page=4","Abrir facsímil")</f>
        <v>Abrir facsímil</v>
      </c>
      <c r="K791" s="15" t="s">
        <v>22</v>
      </c>
    </row>
    <row r="792" spans="1:11" ht="42" customHeight="1">
      <c r="A792" s="4" t="s">
        <v>1945</v>
      </c>
      <c r="B792" s="5" t="s">
        <v>1946</v>
      </c>
      <c r="C792" s="5" t="s">
        <v>31</v>
      </c>
      <c r="D792" s="5" t="s">
        <v>32</v>
      </c>
      <c r="E792" s="5" t="s">
        <v>227</v>
      </c>
      <c r="F792" s="9">
        <v>27</v>
      </c>
      <c r="G792" s="9">
        <v>264</v>
      </c>
      <c r="H792" s="5" t="s">
        <v>20</v>
      </c>
      <c r="I792" s="5" t="s">
        <v>1951</v>
      </c>
      <c r="J792" s="12" t="str">
        <f>HYPERLINK("https://www.boe.es/gazeta/dias/1806/03/28/pdfs/GMD-1806-27.pdf#page=4","Abrir facsímil")</f>
        <v>Abrir facsímil</v>
      </c>
      <c r="K792" s="15" t="s">
        <v>22</v>
      </c>
    </row>
    <row r="793" spans="1:11" ht="42" customHeight="1">
      <c r="A793" s="4" t="s">
        <v>1945</v>
      </c>
      <c r="B793" s="5" t="s">
        <v>1946</v>
      </c>
      <c r="C793" s="5" t="s">
        <v>69</v>
      </c>
      <c r="D793" s="5" t="s">
        <v>70</v>
      </c>
      <c r="E793" s="5" t="s">
        <v>340</v>
      </c>
      <c r="F793" s="9">
        <v>31</v>
      </c>
      <c r="G793" s="9">
        <v>302</v>
      </c>
      <c r="H793" s="5" t="s">
        <v>20</v>
      </c>
      <c r="I793" s="5" t="s">
        <v>1952</v>
      </c>
      <c r="J793" s="12" t="str">
        <f>HYPERLINK("https://www.boe.es/gazeta/dias/1806/04/11/pdfs/GMD-1806-31.pdf#page=6","Abrir facsímil")</f>
        <v>Abrir facsímil</v>
      </c>
      <c r="K793" s="15" t="s">
        <v>22</v>
      </c>
    </row>
    <row r="794" spans="1:11" ht="42" customHeight="1">
      <c r="A794" s="4" t="s">
        <v>1953</v>
      </c>
      <c r="B794" s="5" t="s">
        <v>1954</v>
      </c>
      <c r="C794" s="5" t="s">
        <v>69</v>
      </c>
      <c r="D794" s="5" t="s">
        <v>70</v>
      </c>
      <c r="E794" s="5" t="s">
        <v>271</v>
      </c>
      <c r="F794" s="9">
        <v>6</v>
      </c>
      <c r="G794" s="9">
        <v>48</v>
      </c>
      <c r="H794" s="5" t="s">
        <v>20</v>
      </c>
      <c r="I794" s="5" t="s">
        <v>1955</v>
      </c>
      <c r="J794" s="12" t="str">
        <f>HYPERLINK("https://www.boe.es/gazeta/dias/1806/01/17/pdfs/GMD-1806-6.pdf#page=4","Abrir facsímil")</f>
        <v>Abrir facsímil</v>
      </c>
      <c r="K794" s="15" t="s">
        <v>22</v>
      </c>
    </row>
    <row r="795" spans="1:11" ht="42" customHeight="1">
      <c r="A795" s="4" t="s">
        <v>1956</v>
      </c>
      <c r="B795" s="5" t="s">
        <v>1957</v>
      </c>
      <c r="C795" s="5" t="s">
        <v>69</v>
      </c>
      <c r="D795" s="5" t="s">
        <v>70</v>
      </c>
      <c r="E795" s="5" t="s">
        <v>285</v>
      </c>
      <c r="F795" s="9">
        <v>13</v>
      </c>
      <c r="G795" s="9">
        <v>111</v>
      </c>
      <c r="H795" s="5" t="s">
        <v>20</v>
      </c>
      <c r="I795" s="5" t="s">
        <v>1958</v>
      </c>
      <c r="J795" s="12" t="str">
        <f>HYPERLINK("https://www.boe.es/gazeta/dias/1806/02/07/pdfs/GMD-1806-13.pdf#page=3","Abrir facsímil")</f>
        <v>Abrir facsímil</v>
      </c>
      <c r="K795" s="15" t="s">
        <v>22</v>
      </c>
    </row>
    <row r="796" spans="1:11" ht="42" customHeight="1">
      <c r="A796" s="4" t="s">
        <v>1959</v>
      </c>
      <c r="B796" s="5" t="s">
        <v>1959</v>
      </c>
      <c r="C796" s="5" t="s">
        <v>31</v>
      </c>
      <c r="D796" s="5" t="s">
        <v>32</v>
      </c>
      <c r="E796" s="5" t="s">
        <v>494</v>
      </c>
      <c r="F796" s="9">
        <v>69</v>
      </c>
      <c r="G796" s="9">
        <v>713</v>
      </c>
      <c r="H796" s="5" t="s">
        <v>20</v>
      </c>
      <c r="I796" s="5" t="s">
        <v>1960</v>
      </c>
      <c r="J796" s="12" t="str">
        <f>HYPERLINK("https://www.boe.es/gazeta/dias/1806/08/22/pdfs/GMD-1806-69.pdf#page=1","Abrir facsímil")</f>
        <v>Abrir facsímil</v>
      </c>
      <c r="K796" s="15" t="s">
        <v>22</v>
      </c>
    </row>
    <row r="797" spans="1:11" ht="42" customHeight="1">
      <c r="A797" s="4" t="s">
        <v>1961</v>
      </c>
      <c r="B797" s="5" t="s">
        <v>1961</v>
      </c>
      <c r="C797" s="5" t="s">
        <v>69</v>
      </c>
      <c r="D797" s="5" t="s">
        <v>70</v>
      </c>
      <c r="E797" s="5" t="s">
        <v>540</v>
      </c>
      <c r="F797" s="9">
        <v>51</v>
      </c>
      <c r="G797" s="9">
        <v>522</v>
      </c>
      <c r="H797" s="5" t="s">
        <v>20</v>
      </c>
      <c r="I797" s="5" t="s">
        <v>1962</v>
      </c>
      <c r="J797" s="12" t="str">
        <f>HYPERLINK("https://www.boe.es/gazeta/dias/1806/06/20/pdfs/GMD-1806-51.pdf#page=2","Abrir facsímil")</f>
        <v>Abrir facsímil</v>
      </c>
      <c r="K797" s="15" t="s">
        <v>22</v>
      </c>
    </row>
    <row r="798" spans="1:11" ht="42" customHeight="1">
      <c r="A798" s="4" t="s">
        <v>1961</v>
      </c>
      <c r="B798" s="5" t="s">
        <v>1961</v>
      </c>
      <c r="C798" s="5" t="s">
        <v>31</v>
      </c>
      <c r="D798" s="5" t="s">
        <v>32</v>
      </c>
      <c r="E798" s="5" t="s">
        <v>816</v>
      </c>
      <c r="F798" s="9">
        <v>86</v>
      </c>
      <c r="G798" s="9">
        <v>885</v>
      </c>
      <c r="H798" s="5" t="s">
        <v>20</v>
      </c>
      <c r="I798" s="5" t="s">
        <v>1963</v>
      </c>
      <c r="J798" s="12" t="str">
        <f>HYPERLINK("https://www.boe.es/gazeta/dias/1806/10/21/pdfs/GMD-1806-86.pdf#page=1","Abrir facsímil")</f>
        <v>Abrir facsímil</v>
      </c>
      <c r="K798" s="15" t="s">
        <v>22</v>
      </c>
    </row>
    <row r="799" spans="1:11" ht="42" customHeight="1">
      <c r="A799" s="4" t="s">
        <v>1964</v>
      </c>
      <c r="B799" s="5" t="s">
        <v>1964</v>
      </c>
      <c r="C799" s="5" t="s">
        <v>69</v>
      </c>
      <c r="D799" s="5" t="s">
        <v>70</v>
      </c>
      <c r="E799" s="5" t="s">
        <v>285</v>
      </c>
      <c r="F799" s="9">
        <v>13</v>
      </c>
      <c r="G799" s="9">
        <v>110</v>
      </c>
      <c r="H799" s="5" t="s">
        <v>20</v>
      </c>
      <c r="I799" s="5" t="s">
        <v>1965</v>
      </c>
      <c r="J799" s="12" t="str">
        <f>HYPERLINK("https://www.boe.es/gazeta/dias/1806/02/07/pdfs/GMD-1806-13.pdf#page=2","Abrir facsímil")</f>
        <v>Abrir facsímil</v>
      </c>
      <c r="K799" s="15" t="s">
        <v>22</v>
      </c>
    </row>
    <row r="800" spans="1:11" ht="42" customHeight="1">
      <c r="A800" s="4" t="s">
        <v>1964</v>
      </c>
      <c r="B800" s="5" t="s">
        <v>1964</v>
      </c>
      <c r="C800" s="5" t="s">
        <v>75</v>
      </c>
      <c r="D800" s="5" t="s">
        <v>43</v>
      </c>
      <c r="E800" s="5" t="s">
        <v>185</v>
      </c>
      <c r="F800" s="9">
        <v>46</v>
      </c>
      <c r="G800" s="9">
        <v>462</v>
      </c>
      <c r="H800" s="5" t="s">
        <v>20</v>
      </c>
      <c r="I800" s="5" t="s">
        <v>1966</v>
      </c>
      <c r="J800" s="12" t="str">
        <f>HYPERLINK("https://www.boe.es/gazeta/dias/1806/06/03/pdfs/GMD-1806-46.pdf#page=2","Abrir facsímil")</f>
        <v>Abrir facsímil</v>
      </c>
      <c r="K800" s="15" t="s">
        <v>22</v>
      </c>
    </row>
    <row r="801" spans="1:11" ht="42" customHeight="1">
      <c r="A801" s="4" t="s">
        <v>1964</v>
      </c>
      <c r="B801" s="5" t="s">
        <v>1964</v>
      </c>
      <c r="C801" s="5" t="s">
        <v>75</v>
      </c>
      <c r="D801" s="5" t="s">
        <v>43</v>
      </c>
      <c r="E801" s="5" t="s">
        <v>93</v>
      </c>
      <c r="F801" s="9">
        <v>72</v>
      </c>
      <c r="G801" s="9">
        <v>741</v>
      </c>
      <c r="H801" s="5" t="s">
        <v>20</v>
      </c>
      <c r="I801" s="5" t="s">
        <v>1967</v>
      </c>
      <c r="J801" s="12" t="str">
        <f>HYPERLINK("https://www.boe.es/gazeta/dias/1806/09/02/pdfs/GMD-1806-72.pdf#page=1","Abrir facsímil")</f>
        <v>Abrir facsímil</v>
      </c>
      <c r="K801" s="15" t="s">
        <v>22</v>
      </c>
    </row>
    <row r="802" spans="1:11" ht="42" customHeight="1">
      <c r="A802" s="4" t="s">
        <v>1968</v>
      </c>
      <c r="B802" s="5" t="s">
        <v>1968</v>
      </c>
      <c r="C802" s="5" t="s">
        <v>69</v>
      </c>
      <c r="D802" s="5" t="s">
        <v>70</v>
      </c>
      <c r="E802" s="5" t="s">
        <v>400</v>
      </c>
      <c r="F802" s="9">
        <v>22</v>
      </c>
      <c r="G802" s="9">
        <v>202</v>
      </c>
      <c r="H802" s="5" t="s">
        <v>20</v>
      </c>
      <c r="I802" s="5" t="s">
        <v>1969</v>
      </c>
      <c r="J802" s="12" t="str">
        <f>HYPERLINK("https://www.boe.es/gazeta/dias/1806/03/11/pdfs/GMD-1806-22.pdf#page=2","Abrir facsímil")</f>
        <v>Abrir facsímil</v>
      </c>
      <c r="K802" s="15" t="s">
        <v>22</v>
      </c>
    </row>
    <row r="803" spans="1:11" ht="42" customHeight="1">
      <c r="A803" s="4" t="s">
        <v>1970</v>
      </c>
      <c r="B803" s="5" t="s">
        <v>1970</v>
      </c>
      <c r="C803" s="5" t="s">
        <v>69</v>
      </c>
      <c r="D803" s="5" t="s">
        <v>70</v>
      </c>
      <c r="E803" s="5" t="s">
        <v>86</v>
      </c>
      <c r="F803" s="9">
        <v>53</v>
      </c>
      <c r="G803" s="9">
        <v>546</v>
      </c>
      <c r="H803" s="5" t="s">
        <v>20</v>
      </c>
      <c r="I803" s="5" t="s">
        <v>1971</v>
      </c>
      <c r="J803" s="12" t="str">
        <f>HYPERLINK("https://www.boe.es/gazeta/dias/1806/06/27/pdfs/GMD-1806-53.pdf#page=2","Abrir facsímil")</f>
        <v>Abrir facsímil</v>
      </c>
      <c r="K803" s="15" t="s">
        <v>22</v>
      </c>
    </row>
    <row r="804" spans="1:11" ht="42" customHeight="1">
      <c r="A804" s="4" t="s">
        <v>1972</v>
      </c>
      <c r="B804" s="5" t="s">
        <v>1973</v>
      </c>
      <c r="C804" s="5" t="s">
        <v>69</v>
      </c>
      <c r="D804" s="5" t="s">
        <v>70</v>
      </c>
      <c r="E804" s="5" t="s">
        <v>348</v>
      </c>
      <c r="F804" s="9">
        <v>88</v>
      </c>
      <c r="G804" s="9">
        <v>909</v>
      </c>
      <c r="H804" s="5" t="s">
        <v>20</v>
      </c>
      <c r="I804" s="5" t="s">
        <v>1974</v>
      </c>
      <c r="J804" s="12" t="str">
        <f>HYPERLINK("https://www.boe.es/gazeta/dias/1806/10/28/pdfs/GMD-1806-88.pdf#page=5","Abrir facsímil")</f>
        <v>Abrir facsímil</v>
      </c>
      <c r="K804" s="15" t="s">
        <v>22</v>
      </c>
    </row>
    <row r="805" spans="1:11" ht="42" customHeight="1">
      <c r="A805" s="4" t="s">
        <v>1975</v>
      </c>
      <c r="B805" s="5" t="s">
        <v>1976</v>
      </c>
      <c r="C805" s="5" t="s">
        <v>75</v>
      </c>
      <c r="D805" s="5" t="s">
        <v>43</v>
      </c>
      <c r="E805" s="5" t="s">
        <v>297</v>
      </c>
      <c r="F805" s="9">
        <v>94</v>
      </c>
      <c r="G805" s="9">
        <v>991</v>
      </c>
      <c r="H805" s="5" t="s">
        <v>20</v>
      </c>
      <c r="I805" s="5" t="s">
        <v>1977</v>
      </c>
      <c r="J805" s="12" t="str">
        <f>HYPERLINK("https://www.boe.es/gazeta/dias/1806/11/18/pdfs/GMD-1806-94.pdf#page=11","Abrir facsímil")</f>
        <v>Abrir facsímil</v>
      </c>
      <c r="K805" s="15" t="s">
        <v>22</v>
      </c>
    </row>
    <row r="806" spans="1:11" ht="42" customHeight="1">
      <c r="A806" s="4" t="s">
        <v>1978</v>
      </c>
      <c r="B806" s="5" t="s">
        <v>1979</v>
      </c>
      <c r="C806" s="5" t="s">
        <v>31</v>
      </c>
      <c r="D806" s="5" t="s">
        <v>32</v>
      </c>
      <c r="E806" s="5" t="s">
        <v>340</v>
      </c>
      <c r="F806" s="9">
        <v>31</v>
      </c>
      <c r="G806" s="9">
        <v>305</v>
      </c>
      <c r="H806" s="5" t="s">
        <v>20</v>
      </c>
      <c r="I806" s="5" t="s">
        <v>1980</v>
      </c>
      <c r="J806" s="12" t="str">
        <f>HYPERLINK("https://www.boe.es/gazeta/dias/1806/04/11/pdfs/GMD-1806-31.pdf#page=9","Abrir facsímil")</f>
        <v>Abrir facsímil</v>
      </c>
      <c r="K806" s="15" t="s">
        <v>22</v>
      </c>
    </row>
    <row r="807" spans="1:11" ht="42" customHeight="1">
      <c r="A807" s="4" t="s">
        <v>1981</v>
      </c>
      <c r="B807" s="5" t="s">
        <v>1981</v>
      </c>
      <c r="C807" s="5" t="s">
        <v>36</v>
      </c>
      <c r="D807" s="5" t="s">
        <v>37</v>
      </c>
      <c r="E807" s="5" t="s">
        <v>90</v>
      </c>
      <c r="F807" s="9">
        <v>60</v>
      </c>
      <c r="G807" s="9">
        <v>628</v>
      </c>
      <c r="H807" s="5" t="s">
        <v>20</v>
      </c>
      <c r="I807" s="5" t="s">
        <v>1982</v>
      </c>
      <c r="J807" s="12" t="str">
        <f>HYPERLINK("https://www.boe.es/gazeta/dias/1806/07/22/pdfs/GMD-1806-60.pdf#page=12","Abrir facsímil")</f>
        <v>Abrir facsímil</v>
      </c>
      <c r="K807" s="15" t="s">
        <v>22</v>
      </c>
    </row>
    <row r="808" spans="1:11" ht="42" customHeight="1">
      <c r="A808" s="4" t="s">
        <v>1983</v>
      </c>
      <c r="B808" s="5" t="s">
        <v>1984</v>
      </c>
      <c r="C808" s="5" t="s">
        <v>17</v>
      </c>
      <c r="D808" s="5" t="s">
        <v>18</v>
      </c>
      <c r="E808" s="5" t="s">
        <v>870</v>
      </c>
      <c r="F808" s="9">
        <v>35</v>
      </c>
      <c r="G808" s="9">
        <v>342</v>
      </c>
      <c r="H808" s="5" t="s">
        <v>20</v>
      </c>
      <c r="I808" s="5" t="s">
        <v>1985</v>
      </c>
      <c r="J808" s="12" t="str">
        <f>HYPERLINK("https://www.boe.es/gazeta/dias/1806/04/25/pdfs/GMD-1806-35.pdf#page=6","Abrir facsímil")</f>
        <v>Abrir facsímil</v>
      </c>
      <c r="K808" s="15" t="s">
        <v>22</v>
      </c>
    </row>
    <row r="809" spans="1:11" ht="42" customHeight="1">
      <c r="A809" s="4" t="s">
        <v>1986</v>
      </c>
      <c r="B809" s="5" t="s">
        <v>1987</v>
      </c>
      <c r="C809" s="5" t="s">
        <v>69</v>
      </c>
      <c r="D809" s="5" t="s">
        <v>70</v>
      </c>
      <c r="E809" s="5" t="s">
        <v>911</v>
      </c>
      <c r="F809" s="9">
        <v>64</v>
      </c>
      <c r="G809" s="9">
        <v>666</v>
      </c>
      <c r="H809" s="5" t="s">
        <v>20</v>
      </c>
      <c r="I809" s="5" t="s">
        <v>1988</v>
      </c>
      <c r="J809" s="12" t="str">
        <f>HYPERLINK("https://www.boe.es/gazeta/dias/1806/08/05/pdfs/GMD-1806-64.pdf#page=2","Abrir facsímil")</f>
        <v>Abrir facsímil</v>
      </c>
      <c r="K809" s="15" t="s">
        <v>22</v>
      </c>
    </row>
    <row r="810" spans="1:11" ht="42" customHeight="1">
      <c r="A810" s="4" t="s">
        <v>1989</v>
      </c>
      <c r="B810" s="5" t="s">
        <v>1989</v>
      </c>
      <c r="C810" s="5" t="s">
        <v>17</v>
      </c>
      <c r="D810" s="5" t="s">
        <v>18</v>
      </c>
      <c r="E810" s="5" t="s">
        <v>213</v>
      </c>
      <c r="F810" s="9">
        <v>73</v>
      </c>
      <c r="G810" s="9">
        <v>757</v>
      </c>
      <c r="H810" s="5" t="s">
        <v>20</v>
      </c>
      <c r="I810" s="5" t="s">
        <v>1990</v>
      </c>
      <c r="J810" s="12" t="str">
        <f>HYPERLINK("https://www.boe.es/gazeta/dias/1806/09/05/pdfs/GMD-1806-73.pdf#page=5","Abrir facsímil")</f>
        <v>Abrir facsímil</v>
      </c>
      <c r="K810" s="15" t="s">
        <v>22</v>
      </c>
    </row>
    <row r="811" spans="1:11" ht="42" customHeight="1">
      <c r="A811" s="4" t="s">
        <v>1991</v>
      </c>
      <c r="B811" s="5" t="s">
        <v>1991</v>
      </c>
      <c r="C811" s="5" t="s">
        <v>31</v>
      </c>
      <c r="D811" s="5" t="s">
        <v>32</v>
      </c>
      <c r="E811" s="5" t="s">
        <v>816</v>
      </c>
      <c r="F811" s="9">
        <v>86</v>
      </c>
      <c r="G811" s="9">
        <v>891</v>
      </c>
      <c r="H811" s="5" t="s">
        <v>20</v>
      </c>
      <c r="I811" s="5" t="s">
        <v>1992</v>
      </c>
      <c r="J811" s="12" t="str">
        <f>HYPERLINK("https://www.boe.es/gazeta/dias/1806/10/21/pdfs/GMD-1806-86.pdf#page=7","Abrir facsímil")</f>
        <v>Abrir facsímil</v>
      </c>
      <c r="K811" s="15" t="s">
        <v>22</v>
      </c>
    </row>
    <row r="812" spans="1:11" ht="42" customHeight="1">
      <c r="A812" s="4" t="s">
        <v>1993</v>
      </c>
      <c r="B812" s="5" t="s">
        <v>1994</v>
      </c>
      <c r="C812" s="5" t="s">
        <v>75</v>
      </c>
      <c r="D812" s="5" t="s">
        <v>43</v>
      </c>
      <c r="E812" s="5" t="s">
        <v>100</v>
      </c>
      <c r="F812" s="9">
        <v>7</v>
      </c>
      <c r="G812" s="9">
        <v>67</v>
      </c>
      <c r="H812" s="5" t="s">
        <v>20</v>
      </c>
      <c r="I812" s="5" t="s">
        <v>1995</v>
      </c>
      <c r="J812" s="12" t="str">
        <f>HYPERLINK("https://www.boe.es/gazeta/dias/1806/01/21/pdfs/GMD-1806-7.pdf#page=11","Abrir facsímil")</f>
        <v>Abrir facsímil</v>
      </c>
      <c r="K812" s="15" t="s">
        <v>22</v>
      </c>
    </row>
    <row r="813" spans="1:11" ht="42" customHeight="1">
      <c r="A813" s="4" t="s">
        <v>1996</v>
      </c>
      <c r="B813" s="5" t="s">
        <v>1996</v>
      </c>
      <c r="C813" s="5" t="s">
        <v>42</v>
      </c>
      <c r="D813" s="5" t="s">
        <v>43</v>
      </c>
      <c r="E813" s="5" t="s">
        <v>82</v>
      </c>
      <c r="F813" s="9">
        <v>48</v>
      </c>
      <c r="G813" s="9">
        <v>495</v>
      </c>
      <c r="H813" s="5" t="s">
        <v>20</v>
      </c>
      <c r="I813" s="5" t="s">
        <v>1997</v>
      </c>
      <c r="J813" s="12" t="str">
        <f>HYPERLINK("https://www.boe.es/gazeta/dias/1806/06/10/pdfs/GMD-1806-48.pdf#page=7","Abrir facsímil")</f>
        <v>Abrir facsímil</v>
      </c>
      <c r="K813" s="15" t="s">
        <v>22</v>
      </c>
    </row>
    <row r="814" spans="1:11" ht="42" customHeight="1">
      <c r="A814" s="4" t="s">
        <v>1996</v>
      </c>
      <c r="B814" s="5" t="s">
        <v>1996</v>
      </c>
      <c r="C814" s="5" t="s">
        <v>36</v>
      </c>
      <c r="D814" s="5" t="s">
        <v>37</v>
      </c>
      <c r="E814" s="5" t="s">
        <v>103</v>
      </c>
      <c r="F814" s="9">
        <v>61</v>
      </c>
      <c r="G814" s="9">
        <v>635</v>
      </c>
      <c r="H814" s="5" t="s">
        <v>20</v>
      </c>
      <c r="I814" s="5" t="s">
        <v>1998</v>
      </c>
      <c r="J814" s="12" t="str">
        <f>HYPERLINK("https://www.boe.es/gazeta/dias/1806/07/25/pdfs/GMD-1806-61.pdf#page=7","Abrir facsímil")</f>
        <v>Abrir facsímil</v>
      </c>
      <c r="K814" s="15" t="s">
        <v>22</v>
      </c>
    </row>
    <row r="815" spans="1:11" ht="42" customHeight="1">
      <c r="A815" s="4" t="s">
        <v>1999</v>
      </c>
      <c r="B815" s="5" t="s">
        <v>2000</v>
      </c>
      <c r="C815" s="5" t="s">
        <v>17</v>
      </c>
      <c r="D815" s="5" t="s">
        <v>18</v>
      </c>
      <c r="E815" s="5" t="s">
        <v>55</v>
      </c>
      <c r="F815" s="9">
        <v>20</v>
      </c>
      <c r="G815" s="9">
        <v>183</v>
      </c>
      <c r="H815" s="5" t="s">
        <v>20</v>
      </c>
      <c r="I815" s="5" t="s">
        <v>2001</v>
      </c>
      <c r="J815" s="12" t="str">
        <f>HYPERLINK("https://www.boe.es/gazeta/dias/1806/03/04/pdfs/GMD-1806-20.pdf#page=7","Abrir facsímil")</f>
        <v>Abrir facsímil</v>
      </c>
      <c r="K815" s="15" t="s">
        <v>22</v>
      </c>
    </row>
    <row r="816" spans="1:11" ht="42" customHeight="1">
      <c r="A816" s="4" t="s">
        <v>2002</v>
      </c>
      <c r="B816" s="5" t="s">
        <v>2003</v>
      </c>
      <c r="C816" s="5" t="s">
        <v>17</v>
      </c>
      <c r="D816" s="5" t="s">
        <v>18</v>
      </c>
      <c r="E816" s="5" t="s">
        <v>121</v>
      </c>
      <c r="F816" s="9">
        <v>19</v>
      </c>
      <c r="G816" s="9">
        <v>171</v>
      </c>
      <c r="H816" s="5" t="s">
        <v>20</v>
      </c>
      <c r="I816" s="5" t="s">
        <v>2004</v>
      </c>
      <c r="J816" s="12" t="str">
        <f>HYPERLINK("https://www.boe.es/gazeta/dias/1806/02/28/pdfs/GMD-1806-19.pdf#page=7","Abrir facsímil")</f>
        <v>Abrir facsímil</v>
      </c>
      <c r="K816" s="15" t="s">
        <v>22</v>
      </c>
    </row>
    <row r="817" spans="1:11" ht="42" customHeight="1">
      <c r="A817" s="4" t="s">
        <v>2005</v>
      </c>
      <c r="B817" s="5" t="s">
        <v>2006</v>
      </c>
      <c r="C817" s="5" t="s">
        <v>31</v>
      </c>
      <c r="D817" s="5" t="s">
        <v>32</v>
      </c>
      <c r="E817" s="5" t="s">
        <v>455</v>
      </c>
      <c r="F817" s="9">
        <v>85</v>
      </c>
      <c r="G817" s="9">
        <v>881</v>
      </c>
      <c r="H817" s="5" t="s">
        <v>20</v>
      </c>
      <c r="I817" s="5" t="s">
        <v>2007</v>
      </c>
      <c r="J817" s="12" t="str">
        <f>HYPERLINK("https://www.boe.es/gazeta/dias/1806/10/17/pdfs/GMD-1806-85.pdf#page=9","Abrir facsímil")</f>
        <v>Abrir facsímil</v>
      </c>
      <c r="K817" s="15" t="s">
        <v>22</v>
      </c>
    </row>
    <row r="818" spans="1:11" ht="42" customHeight="1">
      <c r="A818" s="4" t="s">
        <v>2008</v>
      </c>
      <c r="B818" s="5" t="s">
        <v>2009</v>
      </c>
      <c r="C818" s="5" t="s">
        <v>31</v>
      </c>
      <c r="D818" s="5" t="s">
        <v>32</v>
      </c>
      <c r="E818" s="5" t="s">
        <v>438</v>
      </c>
      <c r="F818" s="9">
        <v>70</v>
      </c>
      <c r="G818" s="9">
        <v>731</v>
      </c>
      <c r="H818" s="5" t="s">
        <v>20</v>
      </c>
      <c r="I818" s="5" t="s">
        <v>2010</v>
      </c>
      <c r="J818" s="12" t="str">
        <f>HYPERLINK("https://www.boe.es/gazeta/dias/1806/08/26/pdfs/GMD-1806-70.pdf#page=7","Abrir facsímil")</f>
        <v>Abrir facsímil</v>
      </c>
      <c r="K818" s="15" t="s">
        <v>22</v>
      </c>
    </row>
    <row r="819" spans="1:11" ht="42" customHeight="1">
      <c r="A819" s="4" t="s">
        <v>2011</v>
      </c>
      <c r="B819" s="5" t="s">
        <v>2012</v>
      </c>
      <c r="C819" s="5" t="s">
        <v>31</v>
      </c>
      <c r="D819" s="5" t="s">
        <v>32</v>
      </c>
      <c r="E819" s="5" t="s">
        <v>118</v>
      </c>
      <c r="F819" s="9">
        <v>15</v>
      </c>
      <c r="G819" s="9">
        <v>134</v>
      </c>
      <c r="H819" s="5" t="s">
        <v>20</v>
      </c>
      <c r="I819" s="5" t="s">
        <v>2013</v>
      </c>
      <c r="J819" s="12" t="str">
        <f>HYPERLINK("https://www.boe.es/gazeta/dias/1806/02/14/pdfs/GMD-1806-15.pdf#page=10","Abrir facsímil")</f>
        <v>Abrir facsímil</v>
      </c>
      <c r="K819" s="15" t="s">
        <v>22</v>
      </c>
    </row>
    <row r="820" spans="1:11" ht="42" customHeight="1">
      <c r="A820" s="4" t="s">
        <v>2014</v>
      </c>
      <c r="B820" s="5" t="s">
        <v>2015</v>
      </c>
      <c r="C820" s="5" t="s">
        <v>17</v>
      </c>
      <c r="D820" s="5" t="s">
        <v>18</v>
      </c>
      <c r="E820" s="5" t="s">
        <v>82</v>
      </c>
      <c r="F820" s="9">
        <v>48</v>
      </c>
      <c r="G820" s="9">
        <v>496</v>
      </c>
      <c r="H820" s="5" t="s">
        <v>20</v>
      </c>
      <c r="I820" s="5" t="s">
        <v>2016</v>
      </c>
      <c r="J820" s="12" t="str">
        <f>HYPERLINK("https://www.boe.es/gazeta/dias/1806/06/10/pdfs/GMD-1806-48.pdf#page=8","Abrir facsímil")</f>
        <v>Abrir facsímil</v>
      </c>
      <c r="K820" s="15" t="s">
        <v>22</v>
      </c>
    </row>
    <row r="821" spans="1:11" ht="42" customHeight="1">
      <c r="A821" s="4" t="s">
        <v>2014</v>
      </c>
      <c r="B821" s="5" t="s">
        <v>2015</v>
      </c>
      <c r="C821" s="5" t="s">
        <v>31</v>
      </c>
      <c r="D821" s="5" t="s">
        <v>32</v>
      </c>
      <c r="E821" s="5" t="s">
        <v>140</v>
      </c>
      <c r="F821" s="9">
        <v>83</v>
      </c>
      <c r="G821" s="9">
        <v>860</v>
      </c>
      <c r="H821" s="5" t="s">
        <v>20</v>
      </c>
      <c r="I821" s="5" t="s">
        <v>2017</v>
      </c>
      <c r="J821" s="12" t="str">
        <f>HYPERLINK("https://www.boe.es/gazeta/dias/1806/10/10/pdfs/GMD-1806-83.pdf#page=8","Abrir facsímil")</f>
        <v>Abrir facsímil</v>
      </c>
      <c r="K821" s="15" t="s">
        <v>22</v>
      </c>
    </row>
    <row r="822" spans="1:11" ht="42" customHeight="1">
      <c r="A822" s="4" t="s">
        <v>2014</v>
      </c>
      <c r="B822" s="5" t="s">
        <v>2015</v>
      </c>
      <c r="C822" s="5" t="s">
        <v>31</v>
      </c>
      <c r="D822" s="5" t="s">
        <v>32</v>
      </c>
      <c r="E822" s="5" t="s">
        <v>297</v>
      </c>
      <c r="F822" s="9">
        <v>94</v>
      </c>
      <c r="G822" s="9">
        <v>990</v>
      </c>
      <c r="H822" s="5" t="s">
        <v>20</v>
      </c>
      <c r="I822" s="5" t="s">
        <v>2018</v>
      </c>
      <c r="J822" s="12" t="str">
        <f>HYPERLINK("https://www.boe.es/gazeta/dias/1806/11/18/pdfs/GMD-1806-94.pdf#page=10","Abrir facsímil")</f>
        <v>Abrir facsímil</v>
      </c>
      <c r="K822" s="15" t="s">
        <v>22</v>
      </c>
    </row>
    <row r="823" spans="1:11" ht="42" customHeight="1">
      <c r="A823" s="4" t="s">
        <v>2019</v>
      </c>
      <c r="B823" s="5" t="s">
        <v>2019</v>
      </c>
      <c r="C823" s="5" t="s">
        <v>17</v>
      </c>
      <c r="D823" s="5" t="s">
        <v>18</v>
      </c>
      <c r="E823" s="5" t="s">
        <v>702</v>
      </c>
      <c r="F823" s="9">
        <v>43</v>
      </c>
      <c r="G823" s="9">
        <v>431</v>
      </c>
      <c r="H823" s="5" t="s">
        <v>20</v>
      </c>
      <c r="I823" s="5" t="s">
        <v>2020</v>
      </c>
      <c r="J823" s="12" t="str">
        <f>HYPERLINK("https://www.boe.es/gazeta/dias/1806/05/23/pdfs/GMD-1806-43.pdf#page=7","Abrir facsímil")</f>
        <v>Abrir facsímil</v>
      </c>
      <c r="K823" s="15" t="s">
        <v>22</v>
      </c>
    </row>
    <row r="824" spans="1:11" ht="42" customHeight="1">
      <c r="A824" s="4" t="s">
        <v>2021</v>
      </c>
      <c r="B824" s="5" t="s">
        <v>2021</v>
      </c>
      <c r="C824" s="5" t="s">
        <v>447</v>
      </c>
      <c r="D824" s="5" t="s">
        <v>448</v>
      </c>
      <c r="E824" s="5" t="s">
        <v>304</v>
      </c>
      <c r="F824" s="9">
        <v>47</v>
      </c>
      <c r="G824" s="9">
        <v>483</v>
      </c>
      <c r="H824" s="5" t="s">
        <v>20</v>
      </c>
      <c r="I824" s="5" t="s">
        <v>2022</v>
      </c>
      <c r="J824" s="12" t="str">
        <f>HYPERLINK("https://www.boe.es/gazeta/dias/1806/06/06/pdfs/GMD-C-1806-47.pdf#page=3","Abrir facsímil")</f>
        <v>Abrir facsímil</v>
      </c>
      <c r="K824" s="15" t="s">
        <v>22</v>
      </c>
    </row>
    <row r="825" spans="1:11" ht="42" customHeight="1">
      <c r="A825" s="4" t="s">
        <v>2023</v>
      </c>
      <c r="B825" s="5" t="s">
        <v>2024</v>
      </c>
      <c r="C825" s="5" t="s">
        <v>31</v>
      </c>
      <c r="D825" s="5" t="s">
        <v>32</v>
      </c>
      <c r="E825" s="5" t="s">
        <v>227</v>
      </c>
      <c r="F825" s="9">
        <v>27</v>
      </c>
      <c r="G825" s="9">
        <v>269</v>
      </c>
      <c r="H825" s="5" t="s">
        <v>20</v>
      </c>
      <c r="I825" s="5" t="s">
        <v>2025</v>
      </c>
      <c r="J825" s="12" t="str">
        <f>HYPERLINK("https://www.boe.es/gazeta/dias/1806/03/28/pdfs/GMD-1806-27.pdf#page=9","Abrir facsímil")</f>
        <v>Abrir facsímil</v>
      </c>
      <c r="K825" s="15" t="s">
        <v>22</v>
      </c>
    </row>
    <row r="826" spans="1:11" ht="42" customHeight="1">
      <c r="A826" s="4" t="s">
        <v>2026</v>
      </c>
      <c r="B826" s="5" t="s">
        <v>2027</v>
      </c>
      <c r="C826" s="5" t="s">
        <v>42</v>
      </c>
      <c r="D826" s="5" t="s">
        <v>43</v>
      </c>
      <c r="E826" s="5" t="s">
        <v>110</v>
      </c>
      <c r="F826" s="9">
        <v>55</v>
      </c>
      <c r="G826" s="9">
        <v>575</v>
      </c>
      <c r="H826" s="5" t="s">
        <v>20</v>
      </c>
      <c r="I826" s="5" t="s">
        <v>2028</v>
      </c>
      <c r="J826" s="12" t="str">
        <f>HYPERLINK("https://www.boe.es/gazeta/dias/1806/07/04/pdfs/GMD-1806-55.pdf#page=11","Abrir facsímil")</f>
        <v>Abrir facsímil</v>
      </c>
      <c r="K826" s="15" t="s">
        <v>22</v>
      </c>
    </row>
    <row r="827" spans="1:11" ht="42" customHeight="1">
      <c r="A827" s="4" t="s">
        <v>2029</v>
      </c>
      <c r="B827" s="5" t="s">
        <v>2030</v>
      </c>
      <c r="C827" s="5" t="s">
        <v>447</v>
      </c>
      <c r="D827" s="5" t="s">
        <v>448</v>
      </c>
      <c r="E827" s="5" t="s">
        <v>434</v>
      </c>
      <c r="F827" s="9">
        <v>74</v>
      </c>
      <c r="G827" s="9" t="s">
        <v>2031</v>
      </c>
      <c r="H827" s="5" t="s">
        <v>20</v>
      </c>
      <c r="I827" s="5" t="s">
        <v>2032</v>
      </c>
      <c r="J827" s="12" t="str">
        <f>HYPERLINK("https://www.boe.es/gazeta/dias/1806/09/09/pdfs/GMD-C-1806-74.pdf#page=1","Abrir facsímil")</f>
        <v>Abrir facsímil</v>
      </c>
      <c r="K827" s="15" t="s">
        <v>22</v>
      </c>
    </row>
    <row r="828" spans="1:11" ht="42" customHeight="1">
      <c r="A828" s="4" t="s">
        <v>2033</v>
      </c>
      <c r="B828" s="5" t="s">
        <v>2034</v>
      </c>
      <c r="C828" s="5" t="s">
        <v>17</v>
      </c>
      <c r="D828" s="5" t="s">
        <v>18</v>
      </c>
      <c r="E828" s="5" t="s">
        <v>195</v>
      </c>
      <c r="F828" s="9">
        <v>4</v>
      </c>
      <c r="G828" s="9">
        <v>35</v>
      </c>
      <c r="H828" s="5" t="s">
        <v>20</v>
      </c>
      <c r="I828" s="5" t="s">
        <v>2035</v>
      </c>
      <c r="J828" s="12" t="str">
        <f>HYPERLINK("https://www.boe.es/gazeta/dias/1806/01/14/pdfs/GMD-1806-4.pdf#page=7","Abrir facsímil")</f>
        <v>Abrir facsímil</v>
      </c>
      <c r="K828" s="15" t="s">
        <v>22</v>
      </c>
    </row>
    <row r="829" spans="1:11" ht="42" customHeight="1">
      <c r="A829" s="4" t="s">
        <v>2036</v>
      </c>
      <c r="B829" s="5" t="s">
        <v>2037</v>
      </c>
      <c r="C829" s="5" t="s">
        <v>17</v>
      </c>
      <c r="D829" s="5" t="s">
        <v>18</v>
      </c>
      <c r="E829" s="5" t="s">
        <v>438</v>
      </c>
      <c r="F829" s="9">
        <v>70</v>
      </c>
      <c r="G829" s="9">
        <v>730</v>
      </c>
      <c r="H829" s="5" t="s">
        <v>20</v>
      </c>
      <c r="I829" s="5" t="s">
        <v>2038</v>
      </c>
      <c r="J829" s="12" t="str">
        <f>HYPERLINK("https://www.boe.es/gazeta/dias/1806/08/26/pdfs/GMD-1806-70.pdf#page=6","Abrir facsímil")</f>
        <v>Abrir facsímil</v>
      </c>
      <c r="K829" s="15" t="s">
        <v>22</v>
      </c>
    </row>
    <row r="830" spans="1:11" ht="42" customHeight="1">
      <c r="A830" s="4" t="s">
        <v>2039</v>
      </c>
      <c r="B830" s="5" t="s">
        <v>2040</v>
      </c>
      <c r="C830" s="5" t="s">
        <v>31</v>
      </c>
      <c r="D830" s="5" t="s">
        <v>32</v>
      </c>
      <c r="E830" s="5" t="s">
        <v>859</v>
      </c>
      <c r="F830" s="9">
        <v>63</v>
      </c>
      <c r="G830" s="9">
        <v>661</v>
      </c>
      <c r="H830" s="5" t="s">
        <v>20</v>
      </c>
      <c r="I830" s="5" t="s">
        <v>2041</v>
      </c>
      <c r="J830" s="12" t="str">
        <f>HYPERLINK("https://www.boe.es/gazeta/dias/1806/08/01/pdfs/GMD-1806-63.pdf#page=9","Abrir facsímil")</f>
        <v>Abrir facsímil</v>
      </c>
      <c r="K830" s="15" t="s">
        <v>22</v>
      </c>
    </row>
    <row r="831" spans="1:11" ht="42" customHeight="1">
      <c r="A831" s="4" t="s">
        <v>2042</v>
      </c>
      <c r="B831" s="5" t="s">
        <v>2043</v>
      </c>
      <c r="C831" s="5" t="s">
        <v>31</v>
      </c>
      <c r="D831" s="5" t="s">
        <v>32</v>
      </c>
      <c r="E831" s="5" t="s">
        <v>118</v>
      </c>
      <c r="F831" s="9">
        <v>15</v>
      </c>
      <c r="G831" s="9">
        <v>134</v>
      </c>
      <c r="H831" s="5" t="s">
        <v>20</v>
      </c>
      <c r="I831" s="5" t="s">
        <v>2044</v>
      </c>
      <c r="J831" s="12" t="str">
        <f>HYPERLINK("https://www.boe.es/gazeta/dias/1806/02/14/pdfs/GMD-1806-15.pdf#page=10","Abrir facsímil")</f>
        <v>Abrir facsímil</v>
      </c>
      <c r="K831" s="15" t="s">
        <v>22</v>
      </c>
    </row>
    <row r="832" spans="1:11" ht="42" customHeight="1">
      <c r="A832" s="4" t="s">
        <v>2045</v>
      </c>
      <c r="B832" s="5" t="s">
        <v>2045</v>
      </c>
      <c r="C832" s="5" t="s">
        <v>69</v>
      </c>
      <c r="D832" s="5" t="s">
        <v>70</v>
      </c>
      <c r="E832" s="5" t="s">
        <v>100</v>
      </c>
      <c r="F832" s="9">
        <v>7</v>
      </c>
      <c r="G832" s="9">
        <v>64</v>
      </c>
      <c r="H832" s="5" t="s">
        <v>20</v>
      </c>
      <c r="I832" s="5" t="s">
        <v>2046</v>
      </c>
      <c r="J832" s="12" t="str">
        <f>HYPERLINK("https://www.boe.es/gazeta/dias/1806/01/21/pdfs/GMD-1806-7.pdf#page=8","Abrir facsímil")</f>
        <v>Abrir facsímil</v>
      </c>
      <c r="K832" s="15" t="s">
        <v>22</v>
      </c>
    </row>
    <row r="833" spans="1:11" ht="42" customHeight="1">
      <c r="A833" s="4" t="s">
        <v>2047</v>
      </c>
      <c r="B833" s="5" t="s">
        <v>2048</v>
      </c>
      <c r="C833" s="5" t="s">
        <v>36</v>
      </c>
      <c r="D833" s="5" t="s">
        <v>37</v>
      </c>
      <c r="E833" s="5" t="s">
        <v>55</v>
      </c>
      <c r="F833" s="9">
        <v>20</v>
      </c>
      <c r="G833" s="9">
        <v>188</v>
      </c>
      <c r="H833" s="5" t="s">
        <v>20</v>
      </c>
      <c r="I833" s="5" t="s">
        <v>2049</v>
      </c>
      <c r="J833" s="12" t="str">
        <f>HYPERLINK("https://www.boe.es/gazeta/dias/1806/03/04/pdfs/GMD-1806-20.pdf#page=12","Abrir facsímil")</f>
        <v>Abrir facsímil</v>
      </c>
      <c r="K833" s="15" t="s">
        <v>22</v>
      </c>
    </row>
    <row r="834" spans="1:11" ht="42" customHeight="1">
      <c r="A834" s="4" t="s">
        <v>2050</v>
      </c>
      <c r="B834" s="5" t="s">
        <v>2050</v>
      </c>
      <c r="C834" s="5" t="s">
        <v>69</v>
      </c>
      <c r="D834" s="5" t="s">
        <v>70</v>
      </c>
      <c r="E834" s="5" t="s">
        <v>304</v>
      </c>
      <c r="F834" s="9">
        <v>47</v>
      </c>
      <c r="G834" s="9">
        <v>476</v>
      </c>
      <c r="H834" s="5" t="s">
        <v>20</v>
      </c>
      <c r="I834" s="5" t="s">
        <v>2051</v>
      </c>
      <c r="J834" s="12" t="str">
        <f>HYPERLINK("https://www.boe.es/gazeta/dias/1806/06/06/pdfs/GMD-1806-47.pdf#page=4","Abrir facsímil")</f>
        <v>Abrir facsímil</v>
      </c>
      <c r="K834" s="15" t="s">
        <v>22</v>
      </c>
    </row>
    <row r="835" spans="1:11" ht="42" customHeight="1">
      <c r="A835" s="4" t="s">
        <v>2052</v>
      </c>
      <c r="B835" s="5" t="s">
        <v>2053</v>
      </c>
      <c r="C835" s="5" t="s">
        <v>31</v>
      </c>
      <c r="D835" s="5" t="s">
        <v>32</v>
      </c>
      <c r="E835" s="5" t="s">
        <v>1778</v>
      </c>
      <c r="F835" s="9">
        <v>16</v>
      </c>
      <c r="G835" s="9">
        <v>143</v>
      </c>
      <c r="H835" s="5" t="s">
        <v>20</v>
      </c>
      <c r="I835" s="5" t="s">
        <v>2054</v>
      </c>
      <c r="J835" s="12" t="str">
        <f>HYPERLINK("https://www.boe.es/gazeta/dias/1806/02/18/pdfs/GMD-1806-16.pdf#page=7","Abrir facsímil")</f>
        <v>Abrir facsímil</v>
      </c>
      <c r="K835" s="15" t="s">
        <v>22</v>
      </c>
    </row>
    <row r="836" spans="1:11" ht="42" customHeight="1">
      <c r="A836" s="4" t="s">
        <v>2055</v>
      </c>
      <c r="B836" s="5" t="s">
        <v>2056</v>
      </c>
      <c r="C836" s="5" t="s">
        <v>69</v>
      </c>
      <c r="D836" s="5" t="s">
        <v>70</v>
      </c>
      <c r="E836" s="5" t="s">
        <v>580</v>
      </c>
      <c r="F836" s="9">
        <v>23</v>
      </c>
      <c r="G836" s="9">
        <v>213</v>
      </c>
      <c r="H836" s="5" t="s">
        <v>20</v>
      </c>
      <c r="I836" s="5" t="s">
        <v>2057</v>
      </c>
      <c r="J836" s="12" t="str">
        <f>HYPERLINK("https://www.boe.es/gazeta/dias/1806/03/14/pdfs/GMD-1806-23.pdf#page=1","Abrir facsímil")</f>
        <v>Abrir facsímil</v>
      </c>
      <c r="K836" s="15" t="s">
        <v>22</v>
      </c>
    </row>
    <row r="837" spans="1:11" ht="42" customHeight="1">
      <c r="A837" s="4" t="s">
        <v>2058</v>
      </c>
      <c r="B837" s="5" t="s">
        <v>2059</v>
      </c>
      <c r="C837" s="5" t="s">
        <v>69</v>
      </c>
      <c r="D837" s="5" t="s">
        <v>70</v>
      </c>
      <c r="E837" s="5" t="s">
        <v>59</v>
      </c>
      <c r="F837" s="9">
        <v>21</v>
      </c>
      <c r="G837" s="9">
        <v>193</v>
      </c>
      <c r="H837" s="5" t="s">
        <v>20</v>
      </c>
      <c r="I837" s="5" t="s">
        <v>2060</v>
      </c>
      <c r="J837" s="12" t="str">
        <f>HYPERLINK("https://www.boe.es/gazeta/dias/1806/03/07/pdfs/GMD-1806-21.pdf#page=5","Abrir facsímil")</f>
        <v>Abrir facsímil</v>
      </c>
      <c r="K837" s="15" t="s">
        <v>22</v>
      </c>
    </row>
    <row r="838" spans="1:11" ht="42" customHeight="1">
      <c r="A838" s="4" t="s">
        <v>2058</v>
      </c>
      <c r="B838" s="5" t="s">
        <v>2059</v>
      </c>
      <c r="C838" s="5" t="s">
        <v>69</v>
      </c>
      <c r="D838" s="5" t="s">
        <v>70</v>
      </c>
      <c r="E838" s="5" t="s">
        <v>570</v>
      </c>
      <c r="F838" s="9">
        <v>93</v>
      </c>
      <c r="G838" s="9">
        <v>966</v>
      </c>
      <c r="H838" s="5" t="s">
        <v>20</v>
      </c>
      <c r="I838" s="5" t="s">
        <v>2061</v>
      </c>
      <c r="J838" s="12" t="str">
        <f>HYPERLINK("https://www.boe.es/gazeta/dias/1806/11/14/pdfs/GMD-1806-93.pdf#page=2","Abrir facsímil")</f>
        <v>Abrir facsímil</v>
      </c>
      <c r="K838" s="15" t="s">
        <v>22</v>
      </c>
    </row>
    <row r="839" spans="1:11" ht="42" customHeight="1">
      <c r="A839" s="4" t="s">
        <v>2062</v>
      </c>
      <c r="B839" s="5" t="s">
        <v>2063</v>
      </c>
      <c r="C839" s="5" t="s">
        <v>69</v>
      </c>
      <c r="D839" s="5" t="s">
        <v>70</v>
      </c>
      <c r="E839" s="5" t="s">
        <v>238</v>
      </c>
      <c r="F839" s="9">
        <v>18</v>
      </c>
      <c r="G839" s="9">
        <v>155</v>
      </c>
      <c r="H839" s="5" t="s">
        <v>20</v>
      </c>
      <c r="I839" s="5" t="s">
        <v>2064</v>
      </c>
      <c r="J839" s="12" t="str">
        <f>HYPERLINK("https://www.boe.es/gazeta/dias/1806/02/25/pdfs/GMD-1806-18.pdf#page=3","Abrir facsímil")</f>
        <v>Abrir facsímil</v>
      </c>
      <c r="K839" s="15" t="s">
        <v>22</v>
      </c>
    </row>
    <row r="840" spans="1:11" ht="42" customHeight="1">
      <c r="A840" s="4" t="s">
        <v>2065</v>
      </c>
      <c r="B840" s="5" t="s">
        <v>2066</v>
      </c>
      <c r="C840" s="5" t="s">
        <v>69</v>
      </c>
      <c r="D840" s="5" t="s">
        <v>70</v>
      </c>
      <c r="E840" s="5" t="s">
        <v>400</v>
      </c>
      <c r="F840" s="9">
        <v>22</v>
      </c>
      <c r="G840" s="9">
        <v>203</v>
      </c>
      <c r="H840" s="5" t="s">
        <v>20</v>
      </c>
      <c r="I840" s="5" t="s">
        <v>2067</v>
      </c>
      <c r="J840" s="12" t="str">
        <f>HYPERLINK("https://www.boe.es/gazeta/dias/1806/03/11/pdfs/GMD-1806-22.pdf#page=3","Abrir facsímil")</f>
        <v>Abrir facsímil</v>
      </c>
      <c r="K840" s="15" t="s">
        <v>22</v>
      </c>
    </row>
    <row r="841" spans="1:11" ht="42" customHeight="1">
      <c r="A841" s="4" t="s">
        <v>2068</v>
      </c>
      <c r="B841" s="5" t="s">
        <v>2068</v>
      </c>
      <c r="C841" s="5" t="s">
        <v>69</v>
      </c>
      <c r="D841" s="5" t="s">
        <v>70</v>
      </c>
      <c r="E841" s="5" t="s">
        <v>837</v>
      </c>
      <c r="F841" s="9">
        <v>26</v>
      </c>
      <c r="G841" s="9">
        <v>254</v>
      </c>
      <c r="H841" s="5" t="s">
        <v>20</v>
      </c>
      <c r="I841" s="5" t="s">
        <v>2069</v>
      </c>
      <c r="J841" s="12" t="str">
        <f>HYPERLINK("https://www.boe.es/gazeta/dias/1806/03/25/pdfs/GMD-1806-26.pdf#page=6","Abrir facsímil")</f>
        <v>Abrir facsímil</v>
      </c>
      <c r="K841" s="15" t="s">
        <v>22</v>
      </c>
    </row>
    <row r="842" spans="1:11" ht="42" customHeight="1">
      <c r="A842" s="4" t="s">
        <v>2070</v>
      </c>
      <c r="B842" s="5" t="s">
        <v>2071</v>
      </c>
      <c r="C842" s="5" t="s">
        <v>17</v>
      </c>
      <c r="D842" s="5" t="s">
        <v>18</v>
      </c>
      <c r="E842" s="5" t="s">
        <v>205</v>
      </c>
      <c r="F842" s="9">
        <v>57</v>
      </c>
      <c r="G842" s="9">
        <v>595</v>
      </c>
      <c r="H842" s="5" t="s">
        <v>20</v>
      </c>
      <c r="I842" s="5" t="s">
        <v>2072</v>
      </c>
      <c r="J842" s="12" t="str">
        <f>HYPERLINK("https://www.boe.es/gazeta/dias/1806/07/11/pdfs/GMD-1806-57.pdf#page=7","Abrir facsímil")</f>
        <v>Abrir facsímil</v>
      </c>
      <c r="K842" s="15" t="s">
        <v>22</v>
      </c>
    </row>
    <row r="843" spans="1:11" ht="42" customHeight="1">
      <c r="A843" s="4" t="s">
        <v>2073</v>
      </c>
      <c r="B843" s="5" t="s">
        <v>2074</v>
      </c>
      <c r="C843" s="5" t="s">
        <v>31</v>
      </c>
      <c r="D843" s="5" t="s">
        <v>32</v>
      </c>
      <c r="E843" s="5" t="s">
        <v>55</v>
      </c>
      <c r="F843" s="9">
        <v>20</v>
      </c>
      <c r="G843" s="9">
        <v>185</v>
      </c>
      <c r="H843" s="5" t="s">
        <v>20</v>
      </c>
      <c r="I843" s="5" t="s">
        <v>2075</v>
      </c>
      <c r="J843" s="12" t="str">
        <f>HYPERLINK("https://www.boe.es/gazeta/dias/1806/03/04/pdfs/GMD-1806-20.pdf#page=9","Abrir facsímil")</f>
        <v>Abrir facsímil</v>
      </c>
      <c r="K843" s="15" t="s">
        <v>22</v>
      </c>
    </row>
    <row r="844" spans="1:11" ht="42" customHeight="1">
      <c r="A844" s="4" t="s">
        <v>2076</v>
      </c>
      <c r="B844" s="5" t="s">
        <v>2077</v>
      </c>
      <c r="C844" s="5" t="s">
        <v>31</v>
      </c>
      <c r="D844" s="5" t="s">
        <v>32</v>
      </c>
      <c r="E844" s="5" t="s">
        <v>348</v>
      </c>
      <c r="F844" s="9">
        <v>88</v>
      </c>
      <c r="G844" s="9">
        <v>910</v>
      </c>
      <c r="H844" s="5" t="s">
        <v>20</v>
      </c>
      <c r="I844" s="5" t="s">
        <v>2078</v>
      </c>
      <c r="J844" s="12" t="str">
        <f>HYPERLINK("https://www.boe.es/gazeta/dias/1806/10/28/pdfs/GMD-1806-88.pdf#page=6","Abrir facsímil")</f>
        <v>Abrir facsímil</v>
      </c>
      <c r="K844" s="15" t="s">
        <v>22</v>
      </c>
    </row>
    <row r="845" spans="1:11" ht="42" customHeight="1">
      <c r="A845" s="4" t="s">
        <v>2079</v>
      </c>
      <c r="B845" s="5" t="s">
        <v>2080</v>
      </c>
      <c r="C845" s="5" t="s">
        <v>31</v>
      </c>
      <c r="D845" s="5" t="s">
        <v>32</v>
      </c>
      <c r="E845" s="5" t="s">
        <v>348</v>
      </c>
      <c r="F845" s="9">
        <v>88</v>
      </c>
      <c r="G845" s="9">
        <v>910</v>
      </c>
      <c r="H845" s="5" t="s">
        <v>20</v>
      </c>
      <c r="I845" s="5" t="s">
        <v>2081</v>
      </c>
      <c r="J845" s="12" t="str">
        <f>HYPERLINK("https://www.boe.es/gazeta/dias/1806/10/28/pdfs/GMD-1806-88.pdf#page=6","Abrir facsímil")</f>
        <v>Abrir facsímil</v>
      </c>
      <c r="K845" s="15" t="s">
        <v>22</v>
      </c>
    </row>
    <row r="846" spans="1:11" ht="42" customHeight="1">
      <c r="A846" s="4" t="s">
        <v>2082</v>
      </c>
      <c r="B846" s="5" t="s">
        <v>2082</v>
      </c>
      <c r="C846" s="5" t="s">
        <v>69</v>
      </c>
      <c r="D846" s="5" t="s">
        <v>70</v>
      </c>
      <c r="E846" s="5" t="s">
        <v>501</v>
      </c>
      <c r="F846" s="9">
        <v>39</v>
      </c>
      <c r="G846" s="9">
        <v>380</v>
      </c>
      <c r="H846" s="5" t="s">
        <v>20</v>
      </c>
      <c r="I846" s="5" t="s">
        <v>2083</v>
      </c>
      <c r="J846" s="12" t="str">
        <f>HYPERLINK("https://www.boe.es/gazeta/dias/1806/05/09/pdfs/GMD-1806-39.pdf#page=4","Abrir facsímil")</f>
        <v>Abrir facsímil</v>
      </c>
      <c r="K846" s="15" t="s">
        <v>22</v>
      </c>
    </row>
    <row r="847" spans="1:11" ht="42" customHeight="1">
      <c r="A847" s="4" t="s">
        <v>2084</v>
      </c>
      <c r="B847" s="5" t="s">
        <v>2084</v>
      </c>
      <c r="C847" s="5" t="s">
        <v>69</v>
      </c>
      <c r="D847" s="5" t="s">
        <v>70</v>
      </c>
      <c r="E847" s="5" t="s">
        <v>383</v>
      </c>
      <c r="F847" s="9">
        <v>54</v>
      </c>
      <c r="G847" s="9">
        <v>561</v>
      </c>
      <c r="H847" s="5" t="s">
        <v>20</v>
      </c>
      <c r="I847" s="5" t="s">
        <v>2085</v>
      </c>
      <c r="J847" s="12" t="str">
        <f>HYPERLINK("https://www.boe.es/gazeta/dias/1806/07/01/pdfs/GMD-1806-54.pdf#page=5","Abrir facsímil")</f>
        <v>Abrir facsímil</v>
      </c>
      <c r="K847" s="15" t="s">
        <v>22</v>
      </c>
    </row>
    <row r="848" spans="1:11" ht="42" customHeight="1">
      <c r="A848" s="4" t="s">
        <v>2086</v>
      </c>
      <c r="B848" s="5" t="s">
        <v>2087</v>
      </c>
      <c r="C848" s="5" t="s">
        <v>31</v>
      </c>
      <c r="D848" s="5" t="s">
        <v>32</v>
      </c>
      <c r="E848" s="5" t="s">
        <v>24</v>
      </c>
      <c r="F848" s="9">
        <v>32</v>
      </c>
      <c r="G848" s="9">
        <v>316</v>
      </c>
      <c r="H848" s="5" t="s">
        <v>20</v>
      </c>
      <c r="I848" s="5" t="s">
        <v>2088</v>
      </c>
      <c r="J848" s="12" t="str">
        <f>HYPERLINK("https://www.boe.es/gazeta/dias/1806/04/15/pdfs/GMD-1806-32.pdf#page=8","Abrir facsímil")</f>
        <v>Abrir facsímil</v>
      </c>
      <c r="K848" s="15" t="s">
        <v>22</v>
      </c>
    </row>
    <row r="849" spans="1:11" ht="42" customHeight="1">
      <c r="A849" s="4" t="s">
        <v>2086</v>
      </c>
      <c r="B849" s="5" t="s">
        <v>2087</v>
      </c>
      <c r="C849" s="5" t="s">
        <v>31</v>
      </c>
      <c r="D849" s="5" t="s">
        <v>32</v>
      </c>
      <c r="E849" s="5" t="s">
        <v>716</v>
      </c>
      <c r="F849" s="9">
        <v>56</v>
      </c>
      <c r="G849" s="9">
        <v>586</v>
      </c>
      <c r="H849" s="5" t="s">
        <v>20</v>
      </c>
      <c r="I849" s="5" t="s">
        <v>2089</v>
      </c>
      <c r="J849" s="12" t="str">
        <f>HYPERLINK("https://www.boe.es/gazeta/dias/1806/07/08/pdfs/GMD-1806-56.pdf#page=10","Abrir facsímil")</f>
        <v>Abrir facsímil</v>
      </c>
      <c r="K849" s="15" t="s">
        <v>22</v>
      </c>
    </row>
    <row r="850" spans="1:11" ht="42" customHeight="1">
      <c r="A850" s="4" t="s">
        <v>2090</v>
      </c>
      <c r="B850" s="5" t="s">
        <v>2091</v>
      </c>
      <c r="C850" s="5" t="s">
        <v>31</v>
      </c>
      <c r="D850" s="5" t="s">
        <v>32</v>
      </c>
      <c r="E850" s="5" t="s">
        <v>837</v>
      </c>
      <c r="F850" s="9">
        <v>26</v>
      </c>
      <c r="G850" s="9">
        <v>260</v>
      </c>
      <c r="H850" s="5" t="s">
        <v>20</v>
      </c>
      <c r="I850" s="5" t="s">
        <v>2092</v>
      </c>
      <c r="J850" s="12" t="str">
        <f>HYPERLINK("https://www.boe.es/gazeta/dias/1806/03/25/pdfs/GMD-1806-26.pdf#page=12","Abrir facsímil")</f>
        <v>Abrir facsímil</v>
      </c>
      <c r="K850" s="15" t="s">
        <v>22</v>
      </c>
    </row>
    <row r="851" spans="1:11" ht="42" customHeight="1">
      <c r="A851" s="4" t="s">
        <v>2093</v>
      </c>
      <c r="B851" s="5" t="s">
        <v>2094</v>
      </c>
      <c r="C851" s="5" t="s">
        <v>31</v>
      </c>
      <c r="D851" s="5" t="s">
        <v>32</v>
      </c>
      <c r="E851" s="5" t="s">
        <v>1080</v>
      </c>
      <c r="F851" s="9">
        <v>49</v>
      </c>
      <c r="G851" s="9">
        <v>505</v>
      </c>
      <c r="H851" s="5" t="s">
        <v>20</v>
      </c>
      <c r="I851" s="5" t="s">
        <v>2095</v>
      </c>
      <c r="J851" s="12" t="str">
        <f>HYPERLINK("https://www.boe.es/gazeta/dias/1806/06/13/pdfs/GMD-1806-49.pdf#page=5","Abrir facsímil")</f>
        <v>Abrir facsímil</v>
      </c>
      <c r="K851" s="15" t="s">
        <v>22</v>
      </c>
    </row>
    <row r="852" spans="1:11" ht="42" customHeight="1">
      <c r="A852" s="4" t="s">
        <v>2096</v>
      </c>
      <c r="B852" s="5" t="s">
        <v>2097</v>
      </c>
      <c r="C852" s="5" t="s">
        <v>17</v>
      </c>
      <c r="D852" s="5" t="s">
        <v>18</v>
      </c>
      <c r="E852" s="5" t="s">
        <v>33</v>
      </c>
      <c r="F852" s="9">
        <v>82</v>
      </c>
      <c r="G852" s="9">
        <v>852</v>
      </c>
      <c r="H852" s="5" t="s">
        <v>20</v>
      </c>
      <c r="I852" s="5" t="s">
        <v>2098</v>
      </c>
      <c r="J852" s="12" t="str">
        <f>HYPERLINK("https://www.boe.es/gazeta/dias/1806/10/07/pdfs/GMD-1806-82.pdf#page=12","Abrir facsímil")</f>
        <v>Abrir facsímil</v>
      </c>
      <c r="K852" s="15" t="s">
        <v>22</v>
      </c>
    </row>
    <row r="853" spans="1:11" ht="42" customHeight="1">
      <c r="A853" s="4" t="s">
        <v>2099</v>
      </c>
      <c r="B853" s="5" t="s">
        <v>2100</v>
      </c>
      <c r="C853" s="5" t="s">
        <v>17</v>
      </c>
      <c r="D853" s="5" t="s">
        <v>18</v>
      </c>
      <c r="E853" s="5" t="s">
        <v>220</v>
      </c>
      <c r="F853" s="9">
        <v>24</v>
      </c>
      <c r="G853" s="9">
        <v>232</v>
      </c>
      <c r="H853" s="5" t="s">
        <v>20</v>
      </c>
      <c r="I853" s="5" t="s">
        <v>2101</v>
      </c>
      <c r="J853" s="12" t="str">
        <f>HYPERLINK("https://www.boe.es/gazeta/dias/1806/03/18/pdfs/GMD-1806-24.pdf#page=8","Abrir facsímil")</f>
        <v>Abrir facsímil</v>
      </c>
      <c r="K853" s="15" t="s">
        <v>22</v>
      </c>
    </row>
    <row r="854" spans="1:11" ht="42" customHeight="1">
      <c r="A854" s="4" t="s">
        <v>2102</v>
      </c>
      <c r="B854" s="5" t="s">
        <v>2103</v>
      </c>
      <c r="C854" s="5" t="s">
        <v>69</v>
      </c>
      <c r="D854" s="5" t="s">
        <v>70</v>
      </c>
      <c r="E854" s="5" t="s">
        <v>312</v>
      </c>
      <c r="F854" s="9">
        <v>100</v>
      </c>
      <c r="G854" s="9">
        <v>1058</v>
      </c>
      <c r="H854" s="5" t="s">
        <v>20</v>
      </c>
      <c r="I854" s="5" t="s">
        <v>2104</v>
      </c>
      <c r="J854" s="12" t="str">
        <f>HYPERLINK("https://www.boe.es/gazeta/dias/1806/12/09/pdfs/GMD-1806-100.pdf#page=2","Abrir facsímil")</f>
        <v>Abrir facsímil</v>
      </c>
      <c r="K854" s="15" t="s">
        <v>22</v>
      </c>
    </row>
    <row r="855" spans="1:11" ht="42" customHeight="1">
      <c r="A855" s="4" t="s">
        <v>2105</v>
      </c>
      <c r="B855" s="5" t="s">
        <v>2105</v>
      </c>
      <c r="C855" s="5" t="s">
        <v>31</v>
      </c>
      <c r="D855" s="5" t="s">
        <v>32</v>
      </c>
      <c r="E855" s="5" t="s">
        <v>144</v>
      </c>
      <c r="F855" s="9">
        <v>79</v>
      </c>
      <c r="G855" s="9">
        <v>815</v>
      </c>
      <c r="H855" s="5" t="s">
        <v>20</v>
      </c>
      <c r="I855" s="5" t="s">
        <v>2106</v>
      </c>
      <c r="J855" s="12" t="str">
        <f>HYPERLINK("https://www.boe.es/gazeta/dias/1806/09/26/pdfs/GMD-1806-79.pdf#page=7","Abrir facsímil")</f>
        <v>Abrir facsímil</v>
      </c>
      <c r="K855" s="15" t="s">
        <v>22</v>
      </c>
    </row>
    <row r="856" spans="1:11" ht="42" customHeight="1">
      <c r="A856" s="4" t="s">
        <v>2107</v>
      </c>
      <c r="B856" s="5" t="s">
        <v>2107</v>
      </c>
      <c r="C856" s="5" t="s">
        <v>36</v>
      </c>
      <c r="D856" s="5" t="s">
        <v>37</v>
      </c>
      <c r="E856" s="5" t="s">
        <v>103</v>
      </c>
      <c r="F856" s="9">
        <v>61</v>
      </c>
      <c r="G856" s="9">
        <v>635</v>
      </c>
      <c r="H856" s="5" t="s">
        <v>20</v>
      </c>
      <c r="I856" s="5" t="s">
        <v>2108</v>
      </c>
      <c r="J856" s="12" t="str">
        <f>HYPERLINK("https://www.boe.es/gazeta/dias/1806/07/25/pdfs/GMD-1806-61.pdf#page=7","Abrir facsímil")</f>
        <v>Abrir facsímil</v>
      </c>
      <c r="K856" s="15" t="s">
        <v>22</v>
      </c>
    </row>
    <row r="857" spans="1:11" ht="42" customHeight="1">
      <c r="A857" s="4" t="s">
        <v>2109</v>
      </c>
      <c r="B857" s="5" t="s">
        <v>2110</v>
      </c>
      <c r="C857" s="5" t="s">
        <v>31</v>
      </c>
      <c r="D857" s="5" t="s">
        <v>32</v>
      </c>
      <c r="E857" s="5" t="s">
        <v>430</v>
      </c>
      <c r="F857" s="9">
        <v>12</v>
      </c>
      <c r="G857" s="9">
        <v>104</v>
      </c>
      <c r="H857" s="5" t="s">
        <v>20</v>
      </c>
      <c r="I857" s="5" t="s">
        <v>2111</v>
      </c>
      <c r="J857" s="12" t="str">
        <f>HYPERLINK("https://www.boe.es/gazeta/dias/1806/02/04/pdfs/GMD-1806-12.pdf#page=4","Abrir facsímil")</f>
        <v>Abrir facsímil</v>
      </c>
      <c r="K857" s="15" t="s">
        <v>22</v>
      </c>
    </row>
    <row r="858" spans="1:11" ht="42" customHeight="1">
      <c r="A858" s="4" t="s">
        <v>2112</v>
      </c>
      <c r="B858" s="5" t="s">
        <v>2113</v>
      </c>
      <c r="C858" s="5" t="s">
        <v>42</v>
      </c>
      <c r="D858" s="5" t="s">
        <v>43</v>
      </c>
      <c r="E858" s="5" t="s">
        <v>185</v>
      </c>
      <c r="F858" s="9">
        <v>46</v>
      </c>
      <c r="G858" s="9">
        <v>468</v>
      </c>
      <c r="H858" s="5" t="s">
        <v>20</v>
      </c>
      <c r="I858" s="5" t="s">
        <v>2114</v>
      </c>
      <c r="J858" s="12" t="str">
        <f>HYPERLINK("https://www.boe.es/gazeta/dias/1806/06/03/pdfs/GMD-1806-46.pdf#page=8","Abrir facsímil")</f>
        <v>Abrir facsímil</v>
      </c>
      <c r="K858" s="15" t="s">
        <v>22</v>
      </c>
    </row>
    <row r="859" spans="1:11" ht="42" customHeight="1">
      <c r="A859" s="4" t="s">
        <v>2115</v>
      </c>
      <c r="B859" s="5" t="s">
        <v>2115</v>
      </c>
      <c r="C859" s="5" t="s">
        <v>42</v>
      </c>
      <c r="D859" s="5" t="s">
        <v>43</v>
      </c>
      <c r="E859" s="5" t="s">
        <v>48</v>
      </c>
      <c r="F859" s="9">
        <v>67</v>
      </c>
      <c r="G859" s="9">
        <v>702</v>
      </c>
      <c r="H859" s="5" t="s">
        <v>20</v>
      </c>
      <c r="I859" s="5" t="s">
        <v>2116</v>
      </c>
      <c r="J859" s="12" t="str">
        <f>HYPERLINK("https://www.boe.es/gazeta/dias/1806/08/15/pdfs/GMD-1806-67.pdf#page=10","Abrir facsímil")</f>
        <v>Abrir facsímil</v>
      </c>
      <c r="K859" s="15" t="s">
        <v>22</v>
      </c>
    </row>
    <row r="860" spans="1:11" ht="42" customHeight="1">
      <c r="A860" s="4" t="s">
        <v>2117</v>
      </c>
      <c r="B860" s="5" t="s">
        <v>2118</v>
      </c>
      <c r="C860" s="5" t="s">
        <v>17</v>
      </c>
      <c r="D860" s="5" t="s">
        <v>18</v>
      </c>
      <c r="E860" s="5" t="s">
        <v>28</v>
      </c>
      <c r="F860" s="9">
        <v>102</v>
      </c>
      <c r="G860" s="9">
        <v>1087</v>
      </c>
      <c r="H860" s="5" t="s">
        <v>20</v>
      </c>
      <c r="I860" s="5" t="s">
        <v>2119</v>
      </c>
      <c r="J860" s="12" t="str">
        <f>HYPERLINK("https://www.boe.es/gazeta/dias/1806/12/16/pdfs/GMD-1806-102.pdf#page=11","Abrir facsímil")</f>
        <v>Abrir facsímil</v>
      </c>
      <c r="K860" s="15" t="s">
        <v>22</v>
      </c>
    </row>
    <row r="861" spans="1:11" ht="42" customHeight="1">
      <c r="A861" s="4" t="s">
        <v>2120</v>
      </c>
      <c r="B861" s="5" t="s">
        <v>2121</v>
      </c>
      <c r="C861" s="5" t="s">
        <v>31</v>
      </c>
      <c r="D861" s="5" t="s">
        <v>32</v>
      </c>
      <c r="E861" s="5" t="s">
        <v>90</v>
      </c>
      <c r="F861" s="9">
        <v>60</v>
      </c>
      <c r="G861" s="9">
        <v>623</v>
      </c>
      <c r="H861" s="5" t="s">
        <v>20</v>
      </c>
      <c r="I861" s="5" t="s">
        <v>2122</v>
      </c>
      <c r="J861" s="12" t="str">
        <f>HYPERLINK("https://www.boe.es/gazeta/dias/1806/07/22/pdfs/GMD-1806-60.pdf#page=7","Abrir facsímil")</f>
        <v>Abrir facsímil</v>
      </c>
      <c r="K861" s="15" t="s">
        <v>22</v>
      </c>
    </row>
    <row r="862" spans="1:11" ht="42" customHeight="1">
      <c r="A862" s="4" t="s">
        <v>2123</v>
      </c>
      <c r="B862" s="5" t="s">
        <v>2124</v>
      </c>
      <c r="C862" s="5" t="s">
        <v>42</v>
      </c>
      <c r="D862" s="5" t="s">
        <v>43</v>
      </c>
      <c r="E862" s="5" t="s">
        <v>124</v>
      </c>
      <c r="F862" s="9">
        <v>25</v>
      </c>
      <c r="G862" s="9">
        <v>245</v>
      </c>
      <c r="H862" s="5" t="s">
        <v>20</v>
      </c>
      <c r="I862" s="5" t="s">
        <v>2125</v>
      </c>
      <c r="J862" s="12" t="str">
        <f>HYPERLINK("https://www.boe.es/gazeta/dias/1806/03/21/pdfs/GMD-1806-25.pdf#page=9","Abrir facsímil")</f>
        <v>Abrir facsímil</v>
      </c>
      <c r="K862" s="15" t="s">
        <v>22</v>
      </c>
    </row>
    <row r="863" spans="1:11" ht="42" customHeight="1">
      <c r="A863" s="4" t="s">
        <v>2126</v>
      </c>
      <c r="B863" s="5" t="s">
        <v>2127</v>
      </c>
      <c r="C863" s="5" t="s">
        <v>31</v>
      </c>
      <c r="D863" s="5" t="s">
        <v>32</v>
      </c>
      <c r="E863" s="5" t="s">
        <v>38</v>
      </c>
      <c r="F863" s="9">
        <v>92</v>
      </c>
      <c r="G863" s="9">
        <v>957</v>
      </c>
      <c r="H863" s="5" t="s">
        <v>20</v>
      </c>
      <c r="I863" s="5" t="s">
        <v>2128</v>
      </c>
      <c r="J863" s="12" t="str">
        <f>HYPERLINK("https://www.boe.es/gazeta/dias/1806/11/11/pdfs/GMD-1806-92.pdf#page=9","Abrir facsímil")</f>
        <v>Abrir facsímil</v>
      </c>
      <c r="K863" s="15" t="s">
        <v>22</v>
      </c>
    </row>
    <row r="864" spans="1:11" ht="42" customHeight="1">
      <c r="A864" s="4" t="s">
        <v>2126</v>
      </c>
      <c r="B864" s="5" t="s">
        <v>2127</v>
      </c>
      <c r="C864" s="5" t="s">
        <v>31</v>
      </c>
      <c r="D864" s="5" t="s">
        <v>32</v>
      </c>
      <c r="E864" s="5" t="s">
        <v>657</v>
      </c>
      <c r="F864" s="9">
        <v>96</v>
      </c>
      <c r="G864" s="9">
        <v>1016</v>
      </c>
      <c r="H864" s="5" t="s">
        <v>20</v>
      </c>
      <c r="I864" s="5" t="s">
        <v>2129</v>
      </c>
      <c r="J864" s="12" t="str">
        <f>HYPERLINK("https://www.boe.es/gazeta/dias/1806/11/25/pdfs/GMD-1806-96.pdf#page=8","Abrir facsímil")</f>
        <v>Abrir facsímil</v>
      </c>
      <c r="K864" s="15" t="s">
        <v>22</v>
      </c>
    </row>
    <row r="865" spans="1:11" ht="42" customHeight="1">
      <c r="A865" s="4" t="s">
        <v>2130</v>
      </c>
      <c r="B865" s="5" t="s">
        <v>2131</v>
      </c>
      <c r="C865" s="5" t="s">
        <v>69</v>
      </c>
      <c r="D865" s="5" t="s">
        <v>70</v>
      </c>
      <c r="E865" s="5" t="s">
        <v>271</v>
      </c>
      <c r="F865" s="9">
        <v>6</v>
      </c>
      <c r="G865" s="9">
        <v>45</v>
      </c>
      <c r="H865" s="5" t="s">
        <v>20</v>
      </c>
      <c r="I865" s="5" t="s">
        <v>2132</v>
      </c>
      <c r="J865" s="12" t="str">
        <f>HYPERLINK("https://www.boe.es/gazeta/dias/1806/01/17/pdfs/GMD-1806-6.pdf#page=1","Abrir facsímil")</f>
        <v>Abrir facsímil</v>
      </c>
      <c r="K865" s="15" t="s">
        <v>22</v>
      </c>
    </row>
    <row r="866" spans="1:11" ht="42" customHeight="1">
      <c r="A866" s="4" t="s">
        <v>2130</v>
      </c>
      <c r="B866" s="5" t="s">
        <v>2131</v>
      </c>
      <c r="C866" s="5" t="s">
        <v>69</v>
      </c>
      <c r="D866" s="5" t="s">
        <v>70</v>
      </c>
      <c r="E866" s="5" t="s">
        <v>474</v>
      </c>
      <c r="F866" s="9">
        <v>10</v>
      </c>
      <c r="G866" s="9">
        <v>86</v>
      </c>
      <c r="H866" s="5" t="s">
        <v>20</v>
      </c>
      <c r="I866" s="5" t="s">
        <v>2133</v>
      </c>
      <c r="J866" s="12" t="str">
        <f>HYPERLINK("https://www.boe.es/gazeta/dias/1806/01/28/pdfs/GMD-1806-10.pdf#page=2","Abrir facsímil")</f>
        <v>Abrir facsímil</v>
      </c>
      <c r="K866" s="15" t="s">
        <v>22</v>
      </c>
    </row>
    <row r="867" spans="1:11" ht="42" customHeight="1">
      <c r="A867" s="4" t="s">
        <v>2130</v>
      </c>
      <c r="B867" s="5" t="s">
        <v>2131</v>
      </c>
      <c r="C867" s="5" t="s">
        <v>69</v>
      </c>
      <c r="D867" s="5" t="s">
        <v>70</v>
      </c>
      <c r="E867" s="5" t="s">
        <v>1568</v>
      </c>
      <c r="F867" s="9">
        <v>84</v>
      </c>
      <c r="G867" s="9">
        <v>865</v>
      </c>
      <c r="H867" s="5" t="s">
        <v>20</v>
      </c>
      <c r="I867" s="5" t="s">
        <v>2134</v>
      </c>
      <c r="J867" s="12" t="str">
        <f>HYPERLINK("https://www.boe.es/gazeta/dias/1806/10/14/pdfs/GMD-1806-84.pdf#page=1","Abrir facsímil")</f>
        <v>Abrir facsímil</v>
      </c>
      <c r="K867" s="15" t="s">
        <v>22</v>
      </c>
    </row>
    <row r="868" spans="1:11" ht="42" customHeight="1">
      <c r="A868" s="4" t="s">
        <v>2130</v>
      </c>
      <c r="B868" s="5" t="s">
        <v>2131</v>
      </c>
      <c r="C868" s="5" t="s">
        <v>69</v>
      </c>
      <c r="D868" s="5" t="s">
        <v>70</v>
      </c>
      <c r="E868" s="5" t="s">
        <v>1568</v>
      </c>
      <c r="F868" s="9">
        <v>84</v>
      </c>
      <c r="G868" s="9">
        <v>868</v>
      </c>
      <c r="H868" s="5" t="s">
        <v>20</v>
      </c>
      <c r="I868" s="5" t="s">
        <v>2135</v>
      </c>
      <c r="J868" s="12" t="str">
        <f>HYPERLINK("https://www.boe.es/gazeta/dias/1806/10/14/pdfs/GMD-1806-84.pdf#page=4","Abrir facsímil")</f>
        <v>Abrir facsímil</v>
      </c>
      <c r="K868" s="15" t="s">
        <v>22</v>
      </c>
    </row>
    <row r="869" spans="1:11" ht="42" customHeight="1">
      <c r="A869" s="4" t="s">
        <v>2130</v>
      </c>
      <c r="B869" s="5" t="s">
        <v>2131</v>
      </c>
      <c r="C869" s="5" t="s">
        <v>17</v>
      </c>
      <c r="D869" s="5" t="s">
        <v>18</v>
      </c>
      <c r="E869" s="5" t="s">
        <v>209</v>
      </c>
      <c r="F869" s="9">
        <v>95</v>
      </c>
      <c r="G869" s="9">
        <v>997</v>
      </c>
      <c r="H869" s="5" t="s">
        <v>20</v>
      </c>
      <c r="I869" s="5" t="s">
        <v>2136</v>
      </c>
      <c r="J869" s="12" t="str">
        <f>HYPERLINK("https://www.boe.es/gazeta/dias/1806/11/21/pdfs/GMD-1806-95.pdf#page=5","Abrir facsímil")</f>
        <v>Abrir facsímil</v>
      </c>
      <c r="K869" s="15" t="s">
        <v>22</v>
      </c>
    </row>
    <row r="870" spans="1:11" ht="42" customHeight="1">
      <c r="A870" s="4" t="s">
        <v>2130</v>
      </c>
      <c r="B870" s="5" t="s">
        <v>2131</v>
      </c>
      <c r="C870" s="5" t="s">
        <v>31</v>
      </c>
      <c r="D870" s="5" t="s">
        <v>32</v>
      </c>
      <c r="E870" s="5" t="s">
        <v>209</v>
      </c>
      <c r="F870" s="9">
        <v>95</v>
      </c>
      <c r="G870" s="9">
        <v>998</v>
      </c>
      <c r="H870" s="5" t="s">
        <v>20</v>
      </c>
      <c r="I870" s="5" t="s">
        <v>2137</v>
      </c>
      <c r="J870" s="12" t="str">
        <f>HYPERLINK("https://www.boe.es/gazeta/dias/1806/11/21/pdfs/GMD-1806-95.pdf#page=6","Abrir facsímil")</f>
        <v>Abrir facsímil</v>
      </c>
      <c r="K870" s="15" t="s">
        <v>22</v>
      </c>
    </row>
    <row r="871" spans="1:11" ht="42" customHeight="1">
      <c r="A871" s="4" t="s">
        <v>2130</v>
      </c>
      <c r="B871" s="5" t="s">
        <v>2131</v>
      </c>
      <c r="C871" s="5" t="s">
        <v>36</v>
      </c>
      <c r="D871" s="5" t="s">
        <v>37</v>
      </c>
      <c r="E871" s="5" t="s">
        <v>312</v>
      </c>
      <c r="F871" s="9">
        <v>100</v>
      </c>
      <c r="G871" s="9">
        <v>1058</v>
      </c>
      <c r="H871" s="5" t="s">
        <v>20</v>
      </c>
      <c r="I871" s="5" t="s">
        <v>2138</v>
      </c>
      <c r="J871" s="12" t="str">
        <f>HYPERLINK("https://www.boe.es/gazeta/dias/1806/12/09/pdfs/GMD-1806-100.pdf#page=2","Abrir facsímil")</f>
        <v>Abrir facsímil</v>
      </c>
      <c r="K871" s="15" t="s">
        <v>22</v>
      </c>
    </row>
    <row r="872" spans="1:11" ht="42" customHeight="1">
      <c r="A872" s="4" t="s">
        <v>2139</v>
      </c>
      <c r="B872" s="5" t="s">
        <v>2139</v>
      </c>
      <c r="C872" s="5" t="s">
        <v>42</v>
      </c>
      <c r="D872" s="5" t="s">
        <v>43</v>
      </c>
      <c r="E872" s="5" t="s">
        <v>191</v>
      </c>
      <c r="F872" s="9">
        <v>103</v>
      </c>
      <c r="G872" s="9">
        <v>1098</v>
      </c>
      <c r="H872" s="5" t="s">
        <v>20</v>
      </c>
      <c r="I872" s="5" t="s">
        <v>2140</v>
      </c>
      <c r="J872" s="12" t="str">
        <f>HYPERLINK("https://www.boe.es/gazeta/dias/1806/12/19/pdfs/GMD-1806-103.pdf#page=10","Abrir facsímil")</f>
        <v>Abrir facsímil</v>
      </c>
      <c r="K872" s="15" t="s">
        <v>22</v>
      </c>
    </row>
    <row r="873" spans="1:11" ht="42" customHeight="1">
      <c r="A873" s="4" t="s">
        <v>2141</v>
      </c>
      <c r="B873" s="5" t="s">
        <v>2142</v>
      </c>
      <c r="C873" s="5" t="s">
        <v>69</v>
      </c>
      <c r="D873" s="5" t="s">
        <v>70</v>
      </c>
      <c r="E873" s="5" t="s">
        <v>172</v>
      </c>
      <c r="F873" s="9">
        <v>17</v>
      </c>
      <c r="G873" s="9">
        <v>146</v>
      </c>
      <c r="H873" s="5" t="s">
        <v>20</v>
      </c>
      <c r="I873" s="5" t="s">
        <v>2143</v>
      </c>
      <c r="J873" s="12" t="str">
        <f>HYPERLINK("https://www.boe.es/gazeta/dias/1806/02/21/pdfs/GMD-1806-17.pdf#page=2","Abrir facsímil")</f>
        <v>Abrir facsímil</v>
      </c>
      <c r="K873" s="15" t="s">
        <v>22</v>
      </c>
    </row>
    <row r="874" spans="1:11" ht="42" customHeight="1">
      <c r="A874" s="4" t="s">
        <v>2144</v>
      </c>
      <c r="B874" s="5" t="s">
        <v>2145</v>
      </c>
      <c r="C874" s="5" t="s">
        <v>31</v>
      </c>
      <c r="D874" s="5" t="s">
        <v>32</v>
      </c>
      <c r="E874" s="5" t="s">
        <v>689</v>
      </c>
      <c r="F874" s="9">
        <v>37</v>
      </c>
      <c r="G874" s="9">
        <v>361</v>
      </c>
      <c r="H874" s="5" t="s">
        <v>20</v>
      </c>
      <c r="I874" s="5" t="s">
        <v>2146</v>
      </c>
      <c r="J874" s="12" t="str">
        <f>HYPERLINK("https://www.boe.es/gazeta/dias/1806/05/02/pdfs/GMD-1806-37.pdf#page=9","Abrir facsímil")</f>
        <v>Abrir facsímil</v>
      </c>
      <c r="K874" s="15" t="s">
        <v>22</v>
      </c>
    </row>
    <row r="875" spans="1:11" ht="42" customHeight="1">
      <c r="A875" s="4" t="s">
        <v>2147</v>
      </c>
      <c r="B875" s="5" t="s">
        <v>2147</v>
      </c>
      <c r="C875" s="5" t="s">
        <v>31</v>
      </c>
      <c r="D875" s="5" t="s">
        <v>32</v>
      </c>
      <c r="E875" s="5" t="s">
        <v>118</v>
      </c>
      <c r="F875" s="9">
        <v>15</v>
      </c>
      <c r="G875" s="9">
        <v>134</v>
      </c>
      <c r="H875" s="5" t="s">
        <v>20</v>
      </c>
      <c r="I875" s="5" t="s">
        <v>2148</v>
      </c>
      <c r="J875" s="12" t="str">
        <f>HYPERLINK("https://www.boe.es/gazeta/dias/1806/02/14/pdfs/GMD-1806-15.pdf#page=10","Abrir facsímil")</f>
        <v>Abrir facsímil</v>
      </c>
      <c r="K875" s="15" t="s">
        <v>22</v>
      </c>
    </row>
    <row r="876" spans="1:11" ht="42" customHeight="1">
      <c r="A876" s="4" t="s">
        <v>2149</v>
      </c>
      <c r="B876" s="5" t="s">
        <v>2150</v>
      </c>
      <c r="C876" s="5" t="s">
        <v>17</v>
      </c>
      <c r="D876" s="5" t="s">
        <v>18</v>
      </c>
      <c r="E876" s="5" t="s">
        <v>209</v>
      </c>
      <c r="F876" s="9">
        <v>95</v>
      </c>
      <c r="G876" s="9">
        <v>1001</v>
      </c>
      <c r="H876" s="5" t="s">
        <v>20</v>
      </c>
      <c r="I876" s="5" t="s">
        <v>2151</v>
      </c>
      <c r="J876" s="12" t="str">
        <f>HYPERLINK("https://www.boe.es/gazeta/dias/1806/11/21/pdfs/GMD-1806-95.pdf#page=9","Abrir facsímil")</f>
        <v>Abrir facsímil</v>
      </c>
      <c r="K876" s="15" t="s">
        <v>22</v>
      </c>
    </row>
    <row r="877" spans="1:11" ht="42" customHeight="1">
      <c r="A877" s="4" t="s">
        <v>2152</v>
      </c>
      <c r="B877" s="5" t="s">
        <v>2153</v>
      </c>
      <c r="C877" s="5" t="s">
        <v>31</v>
      </c>
      <c r="D877" s="5" t="s">
        <v>32</v>
      </c>
      <c r="E877" s="5" t="s">
        <v>55</v>
      </c>
      <c r="F877" s="9">
        <v>20</v>
      </c>
      <c r="G877" s="9">
        <v>184</v>
      </c>
      <c r="H877" s="5" t="s">
        <v>20</v>
      </c>
      <c r="I877" s="5" t="s">
        <v>2154</v>
      </c>
      <c r="J877" s="12" t="str">
        <f>HYPERLINK("https://www.boe.es/gazeta/dias/1806/03/04/pdfs/GMD-1806-20.pdf#page=8","Abrir facsímil")</f>
        <v>Abrir facsímil</v>
      </c>
      <c r="K877" s="15" t="s">
        <v>22</v>
      </c>
    </row>
    <row r="878" spans="1:11" ht="42" customHeight="1">
      <c r="A878" s="4" t="s">
        <v>2155</v>
      </c>
      <c r="B878" s="5" t="s">
        <v>2155</v>
      </c>
      <c r="C878" s="5" t="s">
        <v>31</v>
      </c>
      <c r="D878" s="5" t="s">
        <v>32</v>
      </c>
      <c r="E878" s="5" t="s">
        <v>144</v>
      </c>
      <c r="F878" s="9">
        <v>79</v>
      </c>
      <c r="G878" s="9">
        <v>818</v>
      </c>
      <c r="H878" s="5" t="s">
        <v>20</v>
      </c>
      <c r="I878" s="5" t="s">
        <v>2156</v>
      </c>
      <c r="J878" s="12" t="str">
        <f>HYPERLINK("https://www.boe.es/gazeta/dias/1806/09/26/pdfs/GMD-1806-79.pdf#page=10","Abrir facsímil")</f>
        <v>Abrir facsímil</v>
      </c>
      <c r="K878" s="15" t="s">
        <v>22</v>
      </c>
    </row>
    <row r="879" spans="1:11" ht="42" customHeight="1">
      <c r="A879" s="4" t="s">
        <v>2157</v>
      </c>
      <c r="B879" s="5" t="s">
        <v>2157</v>
      </c>
      <c r="C879" s="5" t="s">
        <v>75</v>
      </c>
      <c r="D879" s="5" t="s">
        <v>43</v>
      </c>
      <c r="E879" s="5" t="s">
        <v>306</v>
      </c>
      <c r="F879" s="9">
        <v>59</v>
      </c>
      <c r="G879" s="9">
        <v>613</v>
      </c>
      <c r="H879" s="5" t="s">
        <v>20</v>
      </c>
      <c r="I879" s="5" t="s">
        <v>2158</v>
      </c>
      <c r="J879" s="12" t="str">
        <f>HYPERLINK("https://www.boe.es/gazeta/dias/1806/07/18/pdfs/GMD-1806-59.pdf#page=9","Abrir facsímil")</f>
        <v>Abrir facsímil</v>
      </c>
      <c r="K879" s="15" t="s">
        <v>22</v>
      </c>
    </row>
    <row r="880" spans="1:11" ht="42" customHeight="1">
      <c r="A880" s="4" t="s">
        <v>2159</v>
      </c>
      <c r="B880" s="5" t="s">
        <v>2160</v>
      </c>
      <c r="C880" s="5" t="s">
        <v>31</v>
      </c>
      <c r="D880" s="5" t="s">
        <v>32</v>
      </c>
      <c r="E880" s="5" t="s">
        <v>297</v>
      </c>
      <c r="F880" s="9">
        <v>94</v>
      </c>
      <c r="G880" s="9">
        <v>989</v>
      </c>
      <c r="H880" s="5" t="s">
        <v>20</v>
      </c>
      <c r="I880" s="5" t="s">
        <v>2161</v>
      </c>
      <c r="J880" s="12" t="str">
        <f>HYPERLINK("https://www.boe.es/gazeta/dias/1806/11/18/pdfs/GMD-1806-94.pdf#page=9","Abrir facsímil")</f>
        <v>Abrir facsímil</v>
      </c>
      <c r="K880" s="15" t="s">
        <v>22</v>
      </c>
    </row>
    <row r="881" spans="1:11" ht="42" customHeight="1">
      <c r="A881" s="4" t="s">
        <v>2162</v>
      </c>
      <c r="B881" s="5" t="s">
        <v>2163</v>
      </c>
      <c r="C881" s="5" t="s">
        <v>36</v>
      </c>
      <c r="D881" s="5" t="s">
        <v>37</v>
      </c>
      <c r="E881" s="5" t="s">
        <v>1080</v>
      </c>
      <c r="F881" s="9">
        <v>49</v>
      </c>
      <c r="G881" s="9">
        <v>504</v>
      </c>
      <c r="H881" s="5" t="s">
        <v>20</v>
      </c>
      <c r="I881" s="5" t="s">
        <v>2164</v>
      </c>
      <c r="J881" s="12" t="str">
        <f>HYPERLINK("https://www.boe.es/gazeta/dias/1806/06/13/pdfs/GMD-1806-49.pdf#page=4","Abrir facsímil")</f>
        <v>Abrir facsímil</v>
      </c>
      <c r="K881" s="15" t="s">
        <v>22</v>
      </c>
    </row>
    <row r="882" spans="1:11" ht="42" customHeight="1">
      <c r="A882" s="4" t="s">
        <v>2165</v>
      </c>
      <c r="B882" s="5" t="s">
        <v>2166</v>
      </c>
      <c r="C882" s="5" t="s">
        <v>69</v>
      </c>
      <c r="D882" s="5" t="s">
        <v>70</v>
      </c>
      <c r="E882" s="5" t="s">
        <v>259</v>
      </c>
      <c r="F882" s="9">
        <v>34</v>
      </c>
      <c r="G882" s="9">
        <v>334</v>
      </c>
      <c r="H882" s="5" t="s">
        <v>20</v>
      </c>
      <c r="I882" s="5" t="s">
        <v>2167</v>
      </c>
      <c r="J882" s="12" t="str">
        <f>HYPERLINK("https://www.boe.es/gazeta/dias/1806/04/22/pdfs/GMD-1806-34.pdf#page=6","Abrir facsímil")</f>
        <v>Abrir facsímil</v>
      </c>
      <c r="K882" s="15" t="s">
        <v>22</v>
      </c>
    </row>
    <row r="883" spans="1:11" ht="42" customHeight="1">
      <c r="A883" s="4" t="s">
        <v>2168</v>
      </c>
      <c r="B883" s="5" t="s">
        <v>2169</v>
      </c>
      <c r="C883" s="5" t="s">
        <v>69</v>
      </c>
      <c r="D883" s="5" t="s">
        <v>70</v>
      </c>
      <c r="E883" s="5" t="s">
        <v>661</v>
      </c>
      <c r="F883" s="9">
        <v>38</v>
      </c>
      <c r="G883" s="9">
        <v>367</v>
      </c>
      <c r="H883" s="5" t="s">
        <v>20</v>
      </c>
      <c r="I883" s="5" t="s">
        <v>2170</v>
      </c>
      <c r="J883" s="12" t="str">
        <f>HYPERLINK("https://www.boe.es/gazeta/dias/1806/05/06/pdfs/GMD-1806-38.pdf#page=3","Abrir facsímil")</f>
        <v>Abrir facsímil</v>
      </c>
      <c r="K883" s="15" t="s">
        <v>22</v>
      </c>
    </row>
    <row r="884" spans="1:11" ht="42" customHeight="1">
      <c r="A884" s="4" t="s">
        <v>2171</v>
      </c>
      <c r="B884" s="5" t="s">
        <v>2172</v>
      </c>
      <c r="C884" s="5" t="s">
        <v>69</v>
      </c>
      <c r="D884" s="5" t="s">
        <v>70</v>
      </c>
      <c r="E884" s="5" t="s">
        <v>494</v>
      </c>
      <c r="F884" s="9">
        <v>69</v>
      </c>
      <c r="G884" s="9">
        <v>719</v>
      </c>
      <c r="H884" s="5" t="s">
        <v>20</v>
      </c>
      <c r="I884" s="5" t="s">
        <v>2173</v>
      </c>
      <c r="J884" s="12" t="str">
        <f>HYPERLINK("https://www.boe.es/gazeta/dias/1806/08/22/pdfs/GMD-1806-69.pdf#page=7","Abrir facsímil")</f>
        <v>Abrir facsímil</v>
      </c>
      <c r="K884" s="15" t="s">
        <v>22</v>
      </c>
    </row>
    <row r="885" spans="1:11" ht="42" customHeight="1">
      <c r="A885" s="4" t="s">
        <v>2174</v>
      </c>
      <c r="B885" s="5" t="s">
        <v>2175</v>
      </c>
      <c r="C885" s="5" t="s">
        <v>69</v>
      </c>
      <c r="D885" s="5" t="s">
        <v>70</v>
      </c>
      <c r="E885" s="5" t="s">
        <v>661</v>
      </c>
      <c r="F885" s="9">
        <v>38</v>
      </c>
      <c r="G885" s="9">
        <v>367</v>
      </c>
      <c r="H885" s="5" t="s">
        <v>20</v>
      </c>
      <c r="I885" s="5" t="s">
        <v>2176</v>
      </c>
      <c r="J885" s="12" t="str">
        <f>HYPERLINK("https://www.boe.es/gazeta/dias/1806/05/06/pdfs/GMD-1806-38.pdf#page=3","Abrir facsímil")</f>
        <v>Abrir facsímil</v>
      </c>
      <c r="K885" s="15" t="s">
        <v>22</v>
      </c>
    </row>
    <row r="886" spans="1:11" ht="42" customHeight="1">
      <c r="A886" s="4" t="s">
        <v>2174</v>
      </c>
      <c r="B886" s="5" t="s">
        <v>2175</v>
      </c>
      <c r="C886" s="5" t="s">
        <v>69</v>
      </c>
      <c r="D886" s="5" t="s">
        <v>70</v>
      </c>
      <c r="E886" s="5" t="s">
        <v>494</v>
      </c>
      <c r="F886" s="9">
        <v>69</v>
      </c>
      <c r="G886" s="9">
        <v>719</v>
      </c>
      <c r="H886" s="5" t="s">
        <v>20</v>
      </c>
      <c r="I886" s="5" t="s">
        <v>2177</v>
      </c>
      <c r="J886" s="12" t="str">
        <f>HYPERLINK("https://www.boe.es/gazeta/dias/1806/08/22/pdfs/GMD-1806-69.pdf#page=7","Abrir facsímil")</f>
        <v>Abrir facsímil</v>
      </c>
      <c r="K886" s="15" t="s">
        <v>22</v>
      </c>
    </row>
    <row r="887" spans="1:11" ht="42" customHeight="1">
      <c r="A887" s="4" t="s">
        <v>2174</v>
      </c>
      <c r="B887" s="5" t="s">
        <v>2175</v>
      </c>
      <c r="C887" s="5" t="s">
        <v>69</v>
      </c>
      <c r="D887" s="5" t="s">
        <v>70</v>
      </c>
      <c r="E887" s="5" t="s">
        <v>1005</v>
      </c>
      <c r="F887" s="9">
        <v>76</v>
      </c>
      <c r="G887" s="9">
        <v>783</v>
      </c>
      <c r="H887" s="5" t="s">
        <v>20</v>
      </c>
      <c r="I887" s="5" t="s">
        <v>2178</v>
      </c>
      <c r="J887" s="12" t="str">
        <f>HYPERLINK("https://www.boe.es/gazeta/dias/1806/09/16/pdfs/GMD-1806-76.pdf#page=3","Abrir facsímil")</f>
        <v>Abrir facsímil</v>
      </c>
      <c r="K887" s="15" t="s">
        <v>22</v>
      </c>
    </row>
    <row r="888" spans="1:11" ht="42" customHeight="1">
      <c r="A888" s="4" t="s">
        <v>2174</v>
      </c>
      <c r="B888" s="5" t="s">
        <v>2175</v>
      </c>
      <c r="C888" s="5" t="s">
        <v>69</v>
      </c>
      <c r="D888" s="5" t="s">
        <v>70</v>
      </c>
      <c r="E888" s="5" t="s">
        <v>1005</v>
      </c>
      <c r="F888" s="9">
        <v>76</v>
      </c>
      <c r="G888" s="9">
        <v>784</v>
      </c>
      <c r="H888" s="5" t="s">
        <v>20</v>
      </c>
      <c r="I888" s="5" t="s">
        <v>2179</v>
      </c>
      <c r="J888" s="12" t="str">
        <f>HYPERLINK("https://www.boe.es/gazeta/dias/1806/09/16/pdfs/GMD-1806-76.pdf#page=4","Abrir facsímil")</f>
        <v>Abrir facsímil</v>
      </c>
      <c r="K888" s="15" t="s">
        <v>22</v>
      </c>
    </row>
    <row r="889" spans="1:11" ht="42" customHeight="1">
      <c r="A889" s="4" t="s">
        <v>2174</v>
      </c>
      <c r="B889" s="5" t="s">
        <v>2175</v>
      </c>
      <c r="C889" s="5" t="s">
        <v>69</v>
      </c>
      <c r="D889" s="5" t="s">
        <v>70</v>
      </c>
      <c r="E889" s="5" t="s">
        <v>144</v>
      </c>
      <c r="F889" s="9">
        <v>79</v>
      </c>
      <c r="G889" s="9">
        <v>814</v>
      </c>
      <c r="H889" s="5" t="s">
        <v>20</v>
      </c>
      <c r="I889" s="5" t="s">
        <v>2180</v>
      </c>
      <c r="J889" s="12" t="str">
        <f>HYPERLINK("https://www.boe.es/gazeta/dias/1806/09/26/pdfs/GMD-1806-79.pdf#page=6","Abrir facsímil")</f>
        <v>Abrir facsímil</v>
      </c>
      <c r="K889" s="15" t="s">
        <v>22</v>
      </c>
    </row>
    <row r="890" spans="1:11" ht="42" customHeight="1">
      <c r="A890" s="4" t="s">
        <v>2174</v>
      </c>
      <c r="B890" s="5" t="s">
        <v>2175</v>
      </c>
      <c r="C890" s="5" t="s">
        <v>69</v>
      </c>
      <c r="D890" s="5" t="s">
        <v>70</v>
      </c>
      <c r="E890" s="5" t="s">
        <v>144</v>
      </c>
      <c r="F890" s="9">
        <v>79</v>
      </c>
      <c r="G890" s="9">
        <v>815</v>
      </c>
      <c r="H890" s="5" t="s">
        <v>20</v>
      </c>
      <c r="I890" s="5" t="s">
        <v>2181</v>
      </c>
      <c r="J890" s="12" t="str">
        <f>HYPERLINK("https://www.boe.es/gazeta/dias/1806/09/26/pdfs/GMD-1806-79.pdf#page=7","Abrir facsímil")</f>
        <v>Abrir facsímil</v>
      </c>
      <c r="K890" s="15" t="s">
        <v>22</v>
      </c>
    </row>
    <row r="891" spans="1:11" ht="42" customHeight="1">
      <c r="A891" s="4" t="s">
        <v>2174</v>
      </c>
      <c r="B891" s="5" t="s">
        <v>2175</v>
      </c>
      <c r="C891" s="5" t="s">
        <v>69</v>
      </c>
      <c r="D891" s="5" t="s">
        <v>70</v>
      </c>
      <c r="E891" s="5" t="s">
        <v>144</v>
      </c>
      <c r="F891" s="9">
        <v>79</v>
      </c>
      <c r="G891" s="9">
        <v>817</v>
      </c>
      <c r="H891" s="5" t="s">
        <v>20</v>
      </c>
      <c r="I891" s="5" t="s">
        <v>2182</v>
      </c>
      <c r="J891" s="12" t="str">
        <f>HYPERLINK("https://www.boe.es/gazeta/dias/1806/09/26/pdfs/GMD-1806-79.pdf#page=9","Abrir facsímil")</f>
        <v>Abrir facsímil</v>
      </c>
      <c r="K891" s="15" t="s">
        <v>22</v>
      </c>
    </row>
    <row r="892" spans="1:11" ht="42" customHeight="1">
      <c r="A892" s="4" t="s">
        <v>2174</v>
      </c>
      <c r="B892" s="5" t="s">
        <v>2175</v>
      </c>
      <c r="C892" s="5" t="s">
        <v>69</v>
      </c>
      <c r="D892" s="5" t="s">
        <v>70</v>
      </c>
      <c r="E892" s="5" t="s">
        <v>127</v>
      </c>
      <c r="F892" s="9">
        <v>81</v>
      </c>
      <c r="G892" s="9">
        <v>835</v>
      </c>
      <c r="H892" s="5" t="s">
        <v>20</v>
      </c>
      <c r="I892" s="5" t="s">
        <v>2183</v>
      </c>
      <c r="J892" s="12" t="str">
        <f>HYPERLINK("https://www.boe.es/gazeta/dias/1806/10/03/pdfs/GMD-1806-81.pdf#page=3","Abrir facsímil")</f>
        <v>Abrir facsímil</v>
      </c>
      <c r="K892" s="15" t="s">
        <v>22</v>
      </c>
    </row>
    <row r="893" spans="1:11" ht="42" customHeight="1">
      <c r="A893" s="4" t="s">
        <v>2184</v>
      </c>
      <c r="B893" s="5" t="s">
        <v>2185</v>
      </c>
      <c r="C893" s="5" t="s">
        <v>69</v>
      </c>
      <c r="D893" s="5" t="s">
        <v>70</v>
      </c>
      <c r="E893" s="5" t="s">
        <v>661</v>
      </c>
      <c r="F893" s="9">
        <v>38</v>
      </c>
      <c r="G893" s="9">
        <v>367</v>
      </c>
      <c r="H893" s="5" t="s">
        <v>20</v>
      </c>
      <c r="I893" s="5" t="s">
        <v>2186</v>
      </c>
      <c r="J893" s="12" t="str">
        <f>HYPERLINK("https://www.boe.es/gazeta/dias/1806/05/06/pdfs/GMD-1806-38.pdf#page=3","Abrir facsímil")</f>
        <v>Abrir facsímil</v>
      </c>
      <c r="K893" s="15" t="s">
        <v>22</v>
      </c>
    </row>
    <row r="894" spans="1:11" ht="42" customHeight="1">
      <c r="A894" s="4" t="s">
        <v>2187</v>
      </c>
      <c r="B894" s="5" t="s">
        <v>2188</v>
      </c>
      <c r="C894" s="5" t="s">
        <v>75</v>
      </c>
      <c r="D894" s="5" t="s">
        <v>43</v>
      </c>
      <c r="E894" s="5" t="s">
        <v>1005</v>
      </c>
      <c r="F894" s="9">
        <v>76</v>
      </c>
      <c r="G894" s="9">
        <v>784</v>
      </c>
      <c r="H894" s="5" t="s">
        <v>20</v>
      </c>
      <c r="I894" s="5" t="s">
        <v>2189</v>
      </c>
      <c r="J894" s="12" t="str">
        <f>HYPERLINK("https://www.boe.es/gazeta/dias/1806/09/16/pdfs/GMD-1806-76.pdf#page=4","Abrir facsímil")</f>
        <v>Abrir facsímil</v>
      </c>
      <c r="K894" s="15" t="s">
        <v>22</v>
      </c>
    </row>
    <row r="895" spans="1:11" ht="42" customHeight="1">
      <c r="A895" s="4" t="s">
        <v>2190</v>
      </c>
      <c r="B895" s="5" t="s">
        <v>2191</v>
      </c>
      <c r="C895" s="5" t="s">
        <v>69</v>
      </c>
      <c r="D895" s="5" t="s">
        <v>70</v>
      </c>
      <c r="E895" s="5" t="s">
        <v>55</v>
      </c>
      <c r="F895" s="9">
        <v>20</v>
      </c>
      <c r="G895" s="9">
        <v>181</v>
      </c>
      <c r="H895" s="5" t="s">
        <v>20</v>
      </c>
      <c r="I895" s="5" t="s">
        <v>2192</v>
      </c>
      <c r="J895" s="12" t="str">
        <f>HYPERLINK("https://www.boe.es/gazeta/dias/1806/03/04/pdfs/GMD-1806-20.pdf#page=5","Abrir facsímil")</f>
        <v>Abrir facsímil</v>
      </c>
      <c r="K895" s="15" t="s">
        <v>22</v>
      </c>
    </row>
    <row r="896" spans="1:11" ht="42" customHeight="1">
      <c r="A896" s="4" t="s">
        <v>2193</v>
      </c>
      <c r="B896" s="5" t="s">
        <v>2194</v>
      </c>
      <c r="C896" s="5" t="s">
        <v>69</v>
      </c>
      <c r="D896" s="5" t="s">
        <v>70</v>
      </c>
      <c r="E896" s="5" t="s">
        <v>434</v>
      </c>
      <c r="F896" s="9">
        <v>74</v>
      </c>
      <c r="G896" s="9">
        <v>763</v>
      </c>
      <c r="H896" s="5" t="s">
        <v>20</v>
      </c>
      <c r="I896" s="5" t="s">
        <v>2195</v>
      </c>
      <c r="J896" s="12" t="str">
        <f>HYPERLINK("https://www.boe.es/gazeta/dias/1806/09/09/pdfs/GMD-1806-74.pdf#page=3","Abrir facsímil")</f>
        <v>Abrir facsímil</v>
      </c>
      <c r="K896" s="15" t="s">
        <v>22</v>
      </c>
    </row>
    <row r="897" spans="1:11" ht="42" customHeight="1">
      <c r="A897" s="4" t="s">
        <v>2196</v>
      </c>
      <c r="B897" s="5" t="s">
        <v>2197</v>
      </c>
      <c r="C897" s="5" t="s">
        <v>69</v>
      </c>
      <c r="D897" s="5" t="s">
        <v>70</v>
      </c>
      <c r="E897" s="5" t="s">
        <v>55</v>
      </c>
      <c r="F897" s="9">
        <v>20</v>
      </c>
      <c r="G897" s="9">
        <v>181</v>
      </c>
      <c r="H897" s="5" t="s">
        <v>20</v>
      </c>
      <c r="I897" s="5" t="s">
        <v>2198</v>
      </c>
      <c r="J897" s="12" t="str">
        <f>HYPERLINK("https://www.boe.es/gazeta/dias/1806/03/04/pdfs/GMD-1806-20.pdf#page=5","Abrir facsímil")</f>
        <v>Abrir facsímil</v>
      </c>
      <c r="K897" s="15" t="s">
        <v>22</v>
      </c>
    </row>
    <row r="898" spans="1:11" ht="42" customHeight="1">
      <c r="A898" s="4" t="s">
        <v>2199</v>
      </c>
      <c r="B898" s="5" t="s">
        <v>2199</v>
      </c>
      <c r="C898" s="5" t="s">
        <v>31</v>
      </c>
      <c r="D898" s="5" t="s">
        <v>32</v>
      </c>
      <c r="E898" s="5" t="s">
        <v>494</v>
      </c>
      <c r="F898" s="9">
        <v>69</v>
      </c>
      <c r="G898" s="9">
        <v>720</v>
      </c>
      <c r="H898" s="5" t="s">
        <v>20</v>
      </c>
      <c r="I898" s="5" t="s">
        <v>2200</v>
      </c>
      <c r="J898" s="12" t="str">
        <f>HYPERLINK("https://www.boe.es/gazeta/dias/1806/08/22/pdfs/GMD-1806-69.pdf#page=8","Abrir facsímil")</f>
        <v>Abrir facsímil</v>
      </c>
      <c r="K898" s="15" t="s">
        <v>22</v>
      </c>
    </row>
    <row r="899" spans="1:11" ht="42" customHeight="1">
      <c r="A899" s="4" t="s">
        <v>2201</v>
      </c>
      <c r="B899" s="5" t="s">
        <v>2202</v>
      </c>
      <c r="C899" s="5" t="s">
        <v>31</v>
      </c>
      <c r="D899" s="5" t="s">
        <v>32</v>
      </c>
      <c r="E899" s="5" t="s">
        <v>181</v>
      </c>
      <c r="F899" s="9">
        <v>99</v>
      </c>
      <c r="G899" s="9">
        <v>1053</v>
      </c>
      <c r="H899" s="5" t="s">
        <v>20</v>
      </c>
      <c r="I899" s="5" t="s">
        <v>2203</v>
      </c>
      <c r="J899" s="12" t="str">
        <f>HYPERLINK("https://www.boe.es/gazeta/dias/1806/12/05/pdfs/GMD-1806-99.pdf#page=9","Abrir facsímil")</f>
        <v>Abrir facsímil</v>
      </c>
      <c r="K899" s="15" t="s">
        <v>22</v>
      </c>
    </row>
    <row r="900" spans="1:11" ht="42" customHeight="1">
      <c r="A900" s="4" t="s">
        <v>2204</v>
      </c>
      <c r="B900" s="5" t="s">
        <v>2205</v>
      </c>
      <c r="C900" s="5" t="s">
        <v>31</v>
      </c>
      <c r="D900" s="5" t="s">
        <v>32</v>
      </c>
      <c r="E900" s="5" t="s">
        <v>28</v>
      </c>
      <c r="F900" s="9">
        <v>102</v>
      </c>
      <c r="G900" s="9">
        <v>1085</v>
      </c>
      <c r="H900" s="5" t="s">
        <v>20</v>
      </c>
      <c r="I900" s="5" t="s">
        <v>2206</v>
      </c>
      <c r="J900" s="12" t="str">
        <f>HYPERLINK("https://www.boe.es/gazeta/dias/1806/12/16/pdfs/GMD-1806-102.pdf#page=9","Abrir facsímil")</f>
        <v>Abrir facsímil</v>
      </c>
      <c r="K900" s="15" t="s">
        <v>22</v>
      </c>
    </row>
    <row r="901" spans="1:11" ht="42" customHeight="1">
      <c r="A901" s="4" t="s">
        <v>2207</v>
      </c>
      <c r="B901" s="5" t="s">
        <v>2208</v>
      </c>
      <c r="C901" s="5" t="s">
        <v>31</v>
      </c>
      <c r="D901" s="5" t="s">
        <v>32</v>
      </c>
      <c r="E901" s="5" t="s">
        <v>837</v>
      </c>
      <c r="F901" s="9">
        <v>26</v>
      </c>
      <c r="G901" s="9">
        <v>258</v>
      </c>
      <c r="H901" s="5" t="s">
        <v>20</v>
      </c>
      <c r="I901" s="5" t="s">
        <v>2209</v>
      </c>
      <c r="J901" s="12" t="str">
        <f>HYPERLINK("https://www.boe.es/gazeta/dias/1806/03/25/pdfs/GMD-1806-26.pdf#page=10","Abrir facsímil")</f>
        <v>Abrir facsímil</v>
      </c>
      <c r="K901" s="15" t="s">
        <v>22</v>
      </c>
    </row>
    <row r="902" spans="1:11" ht="42" customHeight="1">
      <c r="A902" s="4" t="s">
        <v>2207</v>
      </c>
      <c r="B902" s="5" t="s">
        <v>2208</v>
      </c>
      <c r="C902" s="5" t="s">
        <v>31</v>
      </c>
      <c r="D902" s="5" t="s">
        <v>32</v>
      </c>
      <c r="E902" s="5" t="s">
        <v>178</v>
      </c>
      <c r="F902" s="9">
        <v>36</v>
      </c>
      <c r="G902" s="9">
        <v>352</v>
      </c>
      <c r="H902" s="5" t="s">
        <v>20</v>
      </c>
      <c r="I902" s="5" t="s">
        <v>2210</v>
      </c>
      <c r="J902" s="12" t="str">
        <f>HYPERLINK("https://www.boe.es/gazeta/dias/1806/04/29/pdfs/GMD-1806-36.pdf#page=8","Abrir facsímil")</f>
        <v>Abrir facsímil</v>
      </c>
      <c r="K902" s="15" t="s">
        <v>22</v>
      </c>
    </row>
    <row r="903" spans="1:11" ht="42" customHeight="1">
      <c r="A903" s="4" t="s">
        <v>2211</v>
      </c>
      <c r="B903" s="5" t="s">
        <v>2212</v>
      </c>
      <c r="C903" s="5" t="s">
        <v>69</v>
      </c>
      <c r="D903" s="5" t="s">
        <v>70</v>
      </c>
      <c r="E903" s="5" t="s">
        <v>121</v>
      </c>
      <c r="F903" s="9">
        <v>19</v>
      </c>
      <c r="G903" s="9">
        <v>170</v>
      </c>
      <c r="H903" s="5" t="s">
        <v>20</v>
      </c>
      <c r="I903" s="5" t="s">
        <v>2213</v>
      </c>
      <c r="J903" s="12" t="str">
        <f>HYPERLINK("https://www.boe.es/gazeta/dias/1806/02/28/pdfs/GMD-1806-19.pdf#page=6","Abrir facsímil")</f>
        <v>Abrir facsímil</v>
      </c>
      <c r="K903" s="15" t="s">
        <v>22</v>
      </c>
    </row>
    <row r="904" spans="1:11" ht="42" customHeight="1">
      <c r="A904" s="4" t="s">
        <v>2214</v>
      </c>
      <c r="B904" s="5" t="s">
        <v>2214</v>
      </c>
      <c r="C904" s="5" t="s">
        <v>17</v>
      </c>
      <c r="D904" s="5" t="s">
        <v>18</v>
      </c>
      <c r="E904" s="5" t="s">
        <v>55</v>
      </c>
      <c r="F904" s="9">
        <v>20</v>
      </c>
      <c r="G904" s="9">
        <v>187</v>
      </c>
      <c r="H904" s="5" t="s">
        <v>20</v>
      </c>
      <c r="I904" s="5" t="s">
        <v>2215</v>
      </c>
      <c r="J904" s="12" t="str">
        <f>HYPERLINK("https://www.boe.es/gazeta/dias/1806/03/04/pdfs/GMD-1806-20.pdf#page=11","Abrir facsímil")</f>
        <v>Abrir facsímil</v>
      </c>
      <c r="K904" s="15" t="s">
        <v>22</v>
      </c>
    </row>
    <row r="905" spans="1:11" ht="42" customHeight="1">
      <c r="A905" s="4" t="s">
        <v>2216</v>
      </c>
      <c r="B905" s="5" t="s">
        <v>2217</v>
      </c>
      <c r="C905" s="5" t="s">
        <v>31</v>
      </c>
      <c r="D905" s="5" t="s">
        <v>32</v>
      </c>
      <c r="E905" s="5" t="s">
        <v>400</v>
      </c>
      <c r="F905" s="9">
        <v>22</v>
      </c>
      <c r="G905" s="9">
        <v>204</v>
      </c>
      <c r="H905" s="5" t="s">
        <v>20</v>
      </c>
      <c r="I905" s="5" t="s">
        <v>2218</v>
      </c>
      <c r="J905" s="12" t="str">
        <f>HYPERLINK("https://www.boe.es/gazeta/dias/1806/03/11/pdfs/GMD-1806-22.pdf#page=4","Abrir facsímil")</f>
        <v>Abrir facsímil</v>
      </c>
      <c r="K905" s="15" t="s">
        <v>22</v>
      </c>
    </row>
    <row r="906" spans="1:11" ht="42" customHeight="1">
      <c r="A906" s="4" t="s">
        <v>2219</v>
      </c>
      <c r="B906" s="5" t="s">
        <v>2220</v>
      </c>
      <c r="C906" s="5" t="s">
        <v>69</v>
      </c>
      <c r="D906" s="5" t="s">
        <v>70</v>
      </c>
      <c r="E906" s="5" t="s">
        <v>304</v>
      </c>
      <c r="F906" s="9">
        <v>47</v>
      </c>
      <c r="G906" s="9">
        <v>476</v>
      </c>
      <c r="H906" s="5" t="s">
        <v>20</v>
      </c>
      <c r="I906" s="5" t="s">
        <v>2221</v>
      </c>
      <c r="J906" s="12" t="str">
        <f>HYPERLINK("https://www.boe.es/gazeta/dias/1806/06/06/pdfs/GMD-1806-47.pdf#page=4","Abrir facsímil")</f>
        <v>Abrir facsímil</v>
      </c>
      <c r="K906" s="15" t="s">
        <v>22</v>
      </c>
    </row>
    <row r="907" spans="1:11" ht="42" customHeight="1">
      <c r="A907" s="4" t="s">
        <v>2219</v>
      </c>
      <c r="B907" s="5" t="s">
        <v>2220</v>
      </c>
      <c r="C907" s="5" t="s">
        <v>69</v>
      </c>
      <c r="D907" s="5" t="s">
        <v>70</v>
      </c>
      <c r="E907" s="5" t="s">
        <v>191</v>
      </c>
      <c r="F907" s="9">
        <v>103</v>
      </c>
      <c r="G907" s="9">
        <v>1093</v>
      </c>
      <c r="H907" s="5" t="s">
        <v>20</v>
      </c>
      <c r="I907" s="5" t="s">
        <v>2222</v>
      </c>
      <c r="J907" s="12" t="str">
        <f>HYPERLINK("https://www.boe.es/gazeta/dias/1806/12/19/pdfs/GMD-1806-103.pdf#page=5","Abrir facsímil")</f>
        <v>Abrir facsímil</v>
      </c>
      <c r="K907" s="15" t="s">
        <v>22</v>
      </c>
    </row>
    <row r="908" spans="1:11" ht="42" customHeight="1">
      <c r="A908" s="4" t="s">
        <v>2223</v>
      </c>
      <c r="B908" s="5" t="s">
        <v>2223</v>
      </c>
      <c r="C908" s="5" t="s">
        <v>31</v>
      </c>
      <c r="D908" s="5" t="s">
        <v>32</v>
      </c>
      <c r="E908" s="5" t="s">
        <v>430</v>
      </c>
      <c r="F908" s="9">
        <v>12</v>
      </c>
      <c r="G908" s="9">
        <v>102</v>
      </c>
      <c r="H908" s="5" t="s">
        <v>20</v>
      </c>
      <c r="I908" s="5" t="s">
        <v>2224</v>
      </c>
      <c r="J908" s="12" t="str">
        <f>HYPERLINK("https://www.boe.es/gazeta/dias/1806/02/04/pdfs/GMD-1806-12.pdf#page=2","Abrir facsímil")</f>
        <v>Abrir facsímil</v>
      </c>
      <c r="K908" s="15" t="s">
        <v>22</v>
      </c>
    </row>
    <row r="909" spans="1:11" ht="42" customHeight="1">
      <c r="A909" s="4" t="s">
        <v>2225</v>
      </c>
      <c r="B909" s="5" t="s">
        <v>2226</v>
      </c>
      <c r="C909" s="5" t="s">
        <v>75</v>
      </c>
      <c r="D909" s="5" t="s">
        <v>43</v>
      </c>
      <c r="E909" s="5" t="s">
        <v>185</v>
      </c>
      <c r="F909" s="9">
        <v>46</v>
      </c>
      <c r="G909" s="9">
        <v>464</v>
      </c>
      <c r="H909" s="5" t="s">
        <v>20</v>
      </c>
      <c r="I909" s="5" t="s">
        <v>2227</v>
      </c>
      <c r="J909" s="12" t="str">
        <f>HYPERLINK("https://www.boe.es/gazeta/dias/1806/06/03/pdfs/GMD-1806-46.pdf#page=4","Abrir facsímil")</f>
        <v>Abrir facsímil</v>
      </c>
      <c r="K909" s="15" t="s">
        <v>22</v>
      </c>
    </row>
    <row r="910" spans="1:11" ht="42" customHeight="1">
      <c r="A910" s="4" t="s">
        <v>2228</v>
      </c>
      <c r="B910" s="5" t="s">
        <v>2228</v>
      </c>
      <c r="C910" s="5" t="s">
        <v>17</v>
      </c>
      <c r="D910" s="5" t="s">
        <v>18</v>
      </c>
      <c r="E910" s="5" t="s">
        <v>245</v>
      </c>
      <c r="F910" s="9">
        <v>106</v>
      </c>
      <c r="G910" s="9">
        <v>1124</v>
      </c>
      <c r="H910" s="5" t="s">
        <v>20</v>
      </c>
      <c r="I910" s="5" t="s">
        <v>2229</v>
      </c>
      <c r="J910" s="12" t="str">
        <f>HYPERLINK("https://www.boe.es/gazeta/dias/1806/12/26/pdfs/GMD-1806-106.pdf#page=8","Abrir facsímil")</f>
        <v>Abrir facsímil</v>
      </c>
      <c r="K910" s="15" t="s">
        <v>22</v>
      </c>
    </row>
    <row r="911" spans="1:11" ht="42" customHeight="1">
      <c r="A911" s="4" t="s">
        <v>2230</v>
      </c>
      <c r="B911" s="5" t="s">
        <v>2231</v>
      </c>
      <c r="C911" s="5" t="s">
        <v>17</v>
      </c>
      <c r="D911" s="5" t="s">
        <v>18</v>
      </c>
      <c r="E911" s="5" t="s">
        <v>209</v>
      </c>
      <c r="F911" s="9">
        <v>95</v>
      </c>
      <c r="G911" s="9">
        <v>1008</v>
      </c>
      <c r="H911" s="5" t="s">
        <v>20</v>
      </c>
      <c r="I911" s="5" t="s">
        <v>2232</v>
      </c>
      <c r="J911" s="12" t="str">
        <f>HYPERLINK("https://www.boe.es/gazeta/dias/1806/11/21/pdfs/GMD-1806-95.pdf#page=16","Abrir facsímil")</f>
        <v>Abrir facsímil</v>
      </c>
      <c r="K911" s="15" t="s">
        <v>22</v>
      </c>
    </row>
    <row r="912" spans="1:11" ht="42" customHeight="1">
      <c r="A912" s="4" t="s">
        <v>2233</v>
      </c>
      <c r="B912" s="5" t="s">
        <v>2234</v>
      </c>
      <c r="C912" s="5" t="s">
        <v>31</v>
      </c>
      <c r="D912" s="5" t="s">
        <v>32</v>
      </c>
      <c r="E912" s="5" t="s">
        <v>136</v>
      </c>
      <c r="F912" s="9">
        <v>50</v>
      </c>
      <c r="G912" s="9">
        <v>515</v>
      </c>
      <c r="H912" s="5" t="s">
        <v>20</v>
      </c>
      <c r="I912" s="5" t="s">
        <v>2235</v>
      </c>
      <c r="J912" s="12" t="str">
        <f>HYPERLINK("https://www.boe.es/gazeta/dias/1806/06/17/pdfs/GMD-1806-50.pdf#page=7","Abrir facsímil")</f>
        <v>Abrir facsímil</v>
      </c>
      <c r="K912" s="15" t="s">
        <v>22</v>
      </c>
    </row>
    <row r="913" spans="1:11" ht="42" customHeight="1">
      <c r="A913" s="4" t="s">
        <v>2236</v>
      </c>
      <c r="B913" s="5" t="s">
        <v>2236</v>
      </c>
      <c r="C913" s="5" t="s">
        <v>17</v>
      </c>
      <c r="D913" s="5" t="s">
        <v>18</v>
      </c>
      <c r="E913" s="5" t="s">
        <v>175</v>
      </c>
      <c r="F913" s="9">
        <v>40</v>
      </c>
      <c r="G913" s="9">
        <v>396</v>
      </c>
      <c r="H913" s="5" t="s">
        <v>20</v>
      </c>
      <c r="I913" s="5" t="s">
        <v>2237</v>
      </c>
      <c r="J913" s="12" t="str">
        <f>HYPERLINK("https://www.boe.es/gazeta/dias/1806/05/13/pdfs/GMD-1806-40.pdf#page=8","Abrir facsímil")</f>
        <v>Abrir facsímil</v>
      </c>
      <c r="K913" s="15" t="s">
        <v>22</v>
      </c>
    </row>
    <row r="914" spans="1:11" ht="42" customHeight="1">
      <c r="A914" s="4" t="s">
        <v>2236</v>
      </c>
      <c r="B914" s="5" t="s">
        <v>2236</v>
      </c>
      <c r="C914" s="5" t="s">
        <v>17</v>
      </c>
      <c r="D914" s="5" t="s">
        <v>18</v>
      </c>
      <c r="E914" s="5" t="s">
        <v>185</v>
      </c>
      <c r="F914" s="9">
        <v>46</v>
      </c>
      <c r="G914" s="9">
        <v>466</v>
      </c>
      <c r="H914" s="5" t="s">
        <v>20</v>
      </c>
      <c r="I914" s="5" t="s">
        <v>2238</v>
      </c>
      <c r="J914" s="12" t="str">
        <f>HYPERLINK("https://www.boe.es/gazeta/dias/1806/06/03/pdfs/GMD-1806-46.pdf#page=6","Abrir facsímil")</f>
        <v>Abrir facsímil</v>
      </c>
      <c r="K914" s="15" t="s">
        <v>22</v>
      </c>
    </row>
    <row r="915" spans="1:11" ht="42" customHeight="1">
      <c r="A915" s="4" t="s">
        <v>2236</v>
      </c>
      <c r="B915" s="5" t="s">
        <v>2236</v>
      </c>
      <c r="C915" s="5" t="s">
        <v>36</v>
      </c>
      <c r="D915" s="5" t="s">
        <v>37</v>
      </c>
      <c r="E915" s="5" t="s">
        <v>304</v>
      </c>
      <c r="F915" s="9">
        <v>47</v>
      </c>
      <c r="G915" s="9">
        <v>480</v>
      </c>
      <c r="H915" s="5" t="s">
        <v>20</v>
      </c>
      <c r="I915" s="5" t="s">
        <v>2239</v>
      </c>
      <c r="J915" s="12" t="str">
        <f>HYPERLINK("https://www.boe.es/gazeta/dias/1806/06/06/pdfs/GMD-1806-47.pdf#page=8","Abrir facsímil")</f>
        <v>Abrir facsímil</v>
      </c>
      <c r="K915" s="15" t="s">
        <v>22</v>
      </c>
    </row>
    <row r="916" spans="1:11" ht="42" customHeight="1">
      <c r="A916" s="4" t="s">
        <v>2236</v>
      </c>
      <c r="B916" s="5" t="s">
        <v>2236</v>
      </c>
      <c r="C916" s="5" t="s">
        <v>17</v>
      </c>
      <c r="D916" s="5" t="s">
        <v>18</v>
      </c>
      <c r="E916" s="5" t="s">
        <v>483</v>
      </c>
      <c r="F916" s="9">
        <v>58</v>
      </c>
      <c r="G916" s="9">
        <v>602</v>
      </c>
      <c r="H916" s="5" t="s">
        <v>20</v>
      </c>
      <c r="I916" s="5" t="s">
        <v>2240</v>
      </c>
      <c r="J916" s="12" t="str">
        <f>HYPERLINK("https://www.boe.es/gazeta/dias/1806/07/15/pdfs/GMD-1806-58.pdf#page=6","Abrir facsímil")</f>
        <v>Abrir facsímil</v>
      </c>
      <c r="K916" s="15" t="s">
        <v>22</v>
      </c>
    </row>
    <row r="917" spans="1:11" ht="42" customHeight="1">
      <c r="A917" s="4" t="s">
        <v>2241</v>
      </c>
      <c r="B917" s="5" t="s">
        <v>2241</v>
      </c>
      <c r="C917" s="5" t="s">
        <v>69</v>
      </c>
      <c r="D917" s="5" t="s">
        <v>70</v>
      </c>
      <c r="E917" s="5" t="s">
        <v>185</v>
      </c>
      <c r="F917" s="9">
        <v>46</v>
      </c>
      <c r="G917" s="9">
        <v>462</v>
      </c>
      <c r="H917" s="5" t="s">
        <v>20</v>
      </c>
      <c r="I917" s="5" t="s">
        <v>2242</v>
      </c>
      <c r="J917" s="12" t="str">
        <f>HYPERLINK("https://www.boe.es/gazeta/dias/1806/06/03/pdfs/GMD-1806-46.pdf#page=2","Abrir facsímil")</f>
        <v>Abrir facsímil</v>
      </c>
      <c r="K917" s="15" t="s">
        <v>22</v>
      </c>
    </row>
    <row r="918" spans="1:11" ht="42" customHeight="1">
      <c r="A918" s="4" t="s">
        <v>2243</v>
      </c>
      <c r="B918" s="5" t="s">
        <v>2243</v>
      </c>
      <c r="C918" s="5" t="s">
        <v>69</v>
      </c>
      <c r="D918" s="5" t="s">
        <v>70</v>
      </c>
      <c r="E918" s="5" t="s">
        <v>48</v>
      </c>
      <c r="F918" s="9">
        <v>67</v>
      </c>
      <c r="G918" s="9">
        <v>693</v>
      </c>
      <c r="H918" s="5" t="s">
        <v>20</v>
      </c>
      <c r="I918" s="5" t="s">
        <v>2244</v>
      </c>
      <c r="J918" s="12" t="str">
        <f>HYPERLINK("https://www.boe.es/gazeta/dias/1806/08/15/pdfs/GMD-1806-67.pdf#page=1","Abrir facsímil")</f>
        <v>Abrir facsímil</v>
      </c>
      <c r="K918" s="15" t="s">
        <v>22</v>
      </c>
    </row>
    <row r="919" spans="1:11" ht="42" customHeight="1">
      <c r="A919" s="4" t="s">
        <v>2245</v>
      </c>
      <c r="B919" s="5" t="s">
        <v>2245</v>
      </c>
      <c r="C919" s="5" t="s">
        <v>17</v>
      </c>
      <c r="D919" s="5" t="s">
        <v>18</v>
      </c>
      <c r="E919" s="5" t="s">
        <v>79</v>
      </c>
      <c r="F919" s="9">
        <v>68</v>
      </c>
      <c r="G919" s="9">
        <v>710</v>
      </c>
      <c r="H919" s="5" t="s">
        <v>20</v>
      </c>
      <c r="I919" s="5" t="s">
        <v>2246</v>
      </c>
      <c r="J919" s="12" t="str">
        <f>HYPERLINK("https://www.boe.es/gazeta/dias/1806/08/19/pdfs/GMD-1806-68.pdf#page=6","Abrir facsímil")</f>
        <v>Abrir facsímil</v>
      </c>
      <c r="K919" s="15" t="s">
        <v>22</v>
      </c>
    </row>
    <row r="920" spans="1:11" ht="42" customHeight="1">
      <c r="A920" s="4" t="s">
        <v>2247</v>
      </c>
      <c r="B920" s="5" t="s">
        <v>2247</v>
      </c>
      <c r="C920" s="5" t="s">
        <v>69</v>
      </c>
      <c r="D920" s="5" t="s">
        <v>70</v>
      </c>
      <c r="E920" s="5" t="s">
        <v>661</v>
      </c>
      <c r="F920" s="9">
        <v>38</v>
      </c>
      <c r="G920" s="9">
        <v>367</v>
      </c>
      <c r="H920" s="5" t="s">
        <v>20</v>
      </c>
      <c r="I920" s="5" t="s">
        <v>2248</v>
      </c>
      <c r="J920" s="12" t="str">
        <f>HYPERLINK("https://www.boe.es/gazeta/dias/1806/05/06/pdfs/GMD-1806-38.pdf#page=3","Abrir facsímil")</f>
        <v>Abrir facsímil</v>
      </c>
      <c r="K920" s="15" t="s">
        <v>22</v>
      </c>
    </row>
    <row r="921" spans="1:11" ht="42" customHeight="1">
      <c r="A921" s="4" t="s">
        <v>2249</v>
      </c>
      <c r="B921" s="5" t="s">
        <v>2249</v>
      </c>
      <c r="C921" s="5" t="s">
        <v>17</v>
      </c>
      <c r="D921" s="5" t="s">
        <v>18</v>
      </c>
      <c r="E921" s="5" t="s">
        <v>780</v>
      </c>
      <c r="F921" s="9">
        <v>33</v>
      </c>
      <c r="G921" s="9">
        <v>325</v>
      </c>
      <c r="H921" s="5" t="s">
        <v>20</v>
      </c>
      <c r="I921" s="5" t="s">
        <v>2250</v>
      </c>
      <c r="J921" s="12" t="str">
        <f>HYPERLINK("https://www.boe.es/gazeta/dias/1806/04/18/pdfs/GMD-1806-33.pdf#page=5","Abrir facsímil")</f>
        <v>Abrir facsímil</v>
      </c>
      <c r="K921" s="15" t="s">
        <v>22</v>
      </c>
    </row>
    <row r="922" spans="1:11" ht="42" customHeight="1">
      <c r="A922" s="4" t="s">
        <v>2251</v>
      </c>
      <c r="B922" s="5" t="s">
        <v>2251</v>
      </c>
      <c r="C922" s="5" t="s">
        <v>69</v>
      </c>
      <c r="D922" s="5" t="s">
        <v>70</v>
      </c>
      <c r="E922" s="5" t="s">
        <v>51</v>
      </c>
      <c r="F922" s="9">
        <v>44</v>
      </c>
      <c r="G922" s="9">
        <v>438</v>
      </c>
      <c r="H922" s="5" t="s">
        <v>20</v>
      </c>
      <c r="I922" s="5" t="s">
        <v>2252</v>
      </c>
      <c r="J922" s="12" t="str">
        <f>HYPERLINK("https://www.boe.es/gazeta/dias/1806/05/27/pdfs/GMD-1806-44.pdf#page=2","Abrir facsímil")</f>
        <v>Abrir facsímil</v>
      </c>
      <c r="K922" s="15" t="s">
        <v>22</v>
      </c>
    </row>
    <row r="923" spans="1:11" ht="42" customHeight="1">
      <c r="A923" s="4" t="s">
        <v>2251</v>
      </c>
      <c r="B923" s="5" t="s">
        <v>2251</v>
      </c>
      <c r="C923" s="5" t="s">
        <v>69</v>
      </c>
      <c r="D923" s="5" t="s">
        <v>70</v>
      </c>
      <c r="E923" s="5" t="s">
        <v>51</v>
      </c>
      <c r="F923" s="9">
        <v>44</v>
      </c>
      <c r="G923" s="9">
        <v>439</v>
      </c>
      <c r="H923" s="5" t="s">
        <v>20</v>
      </c>
      <c r="I923" s="5" t="s">
        <v>2253</v>
      </c>
      <c r="J923" s="12" t="str">
        <f>HYPERLINK("https://www.boe.es/gazeta/dias/1806/05/27/pdfs/GMD-1806-44.pdf#page=3","Abrir facsímil")</f>
        <v>Abrir facsímil</v>
      </c>
      <c r="K923" s="15" t="s">
        <v>22</v>
      </c>
    </row>
    <row r="924" spans="1:11" ht="42" customHeight="1">
      <c r="A924" s="4" t="s">
        <v>2251</v>
      </c>
      <c r="B924" s="5" t="s">
        <v>2251</v>
      </c>
      <c r="C924" s="5" t="s">
        <v>17</v>
      </c>
      <c r="D924" s="5" t="s">
        <v>18</v>
      </c>
      <c r="E924" s="5" t="s">
        <v>103</v>
      </c>
      <c r="F924" s="9">
        <v>61</v>
      </c>
      <c r="G924" s="9">
        <v>637</v>
      </c>
      <c r="H924" s="5" t="s">
        <v>20</v>
      </c>
      <c r="I924" s="5" t="s">
        <v>2254</v>
      </c>
      <c r="J924" s="12" t="str">
        <f>HYPERLINK("https://www.boe.es/gazeta/dias/1806/07/25/pdfs/GMD-1806-61.pdf#page=9","Abrir facsímil")</f>
        <v>Abrir facsímil</v>
      </c>
      <c r="K924" s="15" t="s">
        <v>22</v>
      </c>
    </row>
    <row r="925" spans="1:11" ht="42" customHeight="1">
      <c r="A925" s="4" t="s">
        <v>2255</v>
      </c>
      <c r="B925" s="5" t="s">
        <v>2255</v>
      </c>
      <c r="C925" s="5" t="s">
        <v>69</v>
      </c>
      <c r="D925" s="5" t="s">
        <v>70</v>
      </c>
      <c r="E925" s="5" t="s">
        <v>438</v>
      </c>
      <c r="F925" s="9">
        <v>70</v>
      </c>
      <c r="G925" s="9">
        <v>727</v>
      </c>
      <c r="H925" s="5" t="s">
        <v>20</v>
      </c>
      <c r="I925" s="5" t="s">
        <v>2256</v>
      </c>
      <c r="J925" s="12" t="str">
        <f>HYPERLINK("https://www.boe.es/gazeta/dias/1806/08/26/pdfs/GMD-1806-70.pdf#page=3","Abrir facsímil")</f>
        <v>Abrir facsímil</v>
      </c>
      <c r="K925" s="15" t="s">
        <v>22</v>
      </c>
    </row>
    <row r="926" spans="1:11" ht="42" customHeight="1">
      <c r="A926" s="4" t="s">
        <v>2255</v>
      </c>
      <c r="B926" s="5" t="s">
        <v>2255</v>
      </c>
      <c r="C926" s="5" t="s">
        <v>69</v>
      </c>
      <c r="D926" s="5" t="s">
        <v>70</v>
      </c>
      <c r="E926" s="5" t="s">
        <v>144</v>
      </c>
      <c r="F926" s="9">
        <v>79</v>
      </c>
      <c r="G926" s="9">
        <v>810</v>
      </c>
      <c r="H926" s="5" t="s">
        <v>20</v>
      </c>
      <c r="I926" s="5" t="s">
        <v>2257</v>
      </c>
      <c r="J926" s="12" t="str">
        <f>HYPERLINK("https://www.boe.es/gazeta/dias/1806/09/26/pdfs/GMD-1806-79.pdf#page=2","Abrir facsímil")</f>
        <v>Abrir facsímil</v>
      </c>
      <c r="K926" s="15" t="s">
        <v>22</v>
      </c>
    </row>
    <row r="927" spans="1:11" ht="42" customHeight="1">
      <c r="A927" s="4" t="s">
        <v>2258</v>
      </c>
      <c r="B927" s="5" t="s">
        <v>2258</v>
      </c>
      <c r="C927" s="5" t="s">
        <v>69</v>
      </c>
      <c r="D927" s="5" t="s">
        <v>70</v>
      </c>
      <c r="E927" s="5" t="s">
        <v>136</v>
      </c>
      <c r="F927" s="9">
        <v>50</v>
      </c>
      <c r="G927" s="9">
        <v>511</v>
      </c>
      <c r="H927" s="5" t="s">
        <v>20</v>
      </c>
      <c r="I927" s="5" t="s">
        <v>2259</v>
      </c>
      <c r="J927" s="12" t="str">
        <f>HYPERLINK("https://www.boe.es/gazeta/dias/1806/06/17/pdfs/GMD-1806-50.pdf#page=3","Abrir facsímil")</f>
        <v>Abrir facsímil</v>
      </c>
      <c r="K927" s="15" t="s">
        <v>22</v>
      </c>
    </row>
    <row r="928" spans="1:11" ht="42" customHeight="1">
      <c r="A928" s="4" t="s">
        <v>2258</v>
      </c>
      <c r="B928" s="5" t="s">
        <v>2258</v>
      </c>
      <c r="C928" s="5" t="s">
        <v>69</v>
      </c>
      <c r="D928" s="5" t="s">
        <v>70</v>
      </c>
      <c r="E928" s="5" t="s">
        <v>86</v>
      </c>
      <c r="F928" s="9">
        <v>53</v>
      </c>
      <c r="G928" s="9">
        <v>548</v>
      </c>
      <c r="H928" s="5" t="s">
        <v>20</v>
      </c>
      <c r="I928" s="5" t="s">
        <v>2260</v>
      </c>
      <c r="J928" s="12" t="str">
        <f>HYPERLINK("https://www.boe.es/gazeta/dias/1806/06/27/pdfs/GMD-1806-53.pdf#page=4","Abrir facsímil")</f>
        <v>Abrir facsímil</v>
      </c>
      <c r="K928" s="15" t="s">
        <v>22</v>
      </c>
    </row>
    <row r="929" spans="1:11" ht="42" customHeight="1">
      <c r="A929" s="4" t="s">
        <v>2261</v>
      </c>
      <c r="B929" s="5" t="s">
        <v>2261</v>
      </c>
      <c r="C929" s="5" t="s">
        <v>69</v>
      </c>
      <c r="D929" s="5" t="s">
        <v>70</v>
      </c>
      <c r="E929" s="5" t="s">
        <v>185</v>
      </c>
      <c r="F929" s="9">
        <v>46</v>
      </c>
      <c r="G929" s="9">
        <v>462</v>
      </c>
      <c r="H929" s="5" t="s">
        <v>20</v>
      </c>
      <c r="I929" s="5" t="s">
        <v>2242</v>
      </c>
      <c r="J929" s="12" t="str">
        <f>HYPERLINK("https://www.boe.es/gazeta/dias/1806/06/03/pdfs/GMD-1806-46.pdf#page=2","Abrir facsímil")</f>
        <v>Abrir facsímil</v>
      </c>
      <c r="K929" s="15" t="s">
        <v>22</v>
      </c>
    </row>
    <row r="930" spans="1:11" ht="42" customHeight="1">
      <c r="A930" s="4" t="s">
        <v>2262</v>
      </c>
      <c r="B930" s="5" t="s">
        <v>2263</v>
      </c>
      <c r="C930" s="5" t="s">
        <v>69</v>
      </c>
      <c r="D930" s="5" t="s">
        <v>70</v>
      </c>
      <c r="E930" s="5" t="s">
        <v>28</v>
      </c>
      <c r="F930" s="9">
        <v>102</v>
      </c>
      <c r="G930" s="9">
        <v>1080</v>
      </c>
      <c r="H930" s="5" t="s">
        <v>20</v>
      </c>
      <c r="I930" s="5" t="s">
        <v>2264</v>
      </c>
      <c r="J930" s="12" t="str">
        <f>HYPERLINK("https://www.boe.es/gazeta/dias/1806/12/16/pdfs/GMD-1806-102.pdf#page=4","Abrir facsímil")</f>
        <v>Abrir facsímil</v>
      </c>
      <c r="K930" s="15" t="s">
        <v>22</v>
      </c>
    </row>
    <row r="931" spans="1:11" ht="42" customHeight="1">
      <c r="A931" s="4" t="s">
        <v>2265</v>
      </c>
      <c r="B931" s="5" t="s">
        <v>2266</v>
      </c>
      <c r="C931" s="5" t="s">
        <v>31</v>
      </c>
      <c r="D931" s="5" t="s">
        <v>32</v>
      </c>
      <c r="E931" s="5" t="s">
        <v>71</v>
      </c>
      <c r="F931" s="9">
        <v>29</v>
      </c>
      <c r="G931" s="9">
        <v>282</v>
      </c>
      <c r="H931" s="5" t="s">
        <v>20</v>
      </c>
      <c r="I931" s="5" t="s">
        <v>2267</v>
      </c>
      <c r="J931" s="12" t="str">
        <f>HYPERLINK("https://www.boe.es/gazeta/dias/1806/04/04/pdfs/GMD-1806-29.pdf#page=2","Abrir facsímil")</f>
        <v>Abrir facsímil</v>
      </c>
      <c r="K931" s="15" t="s">
        <v>22</v>
      </c>
    </row>
    <row r="932" spans="1:11" ht="42" customHeight="1">
      <c r="A932" s="4" t="s">
        <v>2268</v>
      </c>
      <c r="B932" s="5" t="s">
        <v>2268</v>
      </c>
      <c r="C932" s="5" t="s">
        <v>17</v>
      </c>
      <c r="D932" s="5" t="s">
        <v>18</v>
      </c>
      <c r="E932" s="5" t="s">
        <v>580</v>
      </c>
      <c r="F932" s="9">
        <v>23</v>
      </c>
      <c r="G932" s="9">
        <v>218</v>
      </c>
      <c r="H932" s="5" t="s">
        <v>20</v>
      </c>
      <c r="I932" s="5" t="s">
        <v>2269</v>
      </c>
      <c r="J932" s="12" t="str">
        <f>HYPERLINK("https://www.boe.es/gazeta/dias/1806/03/14/pdfs/GMD-1806-23.pdf#page=6","Abrir facsímil")</f>
        <v>Abrir facsímil</v>
      </c>
      <c r="K932" s="15" t="s">
        <v>22</v>
      </c>
    </row>
    <row r="933" spans="1:11" ht="42" customHeight="1">
      <c r="A933" s="4" t="s">
        <v>2270</v>
      </c>
      <c r="B933" s="5" t="s">
        <v>2271</v>
      </c>
      <c r="C933" s="5" t="s">
        <v>31</v>
      </c>
      <c r="D933" s="5" t="s">
        <v>32</v>
      </c>
      <c r="E933" s="5" t="s">
        <v>580</v>
      </c>
      <c r="F933" s="9">
        <v>23</v>
      </c>
      <c r="G933" s="9">
        <v>220</v>
      </c>
      <c r="H933" s="5" t="s">
        <v>20</v>
      </c>
      <c r="I933" s="5" t="s">
        <v>2272</v>
      </c>
      <c r="J933" s="12" t="str">
        <f>HYPERLINK("https://www.boe.es/gazeta/dias/1806/03/14/pdfs/GMD-1806-23.pdf#page=8","Abrir facsímil")</f>
        <v>Abrir facsímil</v>
      </c>
      <c r="K933" s="15" t="s">
        <v>22</v>
      </c>
    </row>
    <row r="934" spans="1:11" ht="42" customHeight="1">
      <c r="A934" s="4" t="s">
        <v>2270</v>
      </c>
      <c r="B934" s="5" t="s">
        <v>2271</v>
      </c>
      <c r="C934" s="5" t="s">
        <v>31</v>
      </c>
      <c r="D934" s="5" t="s">
        <v>32</v>
      </c>
      <c r="E934" s="5" t="s">
        <v>140</v>
      </c>
      <c r="F934" s="9">
        <v>83</v>
      </c>
      <c r="G934" s="9">
        <v>859</v>
      </c>
      <c r="H934" s="5" t="s">
        <v>20</v>
      </c>
      <c r="I934" s="5" t="s">
        <v>2273</v>
      </c>
      <c r="J934" s="12" t="str">
        <f>HYPERLINK("https://www.boe.es/gazeta/dias/1806/10/10/pdfs/GMD-1806-83.pdf#page=7","Abrir facsímil")</f>
        <v>Abrir facsímil</v>
      </c>
      <c r="K934" s="15" t="s">
        <v>22</v>
      </c>
    </row>
    <row r="935" spans="1:11" ht="42" customHeight="1">
      <c r="A935" s="4" t="s">
        <v>2274</v>
      </c>
      <c r="B935" s="5" t="s">
        <v>2275</v>
      </c>
      <c r="C935" s="5" t="s">
        <v>31</v>
      </c>
      <c r="D935" s="5" t="s">
        <v>32</v>
      </c>
      <c r="E935" s="5" t="s">
        <v>121</v>
      </c>
      <c r="F935" s="9">
        <v>19</v>
      </c>
      <c r="G935" s="9">
        <v>171</v>
      </c>
      <c r="H935" s="5" t="s">
        <v>20</v>
      </c>
      <c r="I935" s="5" t="s">
        <v>2276</v>
      </c>
      <c r="J935" s="12" t="str">
        <f>HYPERLINK("https://www.boe.es/gazeta/dias/1806/02/28/pdfs/GMD-1806-19.pdf#page=7","Abrir facsímil")</f>
        <v>Abrir facsímil</v>
      </c>
      <c r="K935" s="15" t="s">
        <v>22</v>
      </c>
    </row>
    <row r="936" spans="1:11" ht="42" customHeight="1">
      <c r="A936" s="4" t="s">
        <v>2277</v>
      </c>
      <c r="B936" s="5" t="s">
        <v>2277</v>
      </c>
      <c r="C936" s="5" t="s">
        <v>69</v>
      </c>
      <c r="D936" s="5" t="s">
        <v>70</v>
      </c>
      <c r="E936" s="5" t="s">
        <v>780</v>
      </c>
      <c r="F936" s="9">
        <v>33</v>
      </c>
      <c r="G936" s="9">
        <v>322</v>
      </c>
      <c r="H936" s="5" t="s">
        <v>20</v>
      </c>
      <c r="I936" s="5" t="s">
        <v>2278</v>
      </c>
      <c r="J936" s="12" t="str">
        <f>HYPERLINK("https://www.boe.es/gazeta/dias/1806/04/18/pdfs/GMD-1806-33.pdf#page=2","Abrir facsímil")</f>
        <v>Abrir facsímil</v>
      </c>
      <c r="K936" s="15" t="s">
        <v>22</v>
      </c>
    </row>
    <row r="937" spans="1:11" ht="42" customHeight="1">
      <c r="A937" s="4" t="s">
        <v>2279</v>
      </c>
      <c r="B937" s="5" t="s">
        <v>2280</v>
      </c>
      <c r="C937" s="5" t="s">
        <v>31</v>
      </c>
      <c r="D937" s="5" t="s">
        <v>32</v>
      </c>
      <c r="E937" s="5" t="s">
        <v>438</v>
      </c>
      <c r="F937" s="9">
        <v>70</v>
      </c>
      <c r="G937" s="9">
        <v>727</v>
      </c>
      <c r="H937" s="5" t="s">
        <v>20</v>
      </c>
      <c r="I937" s="5" t="s">
        <v>2281</v>
      </c>
      <c r="J937" s="12" t="str">
        <f>HYPERLINK("https://www.boe.es/gazeta/dias/1806/08/26/pdfs/GMD-1806-70.pdf#page=3","Abrir facsímil")</f>
        <v>Abrir facsímil</v>
      </c>
      <c r="K937" s="15" t="s">
        <v>22</v>
      </c>
    </row>
    <row r="938" spans="1:11" ht="42" customHeight="1">
      <c r="A938" s="4" t="s">
        <v>2282</v>
      </c>
      <c r="B938" s="5" t="s">
        <v>2283</v>
      </c>
      <c r="C938" s="5" t="s">
        <v>31</v>
      </c>
      <c r="D938" s="5" t="s">
        <v>32</v>
      </c>
      <c r="E938" s="5" t="s">
        <v>110</v>
      </c>
      <c r="F938" s="9">
        <v>55</v>
      </c>
      <c r="G938" s="9">
        <v>568</v>
      </c>
      <c r="H938" s="5" t="s">
        <v>20</v>
      </c>
      <c r="I938" s="5" t="s">
        <v>2284</v>
      </c>
      <c r="J938" s="12" t="str">
        <f>HYPERLINK("https://www.boe.es/gazeta/dias/1806/07/04/pdfs/GMD-1806-55.pdf#page=4","Abrir facsímil")</f>
        <v>Abrir facsímil</v>
      </c>
      <c r="K938" s="15" t="s">
        <v>22</v>
      </c>
    </row>
    <row r="939" spans="1:11" ht="42" customHeight="1">
      <c r="A939" s="4" t="s">
        <v>2285</v>
      </c>
      <c r="B939" s="5" t="s">
        <v>2286</v>
      </c>
      <c r="C939" s="5" t="s">
        <v>75</v>
      </c>
      <c r="D939" s="5" t="s">
        <v>43</v>
      </c>
      <c r="E939" s="5" t="s">
        <v>220</v>
      </c>
      <c r="F939" s="9">
        <v>24</v>
      </c>
      <c r="G939" s="9">
        <v>225</v>
      </c>
      <c r="H939" s="5" t="s">
        <v>20</v>
      </c>
      <c r="I939" s="5" t="s">
        <v>2287</v>
      </c>
      <c r="J939" s="12" t="str">
        <f>HYPERLINK("https://www.boe.es/gazeta/dias/1806/03/18/pdfs/GMD-1806-24.pdf#page=1","Abrir facsímil")</f>
        <v>Abrir facsímil</v>
      </c>
      <c r="K939" s="15" t="s">
        <v>22</v>
      </c>
    </row>
    <row r="940" spans="1:11" ht="42" customHeight="1">
      <c r="A940" s="4" t="s">
        <v>2288</v>
      </c>
      <c r="B940" s="5" t="s">
        <v>2289</v>
      </c>
      <c r="C940" s="5" t="s">
        <v>69</v>
      </c>
      <c r="D940" s="5" t="s">
        <v>70</v>
      </c>
      <c r="E940" s="5" t="s">
        <v>113</v>
      </c>
      <c r="F940" s="9">
        <v>28</v>
      </c>
      <c r="G940" s="9">
        <v>275</v>
      </c>
      <c r="H940" s="5" t="s">
        <v>20</v>
      </c>
      <c r="I940" s="5" t="s">
        <v>2290</v>
      </c>
      <c r="J940" s="12" t="str">
        <f>HYPERLINK("https://www.boe.es/gazeta/dias/1806/04/01/pdfs/GMD-1806-28.pdf#page=3","Abrir facsímil")</f>
        <v>Abrir facsímil</v>
      </c>
      <c r="K940" s="15" t="s">
        <v>22</v>
      </c>
    </row>
    <row r="941" spans="1:11" ht="42" customHeight="1">
      <c r="A941" s="4" t="s">
        <v>2291</v>
      </c>
      <c r="B941" s="5" t="s">
        <v>2292</v>
      </c>
      <c r="C941" s="5" t="s">
        <v>75</v>
      </c>
      <c r="D941" s="5" t="s">
        <v>43</v>
      </c>
      <c r="E941" s="5" t="s">
        <v>661</v>
      </c>
      <c r="F941" s="9">
        <v>38</v>
      </c>
      <c r="G941" s="9">
        <v>365</v>
      </c>
      <c r="H941" s="5" t="s">
        <v>20</v>
      </c>
      <c r="I941" s="5" t="s">
        <v>2293</v>
      </c>
      <c r="J941" s="12" t="str">
        <f>HYPERLINK("https://www.boe.es/gazeta/dias/1806/05/06/pdfs/GMD-1806-38.pdf#page=1","Abrir facsímil")</f>
        <v>Abrir facsímil</v>
      </c>
      <c r="K941" s="15" t="s">
        <v>22</v>
      </c>
    </row>
    <row r="942" spans="1:11" ht="42" customHeight="1">
      <c r="A942" s="4" t="s">
        <v>2294</v>
      </c>
      <c r="B942" s="5" t="s">
        <v>2295</v>
      </c>
      <c r="C942" s="5" t="s">
        <v>69</v>
      </c>
      <c r="D942" s="5" t="s">
        <v>70</v>
      </c>
      <c r="E942" s="5" t="s">
        <v>140</v>
      </c>
      <c r="F942" s="9">
        <v>83</v>
      </c>
      <c r="G942" s="9">
        <v>856</v>
      </c>
      <c r="H942" s="5" t="s">
        <v>20</v>
      </c>
      <c r="I942" s="5" t="s">
        <v>2296</v>
      </c>
      <c r="J942" s="12" t="str">
        <f>HYPERLINK("https://www.boe.es/gazeta/dias/1806/10/10/pdfs/GMD-1806-83.pdf#page=4","Abrir facsímil")</f>
        <v>Abrir facsímil</v>
      </c>
      <c r="K942" s="15" t="s">
        <v>22</v>
      </c>
    </row>
    <row r="943" spans="1:11" ht="42" customHeight="1">
      <c r="A943" s="4" t="s">
        <v>2297</v>
      </c>
      <c r="B943" s="5" t="s">
        <v>2298</v>
      </c>
      <c r="C943" s="5" t="s">
        <v>69</v>
      </c>
      <c r="D943" s="5" t="s">
        <v>70</v>
      </c>
      <c r="E943" s="5" t="s">
        <v>340</v>
      </c>
      <c r="F943" s="9">
        <v>31</v>
      </c>
      <c r="G943" s="9">
        <v>302</v>
      </c>
      <c r="H943" s="5" t="s">
        <v>20</v>
      </c>
      <c r="I943" s="5" t="s">
        <v>2299</v>
      </c>
      <c r="J943" s="12" t="str">
        <f>HYPERLINK("https://www.boe.es/gazeta/dias/1806/04/11/pdfs/GMD-1806-31.pdf#page=6","Abrir facsímil")</f>
        <v>Abrir facsímil</v>
      </c>
      <c r="K943" s="15" t="s">
        <v>22</v>
      </c>
    </row>
    <row r="944" spans="1:11" ht="42" customHeight="1">
      <c r="A944" s="4" t="s">
        <v>2300</v>
      </c>
      <c r="B944" s="5" t="s">
        <v>2301</v>
      </c>
      <c r="C944" s="5" t="s">
        <v>75</v>
      </c>
      <c r="D944" s="5" t="s">
        <v>43</v>
      </c>
      <c r="E944" s="5" t="s">
        <v>51</v>
      </c>
      <c r="F944" s="9">
        <v>44</v>
      </c>
      <c r="G944" s="9">
        <v>440</v>
      </c>
      <c r="H944" s="5" t="s">
        <v>20</v>
      </c>
      <c r="I944" s="5" t="s">
        <v>2302</v>
      </c>
      <c r="J944" s="12" t="str">
        <f>HYPERLINK("https://www.boe.es/gazeta/dias/1806/05/27/pdfs/GMD-1806-44.pdf#page=4","Abrir facsímil")</f>
        <v>Abrir facsímil</v>
      </c>
      <c r="K944" s="15" t="s">
        <v>22</v>
      </c>
    </row>
    <row r="945" spans="1:11" ht="42" customHeight="1">
      <c r="A945" s="4" t="s">
        <v>2303</v>
      </c>
      <c r="B945" s="5" t="s">
        <v>2304</v>
      </c>
      <c r="C945" s="5" t="s">
        <v>31</v>
      </c>
      <c r="D945" s="5" t="s">
        <v>32</v>
      </c>
      <c r="E945" s="5" t="s">
        <v>48</v>
      </c>
      <c r="F945" s="9">
        <v>67</v>
      </c>
      <c r="G945" s="9">
        <v>694</v>
      </c>
      <c r="H945" s="5" t="s">
        <v>20</v>
      </c>
      <c r="I945" s="5" t="s">
        <v>2305</v>
      </c>
      <c r="J945" s="12" t="str">
        <f>HYPERLINK("https://www.boe.es/gazeta/dias/1806/08/15/pdfs/GMD-1806-67.pdf#page=2","Abrir facsímil")</f>
        <v>Abrir facsímil</v>
      </c>
      <c r="K945" s="15" t="s">
        <v>22</v>
      </c>
    </row>
    <row r="946" spans="1:11" ht="42" customHeight="1">
      <c r="A946" s="4" t="s">
        <v>2306</v>
      </c>
      <c r="B946" s="5" t="s">
        <v>2307</v>
      </c>
      <c r="C946" s="5" t="s">
        <v>36</v>
      </c>
      <c r="D946" s="5" t="s">
        <v>37</v>
      </c>
      <c r="E946" s="5" t="s">
        <v>430</v>
      </c>
      <c r="F946" s="9">
        <v>12</v>
      </c>
      <c r="G946" s="9">
        <v>105</v>
      </c>
      <c r="H946" s="5" t="s">
        <v>20</v>
      </c>
      <c r="I946" s="5" t="s">
        <v>2308</v>
      </c>
      <c r="J946" s="12" t="str">
        <f>HYPERLINK("https://www.boe.es/gazeta/dias/1806/02/04/pdfs/GMD-1806-12.pdf#page=5","Abrir facsímil")</f>
        <v>Abrir facsímil</v>
      </c>
      <c r="K946" s="15" t="s">
        <v>22</v>
      </c>
    </row>
    <row r="947" spans="1:11" ht="42" customHeight="1">
      <c r="A947" s="4" t="s">
        <v>2309</v>
      </c>
      <c r="B947" s="5" t="s">
        <v>2310</v>
      </c>
      <c r="C947" s="5" t="s">
        <v>69</v>
      </c>
      <c r="D947" s="5" t="s">
        <v>70</v>
      </c>
      <c r="E947" s="5" t="s">
        <v>1005</v>
      </c>
      <c r="F947" s="9">
        <v>76</v>
      </c>
      <c r="G947" s="9">
        <v>783</v>
      </c>
      <c r="H947" s="5" t="s">
        <v>20</v>
      </c>
      <c r="I947" s="5" t="s">
        <v>2311</v>
      </c>
      <c r="J947" s="12" t="str">
        <f>HYPERLINK("https://www.boe.es/gazeta/dias/1806/09/16/pdfs/GMD-1806-76.pdf#page=3","Abrir facsímil")</f>
        <v>Abrir facsímil</v>
      </c>
      <c r="K947" s="15" t="s">
        <v>22</v>
      </c>
    </row>
    <row r="948" spans="1:11" ht="42" customHeight="1">
      <c r="A948" s="4" t="s">
        <v>2312</v>
      </c>
      <c r="B948" s="5" t="s">
        <v>2313</v>
      </c>
      <c r="C948" s="5" t="s">
        <v>31</v>
      </c>
      <c r="D948" s="5" t="s">
        <v>32</v>
      </c>
      <c r="E948" s="5" t="s">
        <v>144</v>
      </c>
      <c r="F948" s="9">
        <v>79</v>
      </c>
      <c r="G948" s="9">
        <v>813</v>
      </c>
      <c r="H948" s="5" t="s">
        <v>20</v>
      </c>
      <c r="I948" s="5" t="s">
        <v>2314</v>
      </c>
      <c r="J948" s="12" t="str">
        <f>HYPERLINK("https://www.boe.es/gazeta/dias/1806/09/26/pdfs/GMD-1806-79.pdf#page=5","Abrir facsímil")</f>
        <v>Abrir facsímil</v>
      </c>
      <c r="K948" s="15" t="s">
        <v>22</v>
      </c>
    </row>
    <row r="949" spans="1:11" ht="42" customHeight="1">
      <c r="A949" s="4" t="s">
        <v>2315</v>
      </c>
      <c r="B949" s="5" t="s">
        <v>2316</v>
      </c>
      <c r="C949" s="5" t="s">
        <v>31</v>
      </c>
      <c r="D949" s="5" t="s">
        <v>32</v>
      </c>
      <c r="E949" s="5" t="s">
        <v>38</v>
      </c>
      <c r="F949" s="9">
        <v>92</v>
      </c>
      <c r="G949" s="9">
        <v>961</v>
      </c>
      <c r="H949" s="5" t="s">
        <v>20</v>
      </c>
      <c r="I949" s="5" t="s">
        <v>2317</v>
      </c>
      <c r="J949" s="12" t="str">
        <f>HYPERLINK("https://www.boe.es/gazeta/dias/1806/11/11/pdfs/GMD-1806-92.pdf#page=13","Abrir facsímil")</f>
        <v>Abrir facsímil</v>
      </c>
      <c r="K949" s="15" t="s">
        <v>22</v>
      </c>
    </row>
    <row r="950" spans="1:11" ht="42" customHeight="1">
      <c r="A950" s="4" t="s">
        <v>2318</v>
      </c>
      <c r="B950" s="5" t="s">
        <v>2319</v>
      </c>
      <c r="C950" s="5" t="s">
        <v>31</v>
      </c>
      <c r="D950" s="5" t="s">
        <v>32</v>
      </c>
      <c r="E950" s="5" t="s">
        <v>1031</v>
      </c>
      <c r="F950" s="9">
        <v>107</v>
      </c>
      <c r="G950" s="9">
        <v>1126</v>
      </c>
      <c r="H950" s="5" t="s">
        <v>20</v>
      </c>
      <c r="I950" s="5" t="s">
        <v>2320</v>
      </c>
      <c r="J950" s="12" t="str">
        <f>HYPERLINK("https://www.boe.es/gazeta/dias/1806/12/30/pdfs/GMD-1806-107.pdf#page=2","Abrir facsímil")</f>
        <v>Abrir facsímil</v>
      </c>
      <c r="K950" s="15" t="s">
        <v>22</v>
      </c>
    </row>
    <row r="951" spans="1:11" ht="42" customHeight="1">
      <c r="A951" s="4" t="s">
        <v>2321</v>
      </c>
      <c r="B951" s="5" t="s">
        <v>2322</v>
      </c>
      <c r="C951" s="5" t="s">
        <v>31</v>
      </c>
      <c r="D951" s="5" t="s">
        <v>32</v>
      </c>
      <c r="E951" s="5" t="s">
        <v>340</v>
      </c>
      <c r="F951" s="9">
        <v>31</v>
      </c>
      <c r="G951" s="9">
        <v>299</v>
      </c>
      <c r="H951" s="5" t="s">
        <v>20</v>
      </c>
      <c r="I951" s="5" t="s">
        <v>2323</v>
      </c>
      <c r="J951" s="12" t="str">
        <f>HYPERLINK("https://www.boe.es/gazeta/dias/1806/04/11/pdfs/GMD-1806-31.pdf#page=3","Abrir facsímil")</f>
        <v>Abrir facsímil</v>
      </c>
      <c r="K951" s="15" t="s">
        <v>22</v>
      </c>
    </row>
    <row r="952" spans="1:11" ht="42" customHeight="1">
      <c r="A952" s="4" t="s">
        <v>2324</v>
      </c>
      <c r="B952" s="5" t="s">
        <v>2325</v>
      </c>
      <c r="C952" s="5" t="s">
        <v>69</v>
      </c>
      <c r="D952" s="5" t="s">
        <v>70</v>
      </c>
      <c r="E952" s="5" t="s">
        <v>220</v>
      </c>
      <c r="F952" s="9">
        <v>24</v>
      </c>
      <c r="G952" s="9">
        <v>227</v>
      </c>
      <c r="H952" s="5" t="s">
        <v>20</v>
      </c>
      <c r="I952" s="5" t="s">
        <v>2326</v>
      </c>
      <c r="J952" s="12" t="str">
        <f>HYPERLINK("https://www.boe.es/gazeta/dias/1806/03/18/pdfs/GMD-1806-24.pdf#page=3","Abrir facsímil")</f>
        <v>Abrir facsímil</v>
      </c>
      <c r="K952" s="15" t="s">
        <v>22</v>
      </c>
    </row>
    <row r="953" spans="1:11" ht="42" customHeight="1">
      <c r="A953" s="4" t="s">
        <v>2327</v>
      </c>
      <c r="B953" s="5" t="s">
        <v>2328</v>
      </c>
      <c r="C953" s="5" t="s">
        <v>31</v>
      </c>
      <c r="D953" s="5" t="s">
        <v>32</v>
      </c>
      <c r="E953" s="5" t="s">
        <v>93</v>
      </c>
      <c r="F953" s="9">
        <v>72</v>
      </c>
      <c r="G953" s="9">
        <v>743</v>
      </c>
      <c r="H953" s="5" t="s">
        <v>20</v>
      </c>
      <c r="I953" s="5" t="s">
        <v>2329</v>
      </c>
      <c r="J953" s="12" t="str">
        <f>HYPERLINK("https://www.boe.es/gazeta/dias/1806/09/02/pdfs/GMD-1806-72.pdf#page=3","Abrir facsímil")</f>
        <v>Abrir facsímil</v>
      </c>
      <c r="K953" s="15" t="s">
        <v>22</v>
      </c>
    </row>
    <row r="954" spans="1:11" ht="42" customHeight="1">
      <c r="A954" s="4" t="s">
        <v>2330</v>
      </c>
      <c r="B954" s="5" t="s">
        <v>2331</v>
      </c>
      <c r="C954" s="5" t="s">
        <v>36</v>
      </c>
      <c r="D954" s="5" t="s">
        <v>37</v>
      </c>
      <c r="E954" s="5" t="s">
        <v>340</v>
      </c>
      <c r="F954" s="9">
        <v>31</v>
      </c>
      <c r="G954" s="9">
        <v>301</v>
      </c>
      <c r="H954" s="5" t="s">
        <v>20</v>
      </c>
      <c r="I954" s="5" t="s">
        <v>2332</v>
      </c>
      <c r="J954" s="12" t="str">
        <f>HYPERLINK("https://www.boe.es/gazeta/dias/1806/04/11/pdfs/GMD-1806-31.pdf#page=5","Abrir facsímil")</f>
        <v>Abrir facsímil</v>
      </c>
      <c r="K954" s="15" t="s">
        <v>22</v>
      </c>
    </row>
    <row r="955" spans="1:11" ht="42" customHeight="1">
      <c r="A955" s="4" t="s">
        <v>2333</v>
      </c>
      <c r="B955" s="5" t="s">
        <v>2334</v>
      </c>
      <c r="C955" s="5" t="s">
        <v>69</v>
      </c>
      <c r="D955" s="5" t="s">
        <v>70</v>
      </c>
      <c r="E955" s="5" t="s">
        <v>911</v>
      </c>
      <c r="F955" s="9">
        <v>64</v>
      </c>
      <c r="G955" s="9">
        <v>665</v>
      </c>
      <c r="H955" s="5" t="s">
        <v>20</v>
      </c>
      <c r="I955" s="5" t="s">
        <v>2335</v>
      </c>
      <c r="J955" s="12" t="str">
        <f>HYPERLINK("https://www.boe.es/gazeta/dias/1806/08/05/pdfs/GMD-1806-64.pdf#page=1","Abrir facsímil")</f>
        <v>Abrir facsímil</v>
      </c>
      <c r="K955" s="15" t="s">
        <v>22</v>
      </c>
    </row>
    <row r="956" spans="1:11" ht="42" customHeight="1">
      <c r="A956" s="4" t="s">
        <v>2336</v>
      </c>
      <c r="B956" s="5" t="s">
        <v>2337</v>
      </c>
      <c r="C956" s="5" t="s">
        <v>31</v>
      </c>
      <c r="D956" s="5" t="s">
        <v>32</v>
      </c>
      <c r="E956" s="5" t="s">
        <v>202</v>
      </c>
      <c r="F956" s="9">
        <v>30</v>
      </c>
      <c r="G956" s="9">
        <v>295</v>
      </c>
      <c r="H956" s="5" t="s">
        <v>20</v>
      </c>
      <c r="I956" s="5" t="s">
        <v>2338</v>
      </c>
      <c r="J956" s="12" t="str">
        <f>HYPERLINK("https://www.boe.es/gazeta/dias/1806/04/08/pdfs/GMD-1806-30.pdf#page=7","Abrir facsímil")</f>
        <v>Abrir facsímil</v>
      </c>
      <c r="K956" s="15" t="s">
        <v>22</v>
      </c>
    </row>
    <row r="957" spans="1:11" ht="42" customHeight="1">
      <c r="A957" s="4" t="s">
        <v>2339</v>
      </c>
      <c r="B957" s="5" t="s">
        <v>2340</v>
      </c>
      <c r="C957" s="5" t="s">
        <v>31</v>
      </c>
      <c r="D957" s="5" t="s">
        <v>32</v>
      </c>
      <c r="E957" s="5" t="s">
        <v>51</v>
      </c>
      <c r="F957" s="9">
        <v>44</v>
      </c>
      <c r="G957" s="9">
        <v>438</v>
      </c>
      <c r="H957" s="5" t="s">
        <v>20</v>
      </c>
      <c r="I957" s="5" t="s">
        <v>2341</v>
      </c>
      <c r="J957" s="12" t="str">
        <f>HYPERLINK("https://www.boe.es/gazeta/dias/1806/05/27/pdfs/GMD-1806-44.pdf#page=2","Abrir facsímil")</f>
        <v>Abrir facsímil</v>
      </c>
      <c r="K957" s="15" t="s">
        <v>22</v>
      </c>
    </row>
    <row r="958" spans="1:11" ht="42" customHeight="1">
      <c r="A958" s="4" t="s">
        <v>2342</v>
      </c>
      <c r="B958" s="5" t="s">
        <v>2343</v>
      </c>
      <c r="C958" s="5" t="s">
        <v>31</v>
      </c>
      <c r="D958" s="5" t="s">
        <v>32</v>
      </c>
      <c r="E958" s="5" t="s">
        <v>600</v>
      </c>
      <c r="F958" s="9">
        <v>77</v>
      </c>
      <c r="G958" s="9">
        <v>795</v>
      </c>
      <c r="H958" s="5" t="s">
        <v>20</v>
      </c>
      <c r="I958" s="5" t="s">
        <v>2344</v>
      </c>
      <c r="J958" s="12" t="str">
        <f>HYPERLINK("https://www.boe.es/gazeta/dias/1806/09/19/pdfs/GMD-1806-77.pdf#page=7","Abrir facsímil")</f>
        <v>Abrir facsímil</v>
      </c>
      <c r="K958" s="15" t="s">
        <v>22</v>
      </c>
    </row>
    <row r="959" spans="1:11" ht="42" customHeight="1">
      <c r="A959" s="4" t="s">
        <v>2345</v>
      </c>
      <c r="B959" s="5" t="s">
        <v>2345</v>
      </c>
      <c r="C959" s="5" t="s">
        <v>31</v>
      </c>
      <c r="D959" s="5" t="s">
        <v>32</v>
      </c>
      <c r="E959" s="5" t="s">
        <v>161</v>
      </c>
      <c r="F959" s="9">
        <v>11</v>
      </c>
      <c r="G959" s="9">
        <v>98</v>
      </c>
      <c r="H959" s="5" t="s">
        <v>20</v>
      </c>
      <c r="I959" s="5" t="s">
        <v>2346</v>
      </c>
      <c r="J959" s="12" t="str">
        <f>HYPERLINK("https://www.boe.es/gazeta/dias/1806/01/31/pdfs/GMD-1806-11.pdf#page=6","Abrir facsímil")</f>
        <v>Abrir facsímil</v>
      </c>
      <c r="K959" s="15" t="s">
        <v>22</v>
      </c>
    </row>
    <row r="960" spans="1:11" ht="42" customHeight="1">
      <c r="A960" s="4" t="s">
        <v>2347</v>
      </c>
      <c r="B960" s="5" t="s">
        <v>2348</v>
      </c>
      <c r="C960" s="5" t="s">
        <v>31</v>
      </c>
      <c r="D960" s="5" t="s">
        <v>32</v>
      </c>
      <c r="E960" s="5" t="s">
        <v>430</v>
      </c>
      <c r="F960" s="9">
        <v>12</v>
      </c>
      <c r="G960" s="9">
        <v>101</v>
      </c>
      <c r="H960" s="5" t="s">
        <v>20</v>
      </c>
      <c r="I960" s="5" t="s">
        <v>2349</v>
      </c>
      <c r="J960" s="12" t="str">
        <f>HYPERLINK("https://www.boe.es/gazeta/dias/1806/02/04/pdfs/GMD-1806-12.pdf#page=1","Abrir facsímil")</f>
        <v>Abrir facsímil</v>
      </c>
      <c r="K960" s="15" t="s">
        <v>22</v>
      </c>
    </row>
    <row r="961" spans="1:11" ht="42" customHeight="1">
      <c r="A961" s="4" t="s">
        <v>2350</v>
      </c>
      <c r="B961" s="5" t="s">
        <v>2351</v>
      </c>
      <c r="C961" s="5" t="s">
        <v>69</v>
      </c>
      <c r="D961" s="5" t="s">
        <v>70</v>
      </c>
      <c r="E961" s="5" t="s">
        <v>363</v>
      </c>
      <c r="F961" s="9">
        <v>8</v>
      </c>
      <c r="G961" s="9">
        <v>70</v>
      </c>
      <c r="H961" s="5" t="s">
        <v>20</v>
      </c>
      <c r="I961" s="5" t="s">
        <v>2352</v>
      </c>
      <c r="J961" s="12" t="str">
        <f>HYPERLINK("https://www.boe.es/gazeta/dias/1806/01/24/pdfs/GMD-1806-8.pdf#page=2","Abrir facsímil")</f>
        <v>Abrir facsímil</v>
      </c>
      <c r="K961" s="15" t="s">
        <v>22</v>
      </c>
    </row>
    <row r="962" spans="1:11" ht="42" customHeight="1">
      <c r="A962" s="4" t="s">
        <v>2353</v>
      </c>
      <c r="B962" s="5" t="s">
        <v>2354</v>
      </c>
      <c r="C962" s="5" t="s">
        <v>17</v>
      </c>
      <c r="D962" s="5" t="s">
        <v>18</v>
      </c>
      <c r="E962" s="5" t="s">
        <v>188</v>
      </c>
      <c r="F962" s="9">
        <v>2</v>
      </c>
      <c r="G962" s="9">
        <v>17</v>
      </c>
      <c r="H962" s="5" t="s">
        <v>20</v>
      </c>
      <c r="I962" s="5" t="s">
        <v>2355</v>
      </c>
      <c r="J962" s="12" t="str">
        <f>HYPERLINK("https://www.boe.es/gazeta/dias/1806/01/07/pdfs/GMD-1806-2.pdf#page=5","Abrir facsímil")</f>
        <v>Abrir facsímil</v>
      </c>
      <c r="K962" s="15" t="s">
        <v>22</v>
      </c>
    </row>
    <row r="963" spans="1:11" ht="42" customHeight="1">
      <c r="A963" s="4" t="s">
        <v>2353</v>
      </c>
      <c r="B963" s="5" t="s">
        <v>2354</v>
      </c>
      <c r="C963" s="5" t="s">
        <v>69</v>
      </c>
      <c r="D963" s="5" t="s">
        <v>70</v>
      </c>
      <c r="E963" s="5" t="s">
        <v>124</v>
      </c>
      <c r="F963" s="9">
        <v>25</v>
      </c>
      <c r="G963" s="9">
        <v>237</v>
      </c>
      <c r="H963" s="5" t="s">
        <v>20</v>
      </c>
      <c r="I963" s="5" t="s">
        <v>2356</v>
      </c>
      <c r="J963" s="12" t="str">
        <f>HYPERLINK("https://www.boe.es/gazeta/dias/1806/03/21/pdfs/GMD-1806-25.pdf#page=1","Abrir facsímil")</f>
        <v>Abrir facsímil</v>
      </c>
      <c r="K963" s="15" t="s">
        <v>22</v>
      </c>
    </row>
    <row r="964" spans="1:11" ht="42" customHeight="1">
      <c r="A964" s="4" t="s">
        <v>2353</v>
      </c>
      <c r="B964" s="5" t="s">
        <v>2354</v>
      </c>
      <c r="C964" s="5" t="s">
        <v>31</v>
      </c>
      <c r="D964" s="5" t="s">
        <v>32</v>
      </c>
      <c r="E964" s="5" t="s">
        <v>780</v>
      </c>
      <c r="F964" s="9">
        <v>33</v>
      </c>
      <c r="G964" s="9">
        <v>322</v>
      </c>
      <c r="H964" s="5" t="s">
        <v>20</v>
      </c>
      <c r="I964" s="5" t="s">
        <v>2357</v>
      </c>
      <c r="J964" s="12" t="str">
        <f>HYPERLINK("https://www.boe.es/gazeta/dias/1806/04/18/pdfs/GMD-1806-33.pdf#page=2","Abrir facsímil")</f>
        <v>Abrir facsímil</v>
      </c>
      <c r="K964" s="15" t="s">
        <v>22</v>
      </c>
    </row>
    <row r="965" spans="1:11" ht="42" customHeight="1">
      <c r="A965" s="4" t="s">
        <v>2353</v>
      </c>
      <c r="B965" s="5" t="s">
        <v>2354</v>
      </c>
      <c r="C965" s="5" t="s">
        <v>69</v>
      </c>
      <c r="D965" s="5" t="s">
        <v>70</v>
      </c>
      <c r="E965" s="5" t="s">
        <v>259</v>
      </c>
      <c r="F965" s="9">
        <v>34</v>
      </c>
      <c r="G965" s="9">
        <v>330</v>
      </c>
      <c r="H965" s="5" t="s">
        <v>20</v>
      </c>
      <c r="I965" s="5" t="s">
        <v>2358</v>
      </c>
      <c r="J965" s="12" t="str">
        <f>HYPERLINK("https://www.boe.es/gazeta/dias/1806/04/22/pdfs/GMD-1806-34.pdf#page=2","Abrir facsímil")</f>
        <v>Abrir facsímil</v>
      </c>
      <c r="K965" s="15" t="s">
        <v>22</v>
      </c>
    </row>
    <row r="966" spans="1:11" ht="42" customHeight="1">
      <c r="A966" s="4" t="s">
        <v>2353</v>
      </c>
      <c r="B966" s="5" t="s">
        <v>2354</v>
      </c>
      <c r="C966" s="5" t="s">
        <v>69</v>
      </c>
      <c r="D966" s="5" t="s">
        <v>70</v>
      </c>
      <c r="E966" s="5" t="s">
        <v>911</v>
      </c>
      <c r="F966" s="9">
        <v>64</v>
      </c>
      <c r="G966" s="9">
        <v>667</v>
      </c>
      <c r="H966" s="5" t="s">
        <v>20</v>
      </c>
      <c r="I966" s="5" t="s">
        <v>2359</v>
      </c>
      <c r="J966" s="12" t="str">
        <f>HYPERLINK("https://www.boe.es/gazeta/dias/1806/08/05/pdfs/GMD-1806-64.pdf#page=3","Abrir facsímil")</f>
        <v>Abrir facsímil</v>
      </c>
      <c r="K966" s="15" t="s">
        <v>22</v>
      </c>
    </row>
    <row r="967" spans="1:11" ht="42" customHeight="1">
      <c r="A967" s="4" t="s">
        <v>2353</v>
      </c>
      <c r="B967" s="5" t="s">
        <v>2354</v>
      </c>
      <c r="C967" s="5" t="s">
        <v>69</v>
      </c>
      <c r="D967" s="5" t="s">
        <v>70</v>
      </c>
      <c r="E967" s="5" t="s">
        <v>93</v>
      </c>
      <c r="F967" s="9">
        <v>72</v>
      </c>
      <c r="G967" s="9">
        <v>742</v>
      </c>
      <c r="H967" s="5" t="s">
        <v>20</v>
      </c>
      <c r="I967" s="5" t="s">
        <v>2360</v>
      </c>
      <c r="J967" s="12" t="str">
        <f>HYPERLINK("https://www.boe.es/gazeta/dias/1806/09/02/pdfs/GMD-1806-72.pdf#page=2","Abrir facsímil")</f>
        <v>Abrir facsímil</v>
      </c>
      <c r="K967" s="15" t="s">
        <v>22</v>
      </c>
    </row>
    <row r="968" spans="1:11" ht="42" customHeight="1">
      <c r="A968" s="4" t="s">
        <v>2353</v>
      </c>
      <c r="B968" s="5" t="s">
        <v>2354</v>
      </c>
      <c r="C968" s="5" t="s">
        <v>69</v>
      </c>
      <c r="D968" s="5" t="s">
        <v>70</v>
      </c>
      <c r="E968" s="5" t="s">
        <v>127</v>
      </c>
      <c r="F968" s="9">
        <v>81</v>
      </c>
      <c r="G968" s="9">
        <v>834</v>
      </c>
      <c r="H968" s="5" t="s">
        <v>20</v>
      </c>
      <c r="I968" s="5" t="s">
        <v>2361</v>
      </c>
      <c r="J968" s="12" t="str">
        <f>HYPERLINK("https://www.boe.es/gazeta/dias/1806/10/03/pdfs/GMD-1806-81.pdf#page=2","Abrir facsímil")</f>
        <v>Abrir facsímil</v>
      </c>
      <c r="K968" s="15" t="s">
        <v>22</v>
      </c>
    </row>
    <row r="969" spans="1:11" ht="42" customHeight="1">
      <c r="A969" s="4" t="s">
        <v>2362</v>
      </c>
      <c r="B969" s="5" t="s">
        <v>2363</v>
      </c>
      <c r="C969" s="5" t="s">
        <v>69</v>
      </c>
      <c r="D969" s="5" t="s">
        <v>70</v>
      </c>
      <c r="E969" s="5" t="s">
        <v>271</v>
      </c>
      <c r="F969" s="9">
        <v>6</v>
      </c>
      <c r="G969" s="9">
        <v>47</v>
      </c>
      <c r="H969" s="5" t="s">
        <v>20</v>
      </c>
      <c r="I969" s="5" t="s">
        <v>2364</v>
      </c>
      <c r="J969" s="12" t="str">
        <f>HYPERLINK("https://www.boe.es/gazeta/dias/1806/01/17/pdfs/GMD-1806-6.pdf#page=3","Abrir facsímil")</f>
        <v>Abrir facsímil</v>
      </c>
      <c r="K969" s="15" t="s">
        <v>22</v>
      </c>
    </row>
    <row r="970" spans="1:11" ht="42" customHeight="1">
      <c r="A970" s="4" t="s">
        <v>2362</v>
      </c>
      <c r="B970" s="5" t="s">
        <v>2363</v>
      </c>
      <c r="C970" s="5" t="s">
        <v>69</v>
      </c>
      <c r="D970" s="5" t="s">
        <v>70</v>
      </c>
      <c r="E970" s="5" t="s">
        <v>172</v>
      </c>
      <c r="F970" s="9">
        <v>17</v>
      </c>
      <c r="G970" s="9">
        <v>145</v>
      </c>
      <c r="H970" s="5" t="s">
        <v>20</v>
      </c>
      <c r="I970" s="5" t="s">
        <v>2365</v>
      </c>
      <c r="J970" s="12" t="str">
        <f>HYPERLINK("https://www.boe.es/gazeta/dias/1806/02/21/pdfs/GMD-1806-17.pdf#page=1","Abrir facsímil")</f>
        <v>Abrir facsímil</v>
      </c>
      <c r="K970" s="15" t="s">
        <v>22</v>
      </c>
    </row>
    <row r="971" spans="1:11" ht="42" customHeight="1">
      <c r="A971" s="4" t="s">
        <v>2362</v>
      </c>
      <c r="B971" s="5" t="s">
        <v>2363</v>
      </c>
      <c r="C971" s="5" t="s">
        <v>69</v>
      </c>
      <c r="D971" s="5" t="s">
        <v>70</v>
      </c>
      <c r="E971" s="5" t="s">
        <v>554</v>
      </c>
      <c r="F971" s="9">
        <v>90</v>
      </c>
      <c r="G971" s="9">
        <v>926</v>
      </c>
      <c r="H971" s="5" t="s">
        <v>20</v>
      </c>
      <c r="I971" s="5" t="s">
        <v>2366</v>
      </c>
      <c r="J971" s="12" t="str">
        <f>HYPERLINK("https://www.boe.es/gazeta/dias/1806/11/04/pdfs/GMD-1806-90.pdf#page=2","Abrir facsímil")</f>
        <v>Abrir facsímil</v>
      </c>
      <c r="K971" s="15" t="s">
        <v>22</v>
      </c>
    </row>
    <row r="972" spans="1:11" ht="42" customHeight="1">
      <c r="A972" s="4" t="s">
        <v>2367</v>
      </c>
      <c r="B972" s="5" t="s">
        <v>2368</v>
      </c>
      <c r="C972" s="5" t="s">
        <v>75</v>
      </c>
      <c r="D972" s="5" t="s">
        <v>43</v>
      </c>
      <c r="E972" s="5" t="s">
        <v>837</v>
      </c>
      <c r="F972" s="9">
        <v>26</v>
      </c>
      <c r="G972" s="9">
        <v>250</v>
      </c>
      <c r="H972" s="5" t="s">
        <v>20</v>
      </c>
      <c r="I972" s="5" t="s">
        <v>2369</v>
      </c>
      <c r="J972" s="12" t="str">
        <f>HYPERLINK("https://www.boe.es/gazeta/dias/1806/03/25/pdfs/GMD-1806-26.pdf#page=2","Abrir facsímil")</f>
        <v>Abrir facsímil</v>
      </c>
      <c r="K972" s="15" t="s">
        <v>22</v>
      </c>
    </row>
    <row r="973" spans="1:11" ht="42" customHeight="1">
      <c r="A973" s="4" t="s">
        <v>2370</v>
      </c>
      <c r="B973" s="5" t="s">
        <v>2370</v>
      </c>
      <c r="C973" s="5" t="s">
        <v>17</v>
      </c>
      <c r="D973" s="5" t="s">
        <v>18</v>
      </c>
      <c r="E973" s="5" t="s">
        <v>76</v>
      </c>
      <c r="F973" s="9">
        <v>98</v>
      </c>
      <c r="G973" s="9">
        <v>1033</v>
      </c>
      <c r="H973" s="5" t="s">
        <v>20</v>
      </c>
      <c r="I973" s="5" t="s">
        <v>2371</v>
      </c>
      <c r="J973" s="12" t="str">
        <f>HYPERLINK("https://www.boe.es/gazeta/dias/1806/12/02/pdfs/GMD-1806-98.pdf#page=1","Abrir facsímil")</f>
        <v>Abrir facsímil</v>
      </c>
      <c r="K973" s="15" t="s">
        <v>22</v>
      </c>
    </row>
    <row r="974" spans="1:11" ht="42" customHeight="1">
      <c r="A974" s="4" t="s">
        <v>2372</v>
      </c>
      <c r="B974" s="5" t="s">
        <v>2372</v>
      </c>
      <c r="C974" s="5" t="s">
        <v>69</v>
      </c>
      <c r="D974" s="5" t="s">
        <v>70</v>
      </c>
      <c r="E974" s="5" t="s">
        <v>400</v>
      </c>
      <c r="F974" s="9">
        <v>22</v>
      </c>
      <c r="G974" s="9">
        <v>201</v>
      </c>
      <c r="H974" s="5" t="s">
        <v>20</v>
      </c>
      <c r="I974" s="5" t="s">
        <v>2373</v>
      </c>
      <c r="J974" s="12" t="str">
        <f>HYPERLINK("https://www.boe.es/gazeta/dias/1806/03/11/pdfs/GMD-1806-22.pdf#page=1","Abrir facsímil")</f>
        <v>Abrir facsímil</v>
      </c>
      <c r="K974" s="15" t="s">
        <v>22</v>
      </c>
    </row>
    <row r="975" spans="1:11" ht="42" customHeight="1">
      <c r="A975" s="4" t="s">
        <v>2372</v>
      </c>
      <c r="B975" s="5" t="s">
        <v>2372</v>
      </c>
      <c r="C975" s="5" t="s">
        <v>69</v>
      </c>
      <c r="D975" s="5" t="s">
        <v>70</v>
      </c>
      <c r="E975" s="5" t="s">
        <v>178</v>
      </c>
      <c r="F975" s="9">
        <v>36</v>
      </c>
      <c r="G975" s="9">
        <v>345</v>
      </c>
      <c r="H975" s="5" t="s">
        <v>20</v>
      </c>
      <c r="I975" s="5" t="s">
        <v>2374</v>
      </c>
      <c r="J975" s="12" t="str">
        <f>HYPERLINK("https://www.boe.es/gazeta/dias/1806/04/29/pdfs/GMD-1806-36.pdf#page=1","Abrir facsímil")</f>
        <v>Abrir facsímil</v>
      </c>
      <c r="K975" s="15" t="s">
        <v>22</v>
      </c>
    </row>
    <row r="976" spans="1:11" ht="42" customHeight="1">
      <c r="A976" s="4" t="s">
        <v>2372</v>
      </c>
      <c r="B976" s="5" t="s">
        <v>2372</v>
      </c>
      <c r="C976" s="5" t="s">
        <v>69</v>
      </c>
      <c r="D976" s="5" t="s">
        <v>70</v>
      </c>
      <c r="E976" s="5" t="s">
        <v>140</v>
      </c>
      <c r="F976" s="9">
        <v>83</v>
      </c>
      <c r="G976" s="9">
        <v>854</v>
      </c>
      <c r="H976" s="5" t="s">
        <v>20</v>
      </c>
      <c r="I976" s="5" t="s">
        <v>2375</v>
      </c>
      <c r="J976" s="12" t="str">
        <f>HYPERLINK("https://www.boe.es/gazeta/dias/1806/10/10/pdfs/GMD-1806-83.pdf#page=2","Abrir facsímil")</f>
        <v>Abrir facsímil</v>
      </c>
      <c r="K976" s="15" t="s">
        <v>22</v>
      </c>
    </row>
    <row r="977" spans="1:11" ht="42" customHeight="1">
      <c r="A977" s="4" t="s">
        <v>2376</v>
      </c>
      <c r="B977" s="5" t="s">
        <v>2376</v>
      </c>
      <c r="C977" s="5" t="s">
        <v>69</v>
      </c>
      <c r="D977" s="5" t="s">
        <v>70</v>
      </c>
      <c r="E977" s="5" t="s">
        <v>400</v>
      </c>
      <c r="F977" s="9">
        <v>22</v>
      </c>
      <c r="G977" s="9">
        <v>201</v>
      </c>
      <c r="H977" s="5" t="s">
        <v>20</v>
      </c>
      <c r="I977" s="5" t="s">
        <v>2377</v>
      </c>
      <c r="J977" s="12" t="str">
        <f>HYPERLINK("https://www.boe.es/gazeta/dias/1806/03/11/pdfs/GMD-1806-22.pdf#page=1","Abrir facsímil")</f>
        <v>Abrir facsímil</v>
      </c>
      <c r="K977" s="15" t="s">
        <v>22</v>
      </c>
    </row>
    <row r="978" spans="1:11" ht="42" customHeight="1">
      <c r="A978" s="4" t="s">
        <v>2378</v>
      </c>
      <c r="B978" s="5" t="s">
        <v>2378</v>
      </c>
      <c r="C978" s="5" t="s">
        <v>69</v>
      </c>
      <c r="D978" s="5" t="s">
        <v>70</v>
      </c>
      <c r="E978" s="5" t="s">
        <v>780</v>
      </c>
      <c r="F978" s="9">
        <v>33</v>
      </c>
      <c r="G978" s="9">
        <v>321</v>
      </c>
      <c r="H978" s="5" t="s">
        <v>20</v>
      </c>
      <c r="I978" s="5" t="s">
        <v>2379</v>
      </c>
      <c r="J978" s="12" t="str">
        <f>HYPERLINK("https://www.boe.es/gazeta/dias/1806/04/18/pdfs/GMD-1806-33.pdf#page=1","Abrir facsímil")</f>
        <v>Abrir facsímil</v>
      </c>
      <c r="K978" s="15" t="s">
        <v>22</v>
      </c>
    </row>
    <row r="979" spans="1:11" ht="42" customHeight="1">
      <c r="A979" s="4" t="s">
        <v>2378</v>
      </c>
      <c r="B979" s="5" t="s">
        <v>2378</v>
      </c>
      <c r="C979" s="5" t="s">
        <v>69</v>
      </c>
      <c r="D979" s="5" t="s">
        <v>70</v>
      </c>
      <c r="E979" s="5" t="s">
        <v>185</v>
      </c>
      <c r="F979" s="9">
        <v>46</v>
      </c>
      <c r="G979" s="9">
        <v>463</v>
      </c>
      <c r="H979" s="5" t="s">
        <v>20</v>
      </c>
      <c r="I979" s="5" t="s">
        <v>2380</v>
      </c>
      <c r="J979" s="12" t="str">
        <f>HYPERLINK("https://www.boe.es/gazeta/dias/1806/06/03/pdfs/GMD-1806-46.pdf#page=3","Abrir facsímil")</f>
        <v>Abrir facsímil</v>
      </c>
      <c r="K979" s="15" t="s">
        <v>22</v>
      </c>
    </row>
    <row r="980" spans="1:11" ht="42" customHeight="1">
      <c r="A980" s="4" t="s">
        <v>2381</v>
      </c>
      <c r="B980" s="5" t="s">
        <v>2382</v>
      </c>
      <c r="C980" s="5" t="s">
        <v>31</v>
      </c>
      <c r="D980" s="5" t="s">
        <v>32</v>
      </c>
      <c r="E980" s="5" t="s">
        <v>76</v>
      </c>
      <c r="F980" s="9">
        <v>98</v>
      </c>
      <c r="G980" s="9">
        <v>1043</v>
      </c>
      <c r="H980" s="5" t="s">
        <v>20</v>
      </c>
      <c r="I980" s="5" t="s">
        <v>2383</v>
      </c>
      <c r="J980" s="12" t="str">
        <f>HYPERLINK("https://www.boe.es/gazeta/dias/1806/12/02/pdfs/GMD-1806-98.pdf#page=11","Abrir facsímil")</f>
        <v>Abrir facsímil</v>
      </c>
      <c r="K980" s="15" t="s">
        <v>22</v>
      </c>
    </row>
    <row r="981" spans="1:11" ht="42" customHeight="1">
      <c r="A981" s="4" t="s">
        <v>2384</v>
      </c>
      <c r="B981" s="5" t="s">
        <v>2385</v>
      </c>
      <c r="C981" s="5" t="s">
        <v>31</v>
      </c>
      <c r="D981" s="5" t="s">
        <v>32</v>
      </c>
      <c r="E981" s="5" t="s">
        <v>405</v>
      </c>
      <c r="F981" s="9">
        <v>80</v>
      </c>
      <c r="G981" s="9">
        <v>830</v>
      </c>
      <c r="H981" s="5" t="s">
        <v>20</v>
      </c>
      <c r="I981" s="5" t="s">
        <v>2386</v>
      </c>
      <c r="J981" s="12" t="str">
        <f>HYPERLINK("https://www.boe.es/gazeta/dias/1806/09/30/pdfs/GMD-1806-80.pdf#page=10","Abrir facsímil")</f>
        <v>Abrir facsímil</v>
      </c>
      <c r="K981" s="15" t="s">
        <v>22</v>
      </c>
    </row>
    <row r="982" spans="1:11" ht="42" customHeight="1">
      <c r="A982" s="4" t="s">
        <v>2387</v>
      </c>
      <c r="B982" s="5" t="s">
        <v>2388</v>
      </c>
      <c r="C982" s="5" t="s">
        <v>42</v>
      </c>
      <c r="D982" s="5" t="s">
        <v>43</v>
      </c>
      <c r="E982" s="5" t="s">
        <v>165</v>
      </c>
      <c r="F982" s="9">
        <v>101</v>
      </c>
      <c r="G982" s="9">
        <v>1074</v>
      </c>
      <c r="H982" s="5" t="s">
        <v>20</v>
      </c>
      <c r="I982" s="5" t="s">
        <v>2389</v>
      </c>
      <c r="J982" s="12" t="str">
        <f>HYPERLINK("https://www.boe.es/gazeta/dias/1806/12/12/pdfs/GMD-1806-101.pdf#page=6","Abrir facsímil")</f>
        <v>Abrir facsímil</v>
      </c>
      <c r="K982" s="15" t="s">
        <v>22</v>
      </c>
    </row>
    <row r="983" spans="1:11" ht="42" customHeight="1">
      <c r="A983" s="4" t="s">
        <v>2390</v>
      </c>
      <c r="B983" s="5" t="s">
        <v>2391</v>
      </c>
      <c r="C983" s="5" t="s">
        <v>31</v>
      </c>
      <c r="D983" s="5" t="s">
        <v>32</v>
      </c>
      <c r="E983" s="5" t="s">
        <v>86</v>
      </c>
      <c r="F983" s="9">
        <v>53</v>
      </c>
      <c r="G983" s="9">
        <v>553</v>
      </c>
      <c r="H983" s="5" t="s">
        <v>20</v>
      </c>
      <c r="I983" s="5" t="s">
        <v>2392</v>
      </c>
      <c r="J983" s="12" t="str">
        <f>HYPERLINK("https://www.boe.es/gazeta/dias/1806/06/27/pdfs/GMD-1806-53.pdf#page=9","Abrir facsímil")</f>
        <v>Abrir facsímil</v>
      </c>
      <c r="K983" s="15" t="s">
        <v>22</v>
      </c>
    </row>
    <row r="984" spans="1:11" ht="42" customHeight="1">
      <c r="A984" s="4" t="s">
        <v>2393</v>
      </c>
      <c r="B984" s="5" t="s">
        <v>2394</v>
      </c>
      <c r="C984" s="5" t="s">
        <v>31</v>
      </c>
      <c r="D984" s="5" t="s">
        <v>32</v>
      </c>
      <c r="E984" s="5" t="s">
        <v>837</v>
      </c>
      <c r="F984" s="9">
        <v>26</v>
      </c>
      <c r="G984" s="9">
        <v>251</v>
      </c>
      <c r="H984" s="5" t="s">
        <v>20</v>
      </c>
      <c r="I984" s="5" t="s">
        <v>2395</v>
      </c>
      <c r="J984" s="12" t="str">
        <f>HYPERLINK("https://www.boe.es/gazeta/dias/1806/03/25/pdfs/GMD-1806-26.pdf#page=3","Abrir facsímil")</f>
        <v>Abrir facsímil</v>
      </c>
      <c r="K984" s="15" t="s">
        <v>22</v>
      </c>
    </row>
    <row r="985" spans="1:11" ht="42" customHeight="1">
      <c r="A985" s="4" t="s">
        <v>2396</v>
      </c>
      <c r="B985" s="5" t="s">
        <v>2397</v>
      </c>
      <c r="C985" s="5" t="s">
        <v>17</v>
      </c>
      <c r="D985" s="5" t="s">
        <v>18</v>
      </c>
      <c r="E985" s="5" t="s">
        <v>161</v>
      </c>
      <c r="F985" s="9">
        <v>11</v>
      </c>
      <c r="G985" s="9">
        <v>96</v>
      </c>
      <c r="H985" s="5" t="s">
        <v>20</v>
      </c>
      <c r="I985" s="5" t="s">
        <v>2398</v>
      </c>
      <c r="J985" s="12" t="str">
        <f>HYPERLINK("https://www.boe.es/gazeta/dias/1806/01/31/pdfs/GMD-1806-11.pdf#page=4","Abrir facsímil")</f>
        <v>Abrir facsímil</v>
      </c>
      <c r="K985" s="15" t="s">
        <v>22</v>
      </c>
    </row>
    <row r="986" spans="1:11" ht="42" customHeight="1">
      <c r="A986" s="4" t="s">
        <v>2399</v>
      </c>
      <c r="B986" s="5" t="s">
        <v>2400</v>
      </c>
      <c r="C986" s="5" t="s">
        <v>69</v>
      </c>
      <c r="D986" s="5" t="s">
        <v>70</v>
      </c>
      <c r="E986" s="5" t="s">
        <v>285</v>
      </c>
      <c r="F986" s="9">
        <v>13</v>
      </c>
      <c r="G986" s="9">
        <v>110</v>
      </c>
      <c r="H986" s="5" t="s">
        <v>20</v>
      </c>
      <c r="I986" s="5" t="s">
        <v>2401</v>
      </c>
      <c r="J986" s="12" t="str">
        <f>HYPERLINK("https://www.boe.es/gazeta/dias/1806/02/07/pdfs/GMD-1806-13.pdf#page=2","Abrir facsímil")</f>
        <v>Abrir facsímil</v>
      </c>
      <c r="K986" s="15" t="s">
        <v>22</v>
      </c>
    </row>
    <row r="987" spans="1:11" ht="42" customHeight="1">
      <c r="A987" s="4" t="s">
        <v>2399</v>
      </c>
      <c r="B987" s="5" t="s">
        <v>2400</v>
      </c>
      <c r="C987" s="5" t="s">
        <v>31</v>
      </c>
      <c r="D987" s="5" t="s">
        <v>32</v>
      </c>
      <c r="E987" s="5" t="s">
        <v>220</v>
      </c>
      <c r="F987" s="9">
        <v>24</v>
      </c>
      <c r="G987" s="9">
        <v>229</v>
      </c>
      <c r="H987" s="5" t="s">
        <v>20</v>
      </c>
      <c r="I987" s="5" t="s">
        <v>2402</v>
      </c>
      <c r="J987" s="12" t="str">
        <f>HYPERLINK("https://www.boe.es/gazeta/dias/1806/03/18/pdfs/GMD-1806-24.pdf#page=5","Abrir facsímil")</f>
        <v>Abrir facsímil</v>
      </c>
      <c r="K987" s="15" t="s">
        <v>22</v>
      </c>
    </row>
    <row r="988" spans="1:11" ht="42" customHeight="1">
      <c r="A988" s="4" t="s">
        <v>2403</v>
      </c>
      <c r="B988" s="5" t="s">
        <v>2404</v>
      </c>
      <c r="C988" s="5" t="s">
        <v>69</v>
      </c>
      <c r="D988" s="5" t="s">
        <v>70</v>
      </c>
      <c r="E988" s="5" t="s">
        <v>430</v>
      </c>
      <c r="F988" s="9">
        <v>12</v>
      </c>
      <c r="G988" s="9">
        <v>104</v>
      </c>
      <c r="H988" s="5" t="s">
        <v>20</v>
      </c>
      <c r="I988" s="5" t="s">
        <v>2405</v>
      </c>
      <c r="J988" s="12" t="str">
        <f>HYPERLINK("https://www.boe.es/gazeta/dias/1806/02/04/pdfs/GMD-1806-12.pdf#page=4","Abrir facsímil")</f>
        <v>Abrir facsímil</v>
      </c>
      <c r="K988" s="15" t="s">
        <v>22</v>
      </c>
    </row>
    <row r="989" spans="1:11" ht="42" customHeight="1">
      <c r="A989" s="4" t="s">
        <v>2403</v>
      </c>
      <c r="B989" s="5" t="s">
        <v>2404</v>
      </c>
      <c r="C989" s="5" t="s">
        <v>69</v>
      </c>
      <c r="D989" s="5" t="s">
        <v>70</v>
      </c>
      <c r="E989" s="5" t="s">
        <v>580</v>
      </c>
      <c r="F989" s="9">
        <v>23</v>
      </c>
      <c r="G989" s="9">
        <v>215</v>
      </c>
      <c r="H989" s="5" t="s">
        <v>20</v>
      </c>
      <c r="I989" s="5" t="s">
        <v>2406</v>
      </c>
      <c r="J989" s="12" t="str">
        <f>HYPERLINK("https://www.boe.es/gazeta/dias/1806/03/14/pdfs/GMD-1806-23.pdf#page=3","Abrir facsímil")</f>
        <v>Abrir facsímil</v>
      </c>
      <c r="K989" s="15" t="s">
        <v>22</v>
      </c>
    </row>
    <row r="990" spans="1:11" ht="42" customHeight="1">
      <c r="A990" s="4" t="s">
        <v>2403</v>
      </c>
      <c r="B990" s="5" t="s">
        <v>2404</v>
      </c>
      <c r="C990" s="5" t="s">
        <v>69</v>
      </c>
      <c r="D990" s="5" t="s">
        <v>70</v>
      </c>
      <c r="E990" s="5" t="s">
        <v>580</v>
      </c>
      <c r="F990" s="9">
        <v>23</v>
      </c>
      <c r="G990" s="9">
        <v>216</v>
      </c>
      <c r="H990" s="5" t="s">
        <v>20</v>
      </c>
      <c r="I990" s="5" t="s">
        <v>2407</v>
      </c>
      <c r="J990" s="12" t="str">
        <f>HYPERLINK("https://www.boe.es/gazeta/dias/1806/03/14/pdfs/GMD-1806-23.pdf#page=4","Abrir facsímil")</f>
        <v>Abrir facsímil</v>
      </c>
      <c r="K990" s="15" t="s">
        <v>22</v>
      </c>
    </row>
    <row r="991" spans="1:11" ht="42" customHeight="1">
      <c r="A991" s="4" t="s">
        <v>2408</v>
      </c>
      <c r="B991" s="5" t="s">
        <v>2409</v>
      </c>
      <c r="C991" s="5" t="s">
        <v>17</v>
      </c>
      <c r="D991" s="5" t="s">
        <v>18</v>
      </c>
      <c r="E991" s="5" t="s">
        <v>340</v>
      </c>
      <c r="F991" s="9">
        <v>31</v>
      </c>
      <c r="G991" s="9">
        <v>306</v>
      </c>
      <c r="H991" s="5" t="s">
        <v>20</v>
      </c>
      <c r="I991" s="5" t="s">
        <v>2410</v>
      </c>
      <c r="J991" s="12" t="str">
        <f>HYPERLINK("https://www.boe.es/gazeta/dias/1806/04/11/pdfs/GMD-1806-31.pdf#page=10","Abrir facsímil")</f>
        <v>Abrir facsímil</v>
      </c>
      <c r="K991" s="15" t="s">
        <v>22</v>
      </c>
    </row>
    <row r="992" spans="1:11" ht="42" customHeight="1">
      <c r="A992" s="4" t="s">
        <v>2411</v>
      </c>
      <c r="B992" s="5" t="s">
        <v>2412</v>
      </c>
      <c r="C992" s="5" t="s">
        <v>36</v>
      </c>
      <c r="D992" s="5" t="s">
        <v>37</v>
      </c>
      <c r="E992" s="5" t="s">
        <v>209</v>
      </c>
      <c r="F992" s="9">
        <v>95</v>
      </c>
      <c r="G992" s="9">
        <v>1008</v>
      </c>
      <c r="H992" s="5" t="s">
        <v>20</v>
      </c>
      <c r="I992" s="5" t="s">
        <v>2413</v>
      </c>
      <c r="J992" s="12" t="str">
        <f>HYPERLINK("https://www.boe.es/gazeta/dias/1806/11/21/pdfs/GMD-1806-95.pdf#page=16","Abrir facsímil")</f>
        <v>Abrir facsímil</v>
      </c>
      <c r="K992" s="15" t="s">
        <v>22</v>
      </c>
    </row>
    <row r="993" spans="1:11" ht="42" customHeight="1">
      <c r="A993" s="4" t="s">
        <v>2414</v>
      </c>
      <c r="B993" s="5" t="s">
        <v>2415</v>
      </c>
      <c r="C993" s="5" t="s">
        <v>31</v>
      </c>
      <c r="D993" s="5" t="s">
        <v>32</v>
      </c>
      <c r="E993" s="5" t="s">
        <v>661</v>
      </c>
      <c r="F993" s="9">
        <v>38</v>
      </c>
      <c r="G993" s="9">
        <v>367</v>
      </c>
      <c r="H993" s="5" t="s">
        <v>20</v>
      </c>
      <c r="I993" s="5" t="s">
        <v>2416</v>
      </c>
      <c r="J993" s="12" t="str">
        <f>HYPERLINK("https://www.boe.es/gazeta/dias/1806/05/06/pdfs/GMD-1806-38.pdf#page=3","Abrir facsímil")</f>
        <v>Abrir facsímil</v>
      </c>
      <c r="K993" s="15" t="s">
        <v>22</v>
      </c>
    </row>
    <row r="994" spans="1:11" ht="42" customHeight="1">
      <c r="A994" s="4" t="s">
        <v>2417</v>
      </c>
      <c r="B994" s="5" t="s">
        <v>2418</v>
      </c>
      <c r="C994" s="5" t="s">
        <v>36</v>
      </c>
      <c r="D994" s="5" t="s">
        <v>37</v>
      </c>
      <c r="E994" s="5" t="s">
        <v>100</v>
      </c>
      <c r="F994" s="9">
        <v>7</v>
      </c>
      <c r="G994" s="9">
        <v>61</v>
      </c>
      <c r="H994" s="5" t="s">
        <v>20</v>
      </c>
      <c r="I994" s="5" t="s">
        <v>2419</v>
      </c>
      <c r="J994" s="12" t="str">
        <f>HYPERLINK("https://www.boe.es/gazeta/dias/1806/01/21/pdfs/GMD-1806-7.pdf#page=5","Abrir facsímil")</f>
        <v>Abrir facsímil</v>
      </c>
      <c r="K994" s="15" t="s">
        <v>22</v>
      </c>
    </row>
    <row r="995" spans="1:11" ht="42" customHeight="1">
      <c r="A995" s="4" t="s">
        <v>2420</v>
      </c>
      <c r="B995" s="5" t="s">
        <v>2421</v>
      </c>
      <c r="C995" s="5" t="s">
        <v>69</v>
      </c>
      <c r="D995" s="5" t="s">
        <v>70</v>
      </c>
      <c r="E995" s="5" t="s">
        <v>100</v>
      </c>
      <c r="F995" s="9">
        <v>7</v>
      </c>
      <c r="G995" s="9">
        <v>61</v>
      </c>
      <c r="H995" s="5" t="s">
        <v>20</v>
      </c>
      <c r="I995" s="5" t="s">
        <v>2422</v>
      </c>
      <c r="J995" s="12" t="str">
        <f>HYPERLINK("https://www.boe.es/gazeta/dias/1806/01/21/pdfs/GMD-1806-7.pdf#page=5","Abrir facsímil")</f>
        <v>Abrir facsímil</v>
      </c>
      <c r="K995" s="15" t="s">
        <v>22</v>
      </c>
    </row>
    <row r="996" spans="1:11" ht="42" customHeight="1">
      <c r="A996" s="4" t="s">
        <v>2420</v>
      </c>
      <c r="B996" s="5" t="s">
        <v>2421</v>
      </c>
      <c r="C996" s="5" t="s">
        <v>69</v>
      </c>
      <c r="D996" s="5" t="s">
        <v>70</v>
      </c>
      <c r="E996" s="5" t="s">
        <v>124</v>
      </c>
      <c r="F996" s="9">
        <v>25</v>
      </c>
      <c r="G996" s="9">
        <v>241</v>
      </c>
      <c r="H996" s="5" t="s">
        <v>20</v>
      </c>
      <c r="I996" s="5" t="s">
        <v>2423</v>
      </c>
      <c r="J996" s="12" t="str">
        <f>HYPERLINK("https://www.boe.es/gazeta/dias/1806/03/21/pdfs/GMD-1806-25.pdf#page=5","Abrir facsímil")</f>
        <v>Abrir facsímil</v>
      </c>
      <c r="K996" s="15" t="s">
        <v>22</v>
      </c>
    </row>
    <row r="997" spans="1:11" ht="42" customHeight="1">
      <c r="A997" s="4" t="s">
        <v>2420</v>
      </c>
      <c r="B997" s="5" t="s">
        <v>2421</v>
      </c>
      <c r="C997" s="5" t="s">
        <v>69</v>
      </c>
      <c r="D997" s="5" t="s">
        <v>70</v>
      </c>
      <c r="E997" s="5" t="s">
        <v>837</v>
      </c>
      <c r="F997" s="9">
        <v>26</v>
      </c>
      <c r="G997" s="9">
        <v>252</v>
      </c>
      <c r="H997" s="5" t="s">
        <v>20</v>
      </c>
      <c r="I997" s="5" t="s">
        <v>2424</v>
      </c>
      <c r="J997" s="12" t="str">
        <f>HYPERLINK("https://www.boe.es/gazeta/dias/1806/03/25/pdfs/GMD-1806-26.pdf#page=4","Abrir facsímil")</f>
        <v>Abrir facsímil</v>
      </c>
      <c r="K997" s="15" t="s">
        <v>22</v>
      </c>
    </row>
    <row r="998" spans="1:11" ht="42" customHeight="1">
      <c r="A998" s="4" t="s">
        <v>2420</v>
      </c>
      <c r="B998" s="5" t="s">
        <v>2421</v>
      </c>
      <c r="C998" s="5" t="s">
        <v>69</v>
      </c>
      <c r="D998" s="5" t="s">
        <v>70</v>
      </c>
      <c r="E998" s="5" t="s">
        <v>227</v>
      </c>
      <c r="F998" s="9">
        <v>27</v>
      </c>
      <c r="G998" s="9">
        <v>265</v>
      </c>
      <c r="H998" s="5" t="s">
        <v>20</v>
      </c>
      <c r="I998" s="5" t="s">
        <v>2425</v>
      </c>
      <c r="J998" s="12" t="str">
        <f>HYPERLINK("https://www.boe.es/gazeta/dias/1806/03/28/pdfs/GMD-1806-27.pdf#page=5","Abrir facsímil")</f>
        <v>Abrir facsímil</v>
      </c>
      <c r="K998" s="15" t="s">
        <v>22</v>
      </c>
    </row>
    <row r="999" spans="1:11" ht="42" customHeight="1">
      <c r="A999" s="4" t="s">
        <v>2420</v>
      </c>
      <c r="B999" s="5" t="s">
        <v>2421</v>
      </c>
      <c r="C999" s="5" t="s">
        <v>69</v>
      </c>
      <c r="D999" s="5" t="s">
        <v>70</v>
      </c>
      <c r="E999" s="5" t="s">
        <v>202</v>
      </c>
      <c r="F999" s="9">
        <v>30</v>
      </c>
      <c r="G999" s="9">
        <v>291</v>
      </c>
      <c r="H999" s="5" t="s">
        <v>20</v>
      </c>
      <c r="I999" s="5" t="s">
        <v>2426</v>
      </c>
      <c r="J999" s="12" t="str">
        <f>HYPERLINK("https://www.boe.es/gazeta/dias/1806/04/08/pdfs/GMD-1806-30.pdf#page=3","Abrir facsímil")</f>
        <v>Abrir facsímil</v>
      </c>
      <c r="K999" s="15" t="s">
        <v>22</v>
      </c>
    </row>
    <row r="1000" spans="1:11" ht="42" customHeight="1">
      <c r="A1000" s="4" t="s">
        <v>2420</v>
      </c>
      <c r="B1000" s="5" t="s">
        <v>2421</v>
      </c>
      <c r="C1000" s="5" t="s">
        <v>69</v>
      </c>
      <c r="D1000" s="5" t="s">
        <v>70</v>
      </c>
      <c r="E1000" s="5" t="s">
        <v>494</v>
      </c>
      <c r="F1000" s="9">
        <v>69</v>
      </c>
      <c r="G1000" s="9">
        <v>719</v>
      </c>
      <c r="H1000" s="5" t="s">
        <v>20</v>
      </c>
      <c r="I1000" s="5" t="s">
        <v>2427</v>
      </c>
      <c r="J1000" s="12" t="str">
        <f>HYPERLINK("https://www.boe.es/gazeta/dias/1806/08/22/pdfs/GMD-1806-69.pdf#page=7","Abrir facsímil")</f>
        <v>Abrir facsímil</v>
      </c>
      <c r="K1000" s="15" t="s">
        <v>22</v>
      </c>
    </row>
    <row r="1001" spans="1:11" ht="42" customHeight="1">
      <c r="A1001" s="4" t="s">
        <v>2420</v>
      </c>
      <c r="B1001" s="5" t="s">
        <v>2421</v>
      </c>
      <c r="C1001" s="5" t="s">
        <v>69</v>
      </c>
      <c r="D1001" s="5" t="s">
        <v>70</v>
      </c>
      <c r="E1001" s="5" t="s">
        <v>434</v>
      </c>
      <c r="F1001" s="9">
        <v>74</v>
      </c>
      <c r="G1001" s="9">
        <v>763</v>
      </c>
      <c r="H1001" s="5" t="s">
        <v>20</v>
      </c>
      <c r="I1001" s="5" t="s">
        <v>2428</v>
      </c>
      <c r="J1001" s="12" t="str">
        <f>HYPERLINK("https://www.boe.es/gazeta/dias/1806/09/09/pdfs/GMD-1806-74.pdf#page=3","Abrir facsímil")</f>
        <v>Abrir facsímil</v>
      </c>
      <c r="K1001" s="15" t="s">
        <v>22</v>
      </c>
    </row>
    <row r="1002" spans="1:11" ht="42" customHeight="1">
      <c r="A1002" s="4" t="s">
        <v>2420</v>
      </c>
      <c r="B1002" s="5" t="s">
        <v>2421</v>
      </c>
      <c r="C1002" s="5" t="s">
        <v>69</v>
      </c>
      <c r="D1002" s="5" t="s">
        <v>70</v>
      </c>
      <c r="E1002" s="5" t="s">
        <v>348</v>
      </c>
      <c r="F1002" s="9">
        <v>88</v>
      </c>
      <c r="G1002" s="9">
        <v>909</v>
      </c>
      <c r="H1002" s="5" t="s">
        <v>20</v>
      </c>
      <c r="I1002" s="5" t="s">
        <v>2429</v>
      </c>
      <c r="J1002" s="12" t="str">
        <f>HYPERLINK("https://www.boe.es/gazeta/dias/1806/10/28/pdfs/GMD-1806-88.pdf#page=5","Abrir facsímil")</f>
        <v>Abrir facsímil</v>
      </c>
      <c r="K1002" s="15" t="s">
        <v>22</v>
      </c>
    </row>
    <row r="1003" spans="1:11" ht="42" customHeight="1">
      <c r="A1003" s="4" t="s">
        <v>2420</v>
      </c>
      <c r="B1003" s="5" t="s">
        <v>2421</v>
      </c>
      <c r="C1003" s="5" t="s">
        <v>69</v>
      </c>
      <c r="D1003" s="5" t="s">
        <v>70</v>
      </c>
      <c r="E1003" s="5" t="s">
        <v>231</v>
      </c>
      <c r="F1003" s="9">
        <v>89</v>
      </c>
      <c r="G1003" s="9">
        <v>916</v>
      </c>
      <c r="H1003" s="5" t="s">
        <v>20</v>
      </c>
      <c r="I1003" s="5" t="s">
        <v>2430</v>
      </c>
      <c r="J1003" s="12" t="str">
        <f>HYPERLINK("https://www.boe.es/gazeta/dias/1806/10/31/pdfs/GMD-1806-89.pdf#page=4","Abrir facsímil")</f>
        <v>Abrir facsímil</v>
      </c>
      <c r="K1003" s="15" t="s">
        <v>22</v>
      </c>
    </row>
    <row r="1004" spans="1:11" ht="42" customHeight="1">
      <c r="A1004" s="4" t="s">
        <v>2420</v>
      </c>
      <c r="B1004" s="5" t="s">
        <v>2421</v>
      </c>
      <c r="C1004" s="5" t="s">
        <v>75</v>
      </c>
      <c r="D1004" s="5" t="s">
        <v>43</v>
      </c>
      <c r="E1004" s="5" t="s">
        <v>396</v>
      </c>
      <c r="F1004" s="9">
        <v>91</v>
      </c>
      <c r="G1004" s="9">
        <v>941</v>
      </c>
      <c r="H1004" s="5" t="s">
        <v>20</v>
      </c>
      <c r="I1004" s="5" t="s">
        <v>2431</v>
      </c>
      <c r="J1004" s="12" t="str">
        <f>HYPERLINK("https://www.boe.es/gazeta/dias/1806/11/07/pdfs/GMD-1806-91.pdf#page=5","Abrir facsímil")</f>
        <v>Abrir facsímil</v>
      </c>
      <c r="K1004" s="15" t="s">
        <v>22</v>
      </c>
    </row>
    <row r="1005" spans="1:11" ht="42" customHeight="1">
      <c r="A1005" s="4" t="s">
        <v>2432</v>
      </c>
      <c r="B1005" s="5" t="s">
        <v>2433</v>
      </c>
      <c r="C1005" s="5" t="s">
        <v>42</v>
      </c>
      <c r="D1005" s="5" t="s">
        <v>43</v>
      </c>
      <c r="E1005" s="5" t="s">
        <v>483</v>
      </c>
      <c r="F1005" s="9">
        <v>58</v>
      </c>
      <c r="G1005" s="9">
        <v>602</v>
      </c>
      <c r="H1005" s="5" t="s">
        <v>20</v>
      </c>
      <c r="I1005" s="5" t="s">
        <v>2434</v>
      </c>
      <c r="J1005" s="12" t="str">
        <f>HYPERLINK("https://www.boe.es/gazeta/dias/1806/07/15/pdfs/GMD-1806-58.pdf#page=6","Abrir facsímil")</f>
        <v>Abrir facsímil</v>
      </c>
      <c r="K1005" s="15" t="s">
        <v>22</v>
      </c>
    </row>
    <row r="1006" spans="1:11" ht="42" customHeight="1">
      <c r="A1006" s="4" t="s">
        <v>2435</v>
      </c>
      <c r="B1006" s="5" t="s">
        <v>2436</v>
      </c>
      <c r="C1006" s="5" t="s">
        <v>42</v>
      </c>
      <c r="D1006" s="5" t="s">
        <v>43</v>
      </c>
      <c r="E1006" s="5" t="s">
        <v>383</v>
      </c>
      <c r="F1006" s="9">
        <v>54</v>
      </c>
      <c r="G1006" s="9">
        <v>562</v>
      </c>
      <c r="H1006" s="5" t="s">
        <v>20</v>
      </c>
      <c r="I1006" s="5" t="s">
        <v>2437</v>
      </c>
      <c r="J1006" s="12" t="str">
        <f>HYPERLINK("https://www.boe.es/gazeta/dias/1806/07/01/pdfs/GMD-1806-54.pdf#page=6","Abrir facsímil")</f>
        <v>Abrir facsímil</v>
      </c>
      <c r="K1006" s="15" t="s">
        <v>22</v>
      </c>
    </row>
    <row r="1007" spans="1:11" ht="42" customHeight="1">
      <c r="A1007" s="4" t="s">
        <v>2438</v>
      </c>
      <c r="B1007" s="5" t="s">
        <v>2439</v>
      </c>
      <c r="C1007" s="5" t="s">
        <v>36</v>
      </c>
      <c r="D1007" s="5" t="s">
        <v>37</v>
      </c>
      <c r="E1007" s="5" t="s">
        <v>93</v>
      </c>
      <c r="F1007" s="9">
        <v>72</v>
      </c>
      <c r="G1007" s="9">
        <v>748</v>
      </c>
      <c r="H1007" s="5" t="s">
        <v>20</v>
      </c>
      <c r="I1007" s="5" t="s">
        <v>2440</v>
      </c>
      <c r="J1007" s="12" t="str">
        <f>HYPERLINK("https://www.boe.es/gazeta/dias/1806/09/02/pdfs/GMD-1806-72.pdf#page=8","Abrir facsímil")</f>
        <v>Abrir facsímil</v>
      </c>
      <c r="K1007" s="15" t="s">
        <v>22</v>
      </c>
    </row>
    <row r="1008" spans="1:11" ht="42" customHeight="1">
      <c r="A1008" s="4" t="s">
        <v>2441</v>
      </c>
      <c r="B1008" s="5" t="s">
        <v>2442</v>
      </c>
      <c r="C1008" s="5" t="s">
        <v>31</v>
      </c>
      <c r="D1008" s="5" t="s">
        <v>32</v>
      </c>
      <c r="E1008" s="5" t="s">
        <v>121</v>
      </c>
      <c r="F1008" s="9">
        <v>19</v>
      </c>
      <c r="G1008" s="9">
        <v>172</v>
      </c>
      <c r="H1008" s="5" t="s">
        <v>20</v>
      </c>
      <c r="I1008" s="5" t="s">
        <v>2443</v>
      </c>
      <c r="J1008" s="12" t="str">
        <f>HYPERLINK("https://www.boe.es/gazeta/dias/1806/02/28/pdfs/GMD-1806-19.pdf#page=8","Abrir facsímil")</f>
        <v>Abrir facsímil</v>
      </c>
      <c r="K1008" s="15" t="s">
        <v>22</v>
      </c>
    </row>
    <row r="1009" spans="1:11" ht="42" customHeight="1">
      <c r="A1009" s="4" t="s">
        <v>2444</v>
      </c>
      <c r="B1009" s="5" t="s">
        <v>2445</v>
      </c>
      <c r="C1009" s="5" t="s">
        <v>31</v>
      </c>
      <c r="D1009" s="5" t="s">
        <v>32</v>
      </c>
      <c r="E1009" s="5" t="s">
        <v>82</v>
      </c>
      <c r="F1009" s="9">
        <v>48</v>
      </c>
      <c r="G1009" s="9">
        <v>496</v>
      </c>
      <c r="H1009" s="5" t="s">
        <v>20</v>
      </c>
      <c r="I1009" s="5" t="s">
        <v>2446</v>
      </c>
      <c r="J1009" s="12" t="str">
        <f>HYPERLINK("https://www.boe.es/gazeta/dias/1806/06/10/pdfs/GMD-1806-48.pdf#page=8","Abrir facsímil")</f>
        <v>Abrir facsímil</v>
      </c>
      <c r="K1009" s="15" t="s">
        <v>22</v>
      </c>
    </row>
    <row r="1010" spans="1:11" ht="42" customHeight="1">
      <c r="A1010" s="4" t="s">
        <v>2447</v>
      </c>
      <c r="B1010" s="5" t="s">
        <v>2448</v>
      </c>
      <c r="C1010" s="5" t="s">
        <v>31</v>
      </c>
      <c r="D1010" s="5" t="s">
        <v>32</v>
      </c>
      <c r="E1010" s="5" t="s">
        <v>124</v>
      </c>
      <c r="F1010" s="9">
        <v>25</v>
      </c>
      <c r="G1010" s="9">
        <v>245</v>
      </c>
      <c r="H1010" s="5" t="s">
        <v>20</v>
      </c>
      <c r="I1010" s="5" t="s">
        <v>2449</v>
      </c>
      <c r="J1010" s="12" t="str">
        <f>HYPERLINK("https://www.boe.es/gazeta/dias/1806/03/21/pdfs/GMD-1806-25.pdf#page=9","Abrir facsímil")</f>
        <v>Abrir facsímil</v>
      </c>
      <c r="K1010" s="15" t="s">
        <v>22</v>
      </c>
    </row>
    <row r="1011" spans="1:11" ht="42" customHeight="1">
      <c r="A1011" s="4" t="s">
        <v>2450</v>
      </c>
      <c r="B1011" s="5" t="s">
        <v>2450</v>
      </c>
      <c r="C1011" s="5" t="s">
        <v>36</v>
      </c>
      <c r="D1011" s="5" t="s">
        <v>37</v>
      </c>
      <c r="E1011" s="5" t="s">
        <v>209</v>
      </c>
      <c r="F1011" s="9">
        <v>95</v>
      </c>
      <c r="G1011" s="9">
        <v>1008</v>
      </c>
      <c r="H1011" s="5" t="s">
        <v>20</v>
      </c>
      <c r="I1011" s="5" t="s">
        <v>2451</v>
      </c>
      <c r="J1011" s="12" t="str">
        <f>HYPERLINK("https://www.boe.es/gazeta/dias/1806/11/21/pdfs/GMD-1806-95.pdf#page=16","Abrir facsímil")</f>
        <v>Abrir facsímil</v>
      </c>
      <c r="K1011" s="15" t="s">
        <v>22</v>
      </c>
    </row>
    <row r="1012" spans="1:11" ht="42" customHeight="1">
      <c r="A1012" s="4" t="s">
        <v>2452</v>
      </c>
      <c r="B1012" s="5" t="s">
        <v>2453</v>
      </c>
      <c r="C1012" s="5" t="s">
        <v>31</v>
      </c>
      <c r="D1012" s="5" t="s">
        <v>32</v>
      </c>
      <c r="E1012" s="5" t="s">
        <v>110</v>
      </c>
      <c r="F1012" s="9">
        <v>55</v>
      </c>
      <c r="G1012" s="9">
        <v>572</v>
      </c>
      <c r="H1012" s="5" t="s">
        <v>20</v>
      </c>
      <c r="I1012" s="5" t="s">
        <v>2454</v>
      </c>
      <c r="J1012" s="12" t="str">
        <f>HYPERLINK("https://www.boe.es/gazeta/dias/1806/07/04/pdfs/GMD-1806-55.pdf#page=8","Abrir facsímil")</f>
        <v>Abrir facsímil</v>
      </c>
      <c r="K1012" s="15" t="s">
        <v>22</v>
      </c>
    </row>
    <row r="1013" spans="1:11" ht="42" customHeight="1">
      <c r="A1013" s="4" t="s">
        <v>2455</v>
      </c>
      <c r="B1013" s="5" t="s">
        <v>2455</v>
      </c>
      <c r="C1013" s="5" t="s">
        <v>17</v>
      </c>
      <c r="D1013" s="5" t="s">
        <v>18</v>
      </c>
      <c r="E1013" s="5" t="s">
        <v>178</v>
      </c>
      <c r="F1013" s="9">
        <v>36</v>
      </c>
      <c r="G1013" s="9">
        <v>349</v>
      </c>
      <c r="H1013" s="5" t="s">
        <v>20</v>
      </c>
      <c r="I1013" s="5" t="s">
        <v>2456</v>
      </c>
      <c r="J1013" s="12" t="str">
        <f>HYPERLINK("https://www.boe.es/gazeta/dias/1806/04/29/pdfs/GMD-1806-36.pdf#page=5","Abrir facsímil")</f>
        <v>Abrir facsímil</v>
      </c>
      <c r="K1013" s="15" t="s">
        <v>22</v>
      </c>
    </row>
    <row r="1014" spans="1:11" ht="42" customHeight="1">
      <c r="A1014" s="4" t="s">
        <v>2457</v>
      </c>
      <c r="B1014" s="5" t="s">
        <v>2457</v>
      </c>
      <c r="C1014" s="5" t="s">
        <v>42</v>
      </c>
      <c r="D1014" s="5" t="s">
        <v>43</v>
      </c>
      <c r="E1014" s="5" t="s">
        <v>301</v>
      </c>
      <c r="F1014" s="9">
        <v>75</v>
      </c>
      <c r="G1014" s="9">
        <v>776</v>
      </c>
      <c r="H1014" s="5" t="s">
        <v>20</v>
      </c>
      <c r="I1014" s="5" t="s">
        <v>2458</v>
      </c>
      <c r="J1014" s="12" t="str">
        <f>HYPERLINK("https://www.boe.es/gazeta/dias/1806/09/12/pdfs/GMD-1806-75.pdf#page=8","Abrir facsímil")</f>
        <v>Abrir facsímil</v>
      </c>
      <c r="K1014" s="15" t="s">
        <v>22</v>
      </c>
    </row>
    <row r="1015" spans="1:11" ht="42" customHeight="1">
      <c r="A1015" s="4" t="s">
        <v>2459</v>
      </c>
      <c r="B1015" s="5" t="s">
        <v>2459</v>
      </c>
      <c r="C1015" s="5" t="s">
        <v>17</v>
      </c>
      <c r="D1015" s="5" t="s">
        <v>18</v>
      </c>
      <c r="E1015" s="5" t="s">
        <v>363</v>
      </c>
      <c r="F1015" s="9">
        <v>8</v>
      </c>
      <c r="G1015" s="9">
        <v>73</v>
      </c>
      <c r="H1015" s="5" t="s">
        <v>20</v>
      </c>
      <c r="I1015" s="5" t="s">
        <v>2460</v>
      </c>
      <c r="J1015" s="12" t="str">
        <f>HYPERLINK("https://www.boe.es/gazeta/dias/1806/01/24/pdfs/GMD-1806-8.pdf#page=5","Abrir facsímil")</f>
        <v>Abrir facsímil</v>
      </c>
      <c r="K1015" s="15" t="s">
        <v>22</v>
      </c>
    </row>
    <row r="1016" spans="1:11" ht="42" customHeight="1">
      <c r="A1016" s="4" t="s">
        <v>2461</v>
      </c>
      <c r="B1016" s="5" t="s">
        <v>2461</v>
      </c>
      <c r="C1016" s="5" t="s">
        <v>75</v>
      </c>
      <c r="D1016" s="5" t="s">
        <v>43</v>
      </c>
      <c r="E1016" s="5" t="s">
        <v>191</v>
      </c>
      <c r="F1016" s="9">
        <v>103</v>
      </c>
      <c r="G1016" s="9">
        <v>1099</v>
      </c>
      <c r="H1016" s="5" t="s">
        <v>20</v>
      </c>
      <c r="I1016" s="5" t="s">
        <v>2462</v>
      </c>
      <c r="J1016" s="12" t="str">
        <f>HYPERLINK("https://www.boe.es/gazeta/dias/1806/12/19/pdfs/GMD-1806-103.pdf#page=11","Abrir facsímil")</f>
        <v>Abrir facsímil</v>
      </c>
      <c r="K1016" s="15" t="s">
        <v>22</v>
      </c>
    </row>
    <row r="1017" spans="1:11" ht="42" customHeight="1">
      <c r="A1017" s="4" t="s">
        <v>2463</v>
      </c>
      <c r="B1017" s="5" t="s">
        <v>2464</v>
      </c>
      <c r="C1017" s="5" t="s">
        <v>36</v>
      </c>
      <c r="D1017" s="5" t="s">
        <v>37</v>
      </c>
      <c r="E1017" s="5" t="s">
        <v>191</v>
      </c>
      <c r="F1017" s="9">
        <v>103</v>
      </c>
      <c r="G1017" s="9">
        <v>1099</v>
      </c>
      <c r="H1017" s="5" t="s">
        <v>20</v>
      </c>
      <c r="I1017" s="5" t="s">
        <v>2465</v>
      </c>
      <c r="J1017" s="12" t="str">
        <f>HYPERLINK("https://www.boe.es/gazeta/dias/1806/12/19/pdfs/GMD-1806-103.pdf#page=11","Abrir facsímil")</f>
        <v>Abrir facsímil</v>
      </c>
      <c r="K1017" s="15" t="s">
        <v>22</v>
      </c>
    </row>
    <row r="1018" spans="1:11" ht="42" customHeight="1">
      <c r="A1018" s="4" t="s">
        <v>2466</v>
      </c>
      <c r="B1018" s="5" t="s">
        <v>2466</v>
      </c>
      <c r="C1018" s="5" t="s">
        <v>69</v>
      </c>
      <c r="D1018" s="5" t="s">
        <v>70</v>
      </c>
      <c r="E1018" s="5" t="s">
        <v>96</v>
      </c>
      <c r="F1018" s="9">
        <v>62</v>
      </c>
      <c r="G1018" s="9">
        <v>647</v>
      </c>
      <c r="H1018" s="5" t="s">
        <v>20</v>
      </c>
      <c r="I1018" s="5" t="s">
        <v>2467</v>
      </c>
      <c r="J1018" s="12" t="str">
        <f>HYPERLINK("https://www.boe.es/gazeta/dias/1806/07/29/pdfs/GMD-1806-62.pdf#page=7","Abrir facsímil")</f>
        <v>Abrir facsímil</v>
      </c>
      <c r="K1018" s="15" t="s">
        <v>22</v>
      </c>
    </row>
    <row r="1019" spans="1:11" ht="42" customHeight="1">
      <c r="A1019" s="4" t="s">
        <v>2468</v>
      </c>
      <c r="B1019" s="5" t="s">
        <v>2469</v>
      </c>
      <c r="C1019" s="5" t="s">
        <v>69</v>
      </c>
      <c r="D1019" s="5" t="s">
        <v>70</v>
      </c>
      <c r="E1019" s="5" t="s">
        <v>312</v>
      </c>
      <c r="F1019" s="9">
        <v>100</v>
      </c>
      <c r="G1019" s="9">
        <v>1058</v>
      </c>
      <c r="H1019" s="5" t="s">
        <v>20</v>
      </c>
      <c r="I1019" s="5" t="s">
        <v>2470</v>
      </c>
      <c r="J1019" s="12" t="str">
        <f>HYPERLINK("https://www.boe.es/gazeta/dias/1806/12/09/pdfs/GMD-1806-100.pdf#page=2","Abrir facsímil")</f>
        <v>Abrir facsímil</v>
      </c>
      <c r="K1019" s="15" t="s">
        <v>22</v>
      </c>
    </row>
    <row r="1020" spans="1:11" ht="42" customHeight="1">
      <c r="A1020" s="4" t="s">
        <v>2471</v>
      </c>
      <c r="B1020" s="5" t="s">
        <v>2472</v>
      </c>
      <c r="C1020" s="5" t="s">
        <v>69</v>
      </c>
      <c r="D1020" s="5" t="s">
        <v>70</v>
      </c>
      <c r="E1020" s="5" t="s">
        <v>327</v>
      </c>
      <c r="F1020" s="9">
        <v>104</v>
      </c>
      <c r="G1020" s="9">
        <v>1104</v>
      </c>
      <c r="H1020" s="5" t="s">
        <v>20</v>
      </c>
      <c r="I1020" s="5" t="s">
        <v>2473</v>
      </c>
      <c r="J1020" s="12" t="str">
        <f>HYPERLINK("https://www.boe.es/gazeta/dias/1806/12/23/pdfs/GMD-1806-104.pdf#page=4","Abrir facsímil")</f>
        <v>Abrir facsímil</v>
      </c>
      <c r="K1020" s="15" t="s">
        <v>22</v>
      </c>
    </row>
    <row r="1021" spans="1:11" ht="42" customHeight="1">
      <c r="A1021" s="4" t="s">
        <v>2474</v>
      </c>
      <c r="B1021" s="5" t="s">
        <v>2475</v>
      </c>
      <c r="C1021" s="5" t="s">
        <v>69</v>
      </c>
      <c r="D1021" s="5" t="s">
        <v>70</v>
      </c>
      <c r="E1021" s="5" t="s">
        <v>279</v>
      </c>
      <c r="F1021" s="9">
        <v>52</v>
      </c>
      <c r="G1021" s="9">
        <v>537</v>
      </c>
      <c r="H1021" s="5" t="s">
        <v>20</v>
      </c>
      <c r="I1021" s="5" t="s">
        <v>2476</v>
      </c>
      <c r="J1021" s="12" t="str">
        <f>HYPERLINK("https://www.boe.es/gazeta/dias/1806/06/24/pdfs/GMD-1806-52.pdf#page=5","Abrir facsímil")</f>
        <v>Abrir facsímil</v>
      </c>
      <c r="K1021" s="15" t="s">
        <v>22</v>
      </c>
    </row>
    <row r="1022" spans="1:11" ht="42" customHeight="1">
      <c r="A1022" s="4" t="s">
        <v>2477</v>
      </c>
      <c r="B1022" s="5" t="s">
        <v>2478</v>
      </c>
      <c r="C1022" s="5" t="s">
        <v>69</v>
      </c>
      <c r="D1022" s="5" t="s">
        <v>70</v>
      </c>
      <c r="E1022" s="5" t="s">
        <v>348</v>
      </c>
      <c r="F1022" s="9">
        <v>88</v>
      </c>
      <c r="G1022" s="9">
        <v>909</v>
      </c>
      <c r="H1022" s="5" t="s">
        <v>20</v>
      </c>
      <c r="I1022" s="5" t="s">
        <v>2479</v>
      </c>
      <c r="J1022" s="12" t="str">
        <f>HYPERLINK("https://www.boe.es/gazeta/dias/1806/10/28/pdfs/GMD-1806-88.pdf#page=5","Abrir facsímil")</f>
        <v>Abrir facsímil</v>
      </c>
      <c r="K1022" s="15" t="s">
        <v>22</v>
      </c>
    </row>
    <row r="1023" spans="1:11" ht="42" customHeight="1">
      <c r="A1023" s="4" t="s">
        <v>2477</v>
      </c>
      <c r="B1023" s="5" t="s">
        <v>2478</v>
      </c>
      <c r="C1023" s="5" t="s">
        <v>17</v>
      </c>
      <c r="D1023" s="5" t="s">
        <v>18</v>
      </c>
      <c r="E1023" s="5" t="s">
        <v>76</v>
      </c>
      <c r="F1023" s="9">
        <v>98</v>
      </c>
      <c r="G1023" s="9">
        <v>1033</v>
      </c>
      <c r="H1023" s="5" t="s">
        <v>20</v>
      </c>
      <c r="I1023" s="5" t="s">
        <v>2480</v>
      </c>
      <c r="J1023" s="12" t="str">
        <f>HYPERLINK("https://www.boe.es/gazeta/dias/1806/12/02/pdfs/GMD-1806-98.pdf#page=1","Abrir facsímil")</f>
        <v>Abrir facsímil</v>
      </c>
      <c r="K1023" s="15" t="s">
        <v>22</v>
      </c>
    </row>
    <row r="1024" spans="1:11" ht="42" customHeight="1">
      <c r="A1024" s="4" t="s">
        <v>2481</v>
      </c>
      <c r="B1024" s="5" t="s">
        <v>2482</v>
      </c>
      <c r="C1024" s="5" t="s">
        <v>31</v>
      </c>
      <c r="D1024" s="5" t="s">
        <v>32</v>
      </c>
      <c r="E1024" s="5" t="s">
        <v>195</v>
      </c>
      <c r="F1024" s="9">
        <v>4</v>
      </c>
      <c r="G1024" s="9">
        <v>37</v>
      </c>
      <c r="H1024" s="5" t="s">
        <v>20</v>
      </c>
      <c r="I1024" s="5" t="s">
        <v>2483</v>
      </c>
      <c r="J1024" s="12" t="str">
        <f>HYPERLINK("https://www.boe.es/gazeta/dias/1806/01/14/pdfs/GMD-1806-4.pdf#page=9","Abrir facsímil")</f>
        <v>Abrir facsímil</v>
      </c>
      <c r="K1024" s="15" t="s">
        <v>22</v>
      </c>
    </row>
    <row r="1025" spans="1:11" ht="42" customHeight="1">
      <c r="A1025" s="4" t="s">
        <v>2484</v>
      </c>
      <c r="B1025" s="5" t="s">
        <v>2485</v>
      </c>
      <c r="C1025" s="5" t="s">
        <v>42</v>
      </c>
      <c r="D1025" s="5" t="s">
        <v>43</v>
      </c>
      <c r="E1025" s="5" t="s">
        <v>185</v>
      </c>
      <c r="F1025" s="9">
        <v>46</v>
      </c>
      <c r="G1025" s="9">
        <v>468</v>
      </c>
      <c r="H1025" s="5" t="s">
        <v>20</v>
      </c>
      <c r="I1025" s="5" t="s">
        <v>2486</v>
      </c>
      <c r="J1025" s="12" t="str">
        <f>HYPERLINK("https://www.boe.es/gazeta/dias/1806/06/03/pdfs/GMD-1806-46.pdf#page=8","Abrir facsímil")</f>
        <v>Abrir facsímil</v>
      </c>
      <c r="K1025" s="15" t="s">
        <v>22</v>
      </c>
    </row>
    <row r="1026" spans="1:11" ht="42" customHeight="1">
      <c r="A1026" s="4" t="s">
        <v>2487</v>
      </c>
      <c r="B1026" s="5" t="s">
        <v>2488</v>
      </c>
      <c r="C1026" s="5" t="s">
        <v>31</v>
      </c>
      <c r="D1026" s="5" t="s">
        <v>32</v>
      </c>
      <c r="E1026" s="5" t="s">
        <v>178</v>
      </c>
      <c r="F1026" s="9">
        <v>36</v>
      </c>
      <c r="G1026" s="9">
        <v>350</v>
      </c>
      <c r="H1026" s="5" t="s">
        <v>20</v>
      </c>
      <c r="I1026" s="5" t="s">
        <v>2489</v>
      </c>
      <c r="J1026" s="12" t="str">
        <f>HYPERLINK("https://www.boe.es/gazeta/dias/1806/04/29/pdfs/GMD-1806-36.pdf#page=6","Abrir facsímil")</f>
        <v>Abrir facsímil</v>
      </c>
      <c r="K1026" s="15" t="s">
        <v>22</v>
      </c>
    </row>
    <row r="1027" spans="1:11" ht="42" customHeight="1">
      <c r="A1027" s="4" t="s">
        <v>2490</v>
      </c>
      <c r="B1027" s="5" t="s">
        <v>2491</v>
      </c>
      <c r="C1027" s="5" t="s">
        <v>31</v>
      </c>
      <c r="D1027" s="5" t="s">
        <v>32</v>
      </c>
      <c r="E1027" s="5" t="s">
        <v>716</v>
      </c>
      <c r="F1027" s="9">
        <v>56</v>
      </c>
      <c r="G1027" s="9">
        <v>586</v>
      </c>
      <c r="H1027" s="5" t="s">
        <v>20</v>
      </c>
      <c r="I1027" s="5" t="s">
        <v>2492</v>
      </c>
      <c r="J1027" s="12" t="str">
        <f>HYPERLINK("https://www.boe.es/gazeta/dias/1806/07/08/pdfs/GMD-1806-56.pdf#page=10","Abrir facsímil")</f>
        <v>Abrir facsímil</v>
      </c>
      <c r="K1027" s="15" t="s">
        <v>22</v>
      </c>
    </row>
    <row r="1028" spans="1:11" ht="42" customHeight="1">
      <c r="A1028" s="4" t="s">
        <v>2493</v>
      </c>
      <c r="B1028" s="5" t="s">
        <v>2494</v>
      </c>
      <c r="C1028" s="5" t="s">
        <v>75</v>
      </c>
      <c r="D1028" s="5" t="s">
        <v>43</v>
      </c>
      <c r="E1028" s="5" t="s">
        <v>90</v>
      </c>
      <c r="F1028" s="9">
        <v>60</v>
      </c>
      <c r="G1028" s="9">
        <v>618</v>
      </c>
      <c r="H1028" s="5" t="s">
        <v>20</v>
      </c>
      <c r="I1028" s="5" t="s">
        <v>2495</v>
      </c>
      <c r="J1028" s="12" t="str">
        <f>HYPERLINK("https://www.boe.es/gazeta/dias/1806/07/22/pdfs/GMD-1806-60.pdf#page=2","Abrir facsímil")</f>
        <v>Abrir facsímil</v>
      </c>
      <c r="K1028" s="15" t="s">
        <v>22</v>
      </c>
    </row>
    <row r="1029" spans="1:11" ht="42" customHeight="1">
      <c r="A1029" s="4" t="s">
        <v>2493</v>
      </c>
      <c r="B1029" s="5" t="s">
        <v>2494</v>
      </c>
      <c r="C1029" s="5" t="s">
        <v>69</v>
      </c>
      <c r="D1029" s="5" t="s">
        <v>70</v>
      </c>
      <c r="E1029" s="5" t="s">
        <v>93</v>
      </c>
      <c r="F1029" s="9">
        <v>72</v>
      </c>
      <c r="G1029" s="9">
        <v>743</v>
      </c>
      <c r="H1029" s="5" t="s">
        <v>20</v>
      </c>
      <c r="I1029" s="5" t="s">
        <v>2496</v>
      </c>
      <c r="J1029" s="12" t="str">
        <f>HYPERLINK("https://www.boe.es/gazeta/dias/1806/09/02/pdfs/GMD-1806-72.pdf#page=3","Abrir facsímil")</f>
        <v>Abrir facsímil</v>
      </c>
      <c r="K1029" s="15" t="s">
        <v>22</v>
      </c>
    </row>
    <row r="1030" spans="1:11" ht="42" customHeight="1">
      <c r="A1030" s="4" t="s">
        <v>2497</v>
      </c>
      <c r="B1030" s="5" t="s">
        <v>2498</v>
      </c>
      <c r="C1030" s="5" t="s">
        <v>69</v>
      </c>
      <c r="D1030" s="5" t="s">
        <v>70</v>
      </c>
      <c r="E1030" s="5" t="s">
        <v>837</v>
      </c>
      <c r="F1030" s="9">
        <v>26</v>
      </c>
      <c r="G1030" s="9">
        <v>251</v>
      </c>
      <c r="H1030" s="5" t="s">
        <v>20</v>
      </c>
      <c r="I1030" s="5" t="s">
        <v>2499</v>
      </c>
      <c r="J1030" s="12" t="str">
        <f>HYPERLINK("https://www.boe.es/gazeta/dias/1806/03/25/pdfs/GMD-1806-26.pdf#page=3","Abrir facsímil")</f>
        <v>Abrir facsímil</v>
      </c>
      <c r="K1030" s="15" t="s">
        <v>22</v>
      </c>
    </row>
    <row r="1031" spans="1:11" ht="42" customHeight="1">
      <c r="A1031" s="4" t="s">
        <v>2500</v>
      </c>
      <c r="B1031" s="5" t="s">
        <v>2501</v>
      </c>
      <c r="C1031" s="5" t="s">
        <v>69</v>
      </c>
      <c r="D1031" s="5" t="s">
        <v>70</v>
      </c>
      <c r="E1031" s="5" t="s">
        <v>121</v>
      </c>
      <c r="F1031" s="9">
        <v>19</v>
      </c>
      <c r="G1031" s="9">
        <v>166</v>
      </c>
      <c r="H1031" s="5" t="s">
        <v>20</v>
      </c>
      <c r="I1031" s="5" t="s">
        <v>2502</v>
      </c>
      <c r="J1031" s="12" t="str">
        <f>HYPERLINK("https://www.boe.es/gazeta/dias/1806/02/28/pdfs/GMD-1806-19.pdf#page=2","Abrir facsímil")</f>
        <v>Abrir facsímil</v>
      </c>
      <c r="K1031" s="15" t="s">
        <v>22</v>
      </c>
    </row>
    <row r="1032" spans="1:11" ht="42" customHeight="1">
      <c r="A1032" s="4" t="s">
        <v>2500</v>
      </c>
      <c r="B1032" s="5" t="s">
        <v>2501</v>
      </c>
      <c r="C1032" s="5" t="s">
        <v>31</v>
      </c>
      <c r="D1032" s="5" t="s">
        <v>32</v>
      </c>
      <c r="E1032" s="5" t="s">
        <v>26</v>
      </c>
      <c r="F1032" s="9">
        <v>65</v>
      </c>
      <c r="G1032" s="9">
        <v>674</v>
      </c>
      <c r="H1032" s="5" t="s">
        <v>20</v>
      </c>
      <c r="I1032" s="5" t="s">
        <v>2503</v>
      </c>
      <c r="J1032" s="12" t="str">
        <f>HYPERLINK("https://www.boe.es/gazeta/dias/1806/08/08/pdfs/GMD-1806-65.pdf#page=2","Abrir facsímil")</f>
        <v>Abrir facsímil</v>
      </c>
      <c r="K1032" s="15" t="s">
        <v>22</v>
      </c>
    </row>
    <row r="1033" spans="1:11" ht="42" customHeight="1">
      <c r="A1033" s="4" t="s">
        <v>2500</v>
      </c>
      <c r="B1033" s="5" t="s">
        <v>2501</v>
      </c>
      <c r="C1033" s="5" t="s">
        <v>17</v>
      </c>
      <c r="D1033" s="5" t="s">
        <v>18</v>
      </c>
      <c r="E1033" s="5" t="s">
        <v>79</v>
      </c>
      <c r="F1033" s="9">
        <v>68</v>
      </c>
      <c r="G1033" s="9">
        <v>709</v>
      </c>
      <c r="H1033" s="5" t="s">
        <v>20</v>
      </c>
      <c r="I1033" s="5" t="s">
        <v>2504</v>
      </c>
      <c r="J1033" s="12" t="str">
        <f>HYPERLINK("https://www.boe.es/gazeta/dias/1806/08/19/pdfs/GMD-1806-68.pdf#page=5","Abrir facsímil")</f>
        <v>Abrir facsímil</v>
      </c>
      <c r="K1033" s="15" t="s">
        <v>22</v>
      </c>
    </row>
    <row r="1034" spans="1:11" ht="42" customHeight="1">
      <c r="A1034" s="4" t="s">
        <v>2505</v>
      </c>
      <c r="B1034" s="5" t="s">
        <v>2505</v>
      </c>
      <c r="C1034" s="5" t="s">
        <v>17</v>
      </c>
      <c r="D1034" s="5" t="s">
        <v>18</v>
      </c>
      <c r="E1034" s="5" t="s">
        <v>121</v>
      </c>
      <c r="F1034" s="9">
        <v>19</v>
      </c>
      <c r="G1034" s="9">
        <v>175</v>
      </c>
      <c r="H1034" s="5" t="s">
        <v>20</v>
      </c>
      <c r="I1034" s="5" t="s">
        <v>2506</v>
      </c>
      <c r="J1034" s="12" t="str">
        <f>HYPERLINK("https://www.boe.es/gazeta/dias/1806/02/28/pdfs/GMD-1806-19.pdf#page=11","Abrir facsímil")</f>
        <v>Abrir facsímil</v>
      </c>
      <c r="K1034" s="15" t="s">
        <v>22</v>
      </c>
    </row>
    <row r="1035" spans="1:11" ht="42" customHeight="1">
      <c r="A1035" s="4" t="s">
        <v>2507</v>
      </c>
      <c r="B1035" s="5" t="s">
        <v>2507</v>
      </c>
      <c r="C1035" s="5" t="s">
        <v>17</v>
      </c>
      <c r="D1035" s="5" t="s">
        <v>18</v>
      </c>
      <c r="E1035" s="5" t="s">
        <v>290</v>
      </c>
      <c r="F1035" s="9">
        <v>1</v>
      </c>
      <c r="G1035" s="9">
        <v>11</v>
      </c>
      <c r="H1035" s="5" t="s">
        <v>20</v>
      </c>
      <c r="I1035" s="5" t="s">
        <v>2508</v>
      </c>
      <c r="J1035" s="12" t="str">
        <f>HYPERLINK("https://www.boe.es/gazeta/dias/1806/01/03/pdfs/GMD-1806-1.pdf#page=11","Abrir facsímil")</f>
        <v>Abrir facsímil</v>
      </c>
      <c r="K1035" s="15" t="s">
        <v>22</v>
      </c>
    </row>
    <row r="1036" spans="1:11" ht="42" customHeight="1">
      <c r="A1036" s="4" t="s">
        <v>2509</v>
      </c>
      <c r="B1036" s="5" t="s">
        <v>2509</v>
      </c>
      <c r="C1036" s="5" t="s">
        <v>17</v>
      </c>
      <c r="D1036" s="5" t="s">
        <v>18</v>
      </c>
      <c r="E1036" s="5" t="s">
        <v>780</v>
      </c>
      <c r="F1036" s="9">
        <v>33</v>
      </c>
      <c r="G1036" s="9">
        <v>326</v>
      </c>
      <c r="H1036" s="5" t="s">
        <v>20</v>
      </c>
      <c r="I1036" s="5" t="s">
        <v>2510</v>
      </c>
      <c r="J1036" s="12" t="str">
        <f>HYPERLINK("https://www.boe.es/gazeta/dias/1806/04/18/pdfs/GMD-1806-33.pdf#page=6","Abrir facsímil")</f>
        <v>Abrir facsímil</v>
      </c>
      <c r="K1036" s="15" t="s">
        <v>22</v>
      </c>
    </row>
    <row r="1037" spans="1:11" ht="42" customHeight="1">
      <c r="A1037" s="4" t="s">
        <v>2511</v>
      </c>
      <c r="B1037" s="5" t="s">
        <v>2511</v>
      </c>
      <c r="C1037" s="5" t="s">
        <v>31</v>
      </c>
      <c r="D1037" s="5" t="s">
        <v>32</v>
      </c>
      <c r="E1037" s="5" t="s">
        <v>172</v>
      </c>
      <c r="F1037" s="9">
        <v>17</v>
      </c>
      <c r="G1037" s="9">
        <v>151</v>
      </c>
      <c r="H1037" s="5" t="s">
        <v>20</v>
      </c>
      <c r="I1037" s="5" t="s">
        <v>2512</v>
      </c>
      <c r="J1037" s="12" t="str">
        <f>HYPERLINK("https://www.boe.es/gazeta/dias/1806/02/21/pdfs/GMD-1806-17.pdf#page=7","Abrir facsímil")</f>
        <v>Abrir facsímil</v>
      </c>
      <c r="K1037" s="15" t="s">
        <v>22</v>
      </c>
    </row>
    <row r="1038" spans="1:11" ht="42" customHeight="1">
      <c r="A1038" s="4" t="s">
        <v>2513</v>
      </c>
      <c r="B1038" s="5" t="s">
        <v>2513</v>
      </c>
      <c r="C1038" s="5" t="s">
        <v>36</v>
      </c>
      <c r="D1038" s="5" t="s">
        <v>37</v>
      </c>
      <c r="E1038" s="5" t="s">
        <v>79</v>
      </c>
      <c r="F1038" s="9">
        <v>68</v>
      </c>
      <c r="G1038" s="9">
        <v>710</v>
      </c>
      <c r="H1038" s="5" t="s">
        <v>20</v>
      </c>
      <c r="I1038" s="5" t="s">
        <v>2514</v>
      </c>
      <c r="J1038" s="12" t="str">
        <f>HYPERLINK("https://www.boe.es/gazeta/dias/1806/08/19/pdfs/GMD-1806-68.pdf#page=6","Abrir facsímil")</f>
        <v>Abrir facsímil</v>
      </c>
      <c r="K1038" s="15" t="s">
        <v>22</v>
      </c>
    </row>
    <row r="1039" spans="1:11" ht="42" customHeight="1">
      <c r="A1039" s="4" t="s">
        <v>2515</v>
      </c>
      <c r="B1039" s="5" t="s">
        <v>2515</v>
      </c>
      <c r="C1039" s="5" t="s">
        <v>31</v>
      </c>
      <c r="D1039" s="5" t="s">
        <v>32</v>
      </c>
      <c r="E1039" s="5" t="s">
        <v>1778</v>
      </c>
      <c r="F1039" s="9">
        <v>16</v>
      </c>
      <c r="G1039" s="9">
        <v>143</v>
      </c>
      <c r="H1039" s="5" t="s">
        <v>20</v>
      </c>
      <c r="I1039" s="5" t="s">
        <v>2516</v>
      </c>
      <c r="J1039" s="12" t="str">
        <f>HYPERLINK("https://www.boe.es/gazeta/dias/1806/02/18/pdfs/GMD-1806-16.pdf#page=7","Abrir facsímil")</f>
        <v>Abrir facsímil</v>
      </c>
      <c r="K1039" s="15" t="s">
        <v>22</v>
      </c>
    </row>
    <row r="1040" spans="1:11" ht="42" customHeight="1">
      <c r="A1040" s="4" t="s">
        <v>2517</v>
      </c>
      <c r="B1040" s="5" t="s">
        <v>2517</v>
      </c>
      <c r="C1040" s="5" t="s">
        <v>31</v>
      </c>
      <c r="D1040" s="5" t="s">
        <v>32</v>
      </c>
      <c r="E1040" s="5" t="s">
        <v>474</v>
      </c>
      <c r="F1040" s="9">
        <v>10</v>
      </c>
      <c r="G1040" s="9">
        <v>91</v>
      </c>
      <c r="H1040" s="5" t="s">
        <v>20</v>
      </c>
      <c r="I1040" s="5" t="s">
        <v>2518</v>
      </c>
      <c r="J1040" s="12" t="str">
        <f>HYPERLINK("https://www.boe.es/gazeta/dias/1806/01/28/pdfs/GMD-1806-10.pdf#page=7","Abrir facsímil")</f>
        <v>Abrir facsímil</v>
      </c>
      <c r="K1040" s="15" t="s">
        <v>22</v>
      </c>
    </row>
    <row r="1041" spans="1:11" ht="42" customHeight="1">
      <c r="A1041" s="4" t="s">
        <v>2519</v>
      </c>
      <c r="B1041" s="5" t="s">
        <v>2519</v>
      </c>
      <c r="C1041" s="5" t="s">
        <v>31</v>
      </c>
      <c r="D1041" s="5" t="s">
        <v>32</v>
      </c>
      <c r="E1041" s="5" t="s">
        <v>19</v>
      </c>
      <c r="F1041" s="9">
        <v>3</v>
      </c>
      <c r="G1041" s="9">
        <v>28</v>
      </c>
      <c r="H1041" s="5" t="s">
        <v>20</v>
      </c>
      <c r="I1041" s="5" t="s">
        <v>2520</v>
      </c>
      <c r="J1041" s="12" t="str">
        <f>HYPERLINK("https://www.boe.es/gazeta/dias/1806/01/10/pdfs/GMD-1806-3.pdf#page=8","Abrir facsímil")</f>
        <v>Abrir facsímil</v>
      </c>
      <c r="K1041" s="15" t="s">
        <v>22</v>
      </c>
    </row>
    <row r="1042" spans="1:11" ht="42" customHeight="1">
      <c r="A1042" s="4" t="s">
        <v>2519</v>
      </c>
      <c r="B1042" s="5" t="s">
        <v>2519</v>
      </c>
      <c r="C1042" s="5" t="s">
        <v>31</v>
      </c>
      <c r="D1042" s="5" t="s">
        <v>32</v>
      </c>
      <c r="E1042" s="5" t="s">
        <v>195</v>
      </c>
      <c r="F1042" s="9">
        <v>4</v>
      </c>
      <c r="G1042" s="9">
        <v>37</v>
      </c>
      <c r="H1042" s="5" t="s">
        <v>20</v>
      </c>
      <c r="I1042" s="5" t="s">
        <v>2521</v>
      </c>
      <c r="J1042" s="12" t="str">
        <f>HYPERLINK("https://www.boe.es/gazeta/dias/1806/01/14/pdfs/GMD-1806-4.pdf#page=9","Abrir facsímil")</f>
        <v>Abrir facsímil</v>
      </c>
      <c r="K1042" s="15" t="s">
        <v>22</v>
      </c>
    </row>
    <row r="1043" spans="1:11" ht="42" customHeight="1">
      <c r="A1043" s="4" t="s">
        <v>2519</v>
      </c>
      <c r="B1043" s="5" t="s">
        <v>2519</v>
      </c>
      <c r="C1043" s="5" t="s">
        <v>31</v>
      </c>
      <c r="D1043" s="5" t="s">
        <v>32</v>
      </c>
      <c r="E1043" s="5" t="s">
        <v>271</v>
      </c>
      <c r="F1043" s="9">
        <v>6</v>
      </c>
      <c r="G1043" s="9">
        <v>55</v>
      </c>
      <c r="H1043" s="5" t="s">
        <v>20</v>
      </c>
      <c r="I1043" s="5" t="s">
        <v>2522</v>
      </c>
      <c r="J1043" s="12" t="str">
        <f>HYPERLINK("https://www.boe.es/gazeta/dias/1806/01/17/pdfs/GMD-1806-6.pdf#page=11","Abrir facsímil")</f>
        <v>Abrir facsímil</v>
      </c>
      <c r="K1043" s="15" t="s">
        <v>22</v>
      </c>
    </row>
    <row r="1044" spans="1:11" ht="42" customHeight="1">
      <c r="A1044" s="4" t="s">
        <v>2519</v>
      </c>
      <c r="B1044" s="5" t="s">
        <v>2519</v>
      </c>
      <c r="C1044" s="5" t="s">
        <v>75</v>
      </c>
      <c r="D1044" s="5" t="s">
        <v>43</v>
      </c>
      <c r="E1044" s="5" t="s">
        <v>100</v>
      </c>
      <c r="F1044" s="9">
        <v>7</v>
      </c>
      <c r="G1044" s="9">
        <v>66</v>
      </c>
      <c r="H1044" s="5" t="s">
        <v>20</v>
      </c>
      <c r="I1044" s="5" t="s">
        <v>2523</v>
      </c>
      <c r="J1044" s="12" t="str">
        <f>HYPERLINK("https://www.boe.es/gazeta/dias/1806/01/21/pdfs/GMD-1806-7.pdf#page=10","Abrir facsímil")</f>
        <v>Abrir facsímil</v>
      </c>
      <c r="K1044" s="15" t="s">
        <v>22</v>
      </c>
    </row>
    <row r="1045" spans="1:11" ht="42" customHeight="1">
      <c r="A1045" s="4" t="s">
        <v>2519</v>
      </c>
      <c r="B1045" s="5" t="s">
        <v>2519</v>
      </c>
      <c r="C1045" s="5" t="s">
        <v>31</v>
      </c>
      <c r="D1045" s="5" t="s">
        <v>32</v>
      </c>
      <c r="E1045" s="5" t="s">
        <v>363</v>
      </c>
      <c r="F1045" s="9">
        <v>8</v>
      </c>
      <c r="G1045" s="9">
        <v>74</v>
      </c>
      <c r="H1045" s="5" t="s">
        <v>20</v>
      </c>
      <c r="I1045" s="5" t="s">
        <v>2524</v>
      </c>
      <c r="J1045" s="12" t="str">
        <f>HYPERLINK("https://www.boe.es/gazeta/dias/1806/01/24/pdfs/GMD-1806-8.pdf#page=6","Abrir facsímil")</f>
        <v>Abrir facsímil</v>
      </c>
      <c r="K1045" s="15" t="s">
        <v>22</v>
      </c>
    </row>
    <row r="1046" spans="1:11" ht="42" customHeight="1">
      <c r="A1046" s="4" t="s">
        <v>2519</v>
      </c>
      <c r="B1046" s="5" t="s">
        <v>2519</v>
      </c>
      <c r="C1046" s="5" t="s">
        <v>31</v>
      </c>
      <c r="D1046" s="5" t="s">
        <v>32</v>
      </c>
      <c r="E1046" s="5" t="s">
        <v>161</v>
      </c>
      <c r="F1046" s="9">
        <v>11</v>
      </c>
      <c r="G1046" s="9">
        <v>99</v>
      </c>
      <c r="H1046" s="5" t="s">
        <v>20</v>
      </c>
      <c r="I1046" s="5" t="s">
        <v>2525</v>
      </c>
      <c r="J1046" s="12" t="str">
        <f>HYPERLINK("https://www.boe.es/gazeta/dias/1806/01/31/pdfs/GMD-1806-11.pdf#page=7","Abrir facsímil")</f>
        <v>Abrir facsímil</v>
      </c>
      <c r="K1046" s="15" t="s">
        <v>22</v>
      </c>
    </row>
    <row r="1047" spans="1:11" ht="42" customHeight="1">
      <c r="A1047" s="4" t="s">
        <v>2519</v>
      </c>
      <c r="B1047" s="5" t="s">
        <v>2519</v>
      </c>
      <c r="C1047" s="5" t="s">
        <v>31</v>
      </c>
      <c r="D1047" s="5" t="s">
        <v>32</v>
      </c>
      <c r="E1047" s="5" t="s">
        <v>59</v>
      </c>
      <c r="F1047" s="9">
        <v>21</v>
      </c>
      <c r="G1047" s="9">
        <v>199</v>
      </c>
      <c r="H1047" s="5" t="s">
        <v>20</v>
      </c>
      <c r="I1047" s="5" t="s">
        <v>2526</v>
      </c>
      <c r="J1047" s="12" t="str">
        <f>HYPERLINK("https://www.boe.es/gazeta/dias/1806/03/07/pdfs/GMD-1806-21.pdf#page=11","Abrir facsímil")</f>
        <v>Abrir facsímil</v>
      </c>
      <c r="K1047" s="15" t="s">
        <v>22</v>
      </c>
    </row>
    <row r="1048" spans="1:11" ht="42" customHeight="1">
      <c r="A1048" s="4" t="s">
        <v>2519</v>
      </c>
      <c r="B1048" s="5" t="s">
        <v>2519</v>
      </c>
      <c r="C1048" s="5" t="s">
        <v>75</v>
      </c>
      <c r="D1048" s="5" t="s">
        <v>43</v>
      </c>
      <c r="E1048" s="5" t="s">
        <v>400</v>
      </c>
      <c r="F1048" s="9">
        <v>22</v>
      </c>
      <c r="G1048" s="9">
        <v>210</v>
      </c>
      <c r="H1048" s="5" t="s">
        <v>20</v>
      </c>
      <c r="I1048" s="5" t="s">
        <v>2527</v>
      </c>
      <c r="J1048" s="12" t="str">
        <f>HYPERLINK("https://www.boe.es/gazeta/dias/1806/03/11/pdfs/GMD-1806-22.pdf#page=10","Abrir facsímil")</f>
        <v>Abrir facsímil</v>
      </c>
      <c r="K1048" s="15" t="s">
        <v>22</v>
      </c>
    </row>
    <row r="1049" spans="1:11" ht="42" customHeight="1">
      <c r="A1049" s="4" t="s">
        <v>2519</v>
      </c>
      <c r="B1049" s="5" t="s">
        <v>2519</v>
      </c>
      <c r="C1049" s="5" t="s">
        <v>31</v>
      </c>
      <c r="D1049" s="5" t="s">
        <v>32</v>
      </c>
      <c r="E1049" s="5" t="s">
        <v>124</v>
      </c>
      <c r="F1049" s="9">
        <v>25</v>
      </c>
      <c r="G1049" s="9">
        <v>247</v>
      </c>
      <c r="H1049" s="5" t="s">
        <v>20</v>
      </c>
      <c r="I1049" s="5" t="s">
        <v>2528</v>
      </c>
      <c r="J1049" s="12" t="str">
        <f>HYPERLINK("https://www.boe.es/gazeta/dias/1806/03/21/pdfs/GMD-1806-25.pdf#page=11","Abrir facsímil")</f>
        <v>Abrir facsímil</v>
      </c>
      <c r="K1049" s="15" t="s">
        <v>22</v>
      </c>
    </row>
    <row r="1050" spans="1:11" ht="42" customHeight="1">
      <c r="A1050" s="4" t="s">
        <v>2519</v>
      </c>
      <c r="B1050" s="5" t="s">
        <v>2519</v>
      </c>
      <c r="C1050" s="5" t="s">
        <v>31</v>
      </c>
      <c r="D1050" s="5" t="s">
        <v>32</v>
      </c>
      <c r="E1050" s="5" t="s">
        <v>227</v>
      </c>
      <c r="F1050" s="9">
        <v>27</v>
      </c>
      <c r="G1050" s="9">
        <v>270</v>
      </c>
      <c r="H1050" s="5" t="s">
        <v>20</v>
      </c>
      <c r="I1050" s="5" t="s">
        <v>2529</v>
      </c>
      <c r="J1050" s="12" t="str">
        <f>HYPERLINK("https://www.boe.es/gazeta/dias/1806/03/28/pdfs/GMD-1806-27.pdf#page=10","Abrir facsímil")</f>
        <v>Abrir facsímil</v>
      </c>
      <c r="K1050" s="15" t="s">
        <v>22</v>
      </c>
    </row>
    <row r="1051" spans="1:11" ht="42" customHeight="1">
      <c r="A1051" s="4" t="s">
        <v>2519</v>
      </c>
      <c r="B1051" s="5" t="s">
        <v>2519</v>
      </c>
      <c r="C1051" s="5" t="s">
        <v>31</v>
      </c>
      <c r="D1051" s="5" t="s">
        <v>32</v>
      </c>
      <c r="E1051" s="5" t="s">
        <v>259</v>
      </c>
      <c r="F1051" s="9">
        <v>34</v>
      </c>
      <c r="G1051" s="9">
        <v>335</v>
      </c>
      <c r="H1051" s="5" t="s">
        <v>20</v>
      </c>
      <c r="I1051" s="5" t="s">
        <v>2530</v>
      </c>
      <c r="J1051" s="12" t="str">
        <f>HYPERLINK("https://www.boe.es/gazeta/dias/1806/04/22/pdfs/GMD-1806-34.pdf#page=7","Abrir facsímil")</f>
        <v>Abrir facsímil</v>
      </c>
      <c r="K1051" s="15" t="s">
        <v>22</v>
      </c>
    </row>
    <row r="1052" spans="1:11" ht="42" customHeight="1">
      <c r="A1052" s="4" t="s">
        <v>2519</v>
      </c>
      <c r="B1052" s="5" t="s">
        <v>2519</v>
      </c>
      <c r="C1052" s="5" t="s">
        <v>75</v>
      </c>
      <c r="D1052" s="5" t="s">
        <v>43</v>
      </c>
      <c r="E1052" s="5" t="s">
        <v>870</v>
      </c>
      <c r="F1052" s="9">
        <v>35</v>
      </c>
      <c r="G1052" s="9">
        <v>343</v>
      </c>
      <c r="H1052" s="5" t="s">
        <v>20</v>
      </c>
      <c r="I1052" s="5" t="s">
        <v>2531</v>
      </c>
      <c r="J1052" s="12" t="str">
        <f>HYPERLINK("https://www.boe.es/gazeta/dias/1806/04/25/pdfs/GMD-1806-35.pdf#page=7","Abrir facsímil")</f>
        <v>Abrir facsímil</v>
      </c>
      <c r="K1052" s="15" t="s">
        <v>22</v>
      </c>
    </row>
    <row r="1053" spans="1:11" ht="42" customHeight="1">
      <c r="A1053" s="4" t="s">
        <v>2519</v>
      </c>
      <c r="B1053" s="5" t="s">
        <v>2519</v>
      </c>
      <c r="C1053" s="5" t="s">
        <v>31</v>
      </c>
      <c r="D1053" s="5" t="s">
        <v>32</v>
      </c>
      <c r="E1053" s="5" t="s">
        <v>661</v>
      </c>
      <c r="F1053" s="9">
        <v>38</v>
      </c>
      <c r="G1053" s="9">
        <v>374</v>
      </c>
      <c r="H1053" s="5" t="s">
        <v>20</v>
      </c>
      <c r="I1053" s="5" t="s">
        <v>2532</v>
      </c>
      <c r="J1053" s="12" t="str">
        <f>HYPERLINK("https://www.boe.es/gazeta/dias/1806/05/06/pdfs/GMD-1806-38.pdf#page=10","Abrir facsímil")</f>
        <v>Abrir facsímil</v>
      </c>
      <c r="K1053" s="15" t="s">
        <v>22</v>
      </c>
    </row>
    <row r="1054" spans="1:11" ht="42" customHeight="1">
      <c r="A1054" s="4" t="s">
        <v>2519</v>
      </c>
      <c r="B1054" s="5" t="s">
        <v>2519</v>
      </c>
      <c r="C1054" s="5" t="s">
        <v>31</v>
      </c>
      <c r="D1054" s="5" t="s">
        <v>32</v>
      </c>
      <c r="E1054" s="5" t="s">
        <v>501</v>
      </c>
      <c r="F1054" s="9">
        <v>39</v>
      </c>
      <c r="G1054" s="9">
        <v>386</v>
      </c>
      <c r="H1054" s="5" t="s">
        <v>20</v>
      </c>
      <c r="I1054" s="5" t="s">
        <v>2533</v>
      </c>
      <c r="J1054" s="12" t="str">
        <f>HYPERLINK("https://www.boe.es/gazeta/dias/1806/05/09/pdfs/GMD-1806-39.pdf#page=10","Abrir facsímil")</f>
        <v>Abrir facsímil</v>
      </c>
      <c r="K1054" s="15" t="s">
        <v>22</v>
      </c>
    </row>
    <row r="1055" spans="1:11" ht="42" customHeight="1">
      <c r="A1055" s="4" t="s">
        <v>2519</v>
      </c>
      <c r="B1055" s="5" t="s">
        <v>2519</v>
      </c>
      <c r="C1055" s="5" t="s">
        <v>31</v>
      </c>
      <c r="D1055" s="5" t="s">
        <v>32</v>
      </c>
      <c r="E1055" s="5" t="s">
        <v>144</v>
      </c>
      <c r="F1055" s="9">
        <v>79</v>
      </c>
      <c r="G1055" s="9">
        <v>819</v>
      </c>
      <c r="H1055" s="5" t="s">
        <v>20</v>
      </c>
      <c r="I1055" s="5" t="s">
        <v>2534</v>
      </c>
      <c r="J1055" s="12" t="str">
        <f>HYPERLINK("https://www.boe.es/gazeta/dias/1806/09/26/pdfs/GMD-1806-79.pdf#page=11","Abrir facsímil")</f>
        <v>Abrir facsímil</v>
      </c>
      <c r="K1055" s="15" t="s">
        <v>22</v>
      </c>
    </row>
    <row r="1056" spans="1:11" ht="42" customHeight="1">
      <c r="A1056" s="4" t="s">
        <v>2535</v>
      </c>
      <c r="B1056" s="5" t="s">
        <v>2536</v>
      </c>
      <c r="C1056" s="5" t="s">
        <v>36</v>
      </c>
      <c r="D1056" s="5" t="s">
        <v>37</v>
      </c>
      <c r="E1056" s="5" t="s">
        <v>494</v>
      </c>
      <c r="F1056" s="9">
        <v>69</v>
      </c>
      <c r="G1056" s="9">
        <v>724</v>
      </c>
      <c r="H1056" s="5" t="s">
        <v>20</v>
      </c>
      <c r="I1056" s="5" t="s">
        <v>2537</v>
      </c>
      <c r="J1056" s="12" t="str">
        <f>HYPERLINK("https://www.boe.es/gazeta/dias/1806/08/22/pdfs/GMD-1806-69.pdf#page=12","Abrir facsímil")</f>
        <v>Abrir facsímil</v>
      </c>
      <c r="K1056" s="15" t="s">
        <v>22</v>
      </c>
    </row>
    <row r="1057" spans="1:11" ht="42" customHeight="1">
      <c r="A1057" s="4" t="s">
        <v>2538</v>
      </c>
      <c r="B1057" s="5" t="s">
        <v>2538</v>
      </c>
      <c r="C1057" s="5" t="s">
        <v>31</v>
      </c>
      <c r="D1057" s="5" t="s">
        <v>32</v>
      </c>
      <c r="E1057" s="5" t="s">
        <v>716</v>
      </c>
      <c r="F1057" s="9">
        <v>56</v>
      </c>
      <c r="G1057" s="9">
        <v>586</v>
      </c>
      <c r="H1057" s="5" t="s">
        <v>20</v>
      </c>
      <c r="I1057" s="5" t="s">
        <v>2539</v>
      </c>
      <c r="J1057" s="12" t="str">
        <f>HYPERLINK("https://www.boe.es/gazeta/dias/1806/07/08/pdfs/GMD-1806-56.pdf#page=10","Abrir facsímil")</f>
        <v>Abrir facsímil</v>
      </c>
      <c r="K1057" s="15" t="s">
        <v>22</v>
      </c>
    </row>
    <row r="1058" spans="1:11" ht="42" customHeight="1">
      <c r="A1058" s="4" t="s">
        <v>2540</v>
      </c>
      <c r="B1058" s="5" t="s">
        <v>2540</v>
      </c>
      <c r="C1058" s="5" t="s">
        <v>31</v>
      </c>
      <c r="D1058" s="5" t="s">
        <v>32</v>
      </c>
      <c r="E1058" s="5" t="s">
        <v>55</v>
      </c>
      <c r="F1058" s="9">
        <v>20</v>
      </c>
      <c r="G1058" s="9">
        <v>185</v>
      </c>
      <c r="H1058" s="5" t="s">
        <v>20</v>
      </c>
      <c r="I1058" s="5" t="s">
        <v>2541</v>
      </c>
      <c r="J1058" s="12" t="str">
        <f>HYPERLINK("https://www.boe.es/gazeta/dias/1806/03/04/pdfs/GMD-1806-20.pdf#page=9","Abrir facsímil")</f>
        <v>Abrir facsímil</v>
      </c>
      <c r="K1058" s="15" t="s">
        <v>22</v>
      </c>
    </row>
    <row r="1059" spans="1:11" ht="42" customHeight="1">
      <c r="A1059" s="4" t="s">
        <v>2542</v>
      </c>
      <c r="B1059" s="5" t="s">
        <v>2542</v>
      </c>
      <c r="C1059" s="5" t="s">
        <v>31</v>
      </c>
      <c r="D1059" s="5" t="s">
        <v>32</v>
      </c>
      <c r="E1059" s="5" t="s">
        <v>172</v>
      </c>
      <c r="F1059" s="9">
        <v>17</v>
      </c>
      <c r="G1059" s="9">
        <v>151</v>
      </c>
      <c r="H1059" s="5" t="s">
        <v>20</v>
      </c>
      <c r="I1059" s="5" t="s">
        <v>2543</v>
      </c>
      <c r="J1059" s="12" t="str">
        <f>HYPERLINK("https://www.boe.es/gazeta/dias/1806/02/21/pdfs/GMD-1806-17.pdf#page=7","Abrir facsímil")</f>
        <v>Abrir facsímil</v>
      </c>
      <c r="K1059" s="15" t="s">
        <v>22</v>
      </c>
    </row>
    <row r="1060" spans="1:11" ht="42" customHeight="1">
      <c r="A1060" s="4" t="s">
        <v>2544</v>
      </c>
      <c r="B1060" s="5" t="s">
        <v>2544</v>
      </c>
      <c r="C1060" s="5" t="s">
        <v>31</v>
      </c>
      <c r="D1060" s="5" t="s">
        <v>32</v>
      </c>
      <c r="E1060" s="5" t="s">
        <v>716</v>
      </c>
      <c r="F1060" s="9">
        <v>56</v>
      </c>
      <c r="G1060" s="9">
        <v>586</v>
      </c>
      <c r="H1060" s="5" t="s">
        <v>20</v>
      </c>
      <c r="I1060" s="5" t="s">
        <v>2545</v>
      </c>
      <c r="J1060" s="12" t="str">
        <f>HYPERLINK("https://www.boe.es/gazeta/dias/1806/07/08/pdfs/GMD-1806-56.pdf#page=10","Abrir facsímil")</f>
        <v>Abrir facsímil</v>
      </c>
      <c r="K1060" s="15" t="s">
        <v>22</v>
      </c>
    </row>
    <row r="1061" spans="1:11" ht="42" customHeight="1">
      <c r="A1061" s="4" t="s">
        <v>2546</v>
      </c>
      <c r="B1061" s="5" t="s">
        <v>2547</v>
      </c>
      <c r="C1061" s="5" t="s">
        <v>31</v>
      </c>
      <c r="D1061" s="5" t="s">
        <v>32</v>
      </c>
      <c r="E1061" s="5" t="s">
        <v>195</v>
      </c>
      <c r="F1061" s="9">
        <v>4</v>
      </c>
      <c r="G1061" s="9">
        <v>35</v>
      </c>
      <c r="H1061" s="5" t="s">
        <v>20</v>
      </c>
      <c r="I1061" s="5" t="s">
        <v>2548</v>
      </c>
      <c r="J1061" s="12" t="str">
        <f>HYPERLINK("https://www.boe.es/gazeta/dias/1806/01/14/pdfs/GMD-1806-4.pdf#page=7","Abrir facsímil")</f>
        <v>Abrir facsímil</v>
      </c>
      <c r="K1061" s="15" t="s">
        <v>22</v>
      </c>
    </row>
    <row r="1062" spans="1:11" ht="42" customHeight="1">
      <c r="A1062" s="4" t="s">
        <v>2549</v>
      </c>
      <c r="B1062" s="5" t="s">
        <v>2549</v>
      </c>
      <c r="C1062" s="5" t="s">
        <v>69</v>
      </c>
      <c r="D1062" s="5" t="s">
        <v>70</v>
      </c>
      <c r="E1062" s="5" t="s">
        <v>837</v>
      </c>
      <c r="F1062" s="9">
        <v>26</v>
      </c>
      <c r="G1062" s="9">
        <v>249</v>
      </c>
      <c r="H1062" s="5" t="s">
        <v>20</v>
      </c>
      <c r="I1062" s="5" t="s">
        <v>2550</v>
      </c>
      <c r="J1062" s="12" t="str">
        <f>HYPERLINK("https://www.boe.es/gazeta/dias/1806/03/25/pdfs/GMD-1806-26.pdf#page=1","Abrir facsímil")</f>
        <v>Abrir facsímil</v>
      </c>
      <c r="K1062" s="15" t="s">
        <v>22</v>
      </c>
    </row>
    <row r="1063" spans="1:11" ht="42" customHeight="1">
      <c r="A1063" s="4" t="s">
        <v>2551</v>
      </c>
      <c r="B1063" s="5" t="s">
        <v>2552</v>
      </c>
      <c r="C1063" s="5" t="s">
        <v>75</v>
      </c>
      <c r="D1063" s="5" t="s">
        <v>43</v>
      </c>
      <c r="E1063" s="5" t="s">
        <v>911</v>
      </c>
      <c r="F1063" s="9">
        <v>64</v>
      </c>
      <c r="G1063" s="9">
        <v>671</v>
      </c>
      <c r="H1063" s="5" t="s">
        <v>20</v>
      </c>
      <c r="I1063" s="5" t="s">
        <v>2553</v>
      </c>
      <c r="J1063" s="12" t="str">
        <f>HYPERLINK("https://www.boe.es/gazeta/dias/1806/08/05/pdfs/GMD-1806-64.pdf#page=7","Abrir facsímil")</f>
        <v>Abrir facsímil</v>
      </c>
      <c r="K1063" s="15" t="s">
        <v>22</v>
      </c>
    </row>
    <row r="1064" spans="1:11" ht="42" customHeight="1">
      <c r="A1064" s="4" t="s">
        <v>2554</v>
      </c>
      <c r="B1064" s="5" t="s">
        <v>2554</v>
      </c>
      <c r="C1064" s="5" t="s">
        <v>69</v>
      </c>
      <c r="D1064" s="5" t="s">
        <v>70</v>
      </c>
      <c r="E1064" s="5" t="s">
        <v>396</v>
      </c>
      <c r="F1064" s="9">
        <v>91</v>
      </c>
      <c r="G1064" s="9">
        <v>942</v>
      </c>
      <c r="H1064" s="5" t="s">
        <v>20</v>
      </c>
      <c r="I1064" s="5" t="s">
        <v>2555</v>
      </c>
      <c r="J1064" s="12" t="str">
        <f>HYPERLINK("https://www.boe.es/gazeta/dias/1806/11/07/pdfs/GMD-1806-91.pdf#page=6","Abrir facsímil")</f>
        <v>Abrir facsímil</v>
      </c>
      <c r="K1064" s="15" t="s">
        <v>22</v>
      </c>
    </row>
    <row r="1065" spans="1:11" ht="42" customHeight="1">
      <c r="A1065" s="4" t="s">
        <v>2556</v>
      </c>
      <c r="B1065" s="5" t="s">
        <v>2556</v>
      </c>
      <c r="C1065" s="5" t="s">
        <v>75</v>
      </c>
      <c r="D1065" s="5" t="s">
        <v>43</v>
      </c>
      <c r="E1065" s="5" t="s">
        <v>110</v>
      </c>
      <c r="F1065" s="9">
        <v>55</v>
      </c>
      <c r="G1065" s="9">
        <v>574</v>
      </c>
      <c r="H1065" s="5" t="s">
        <v>20</v>
      </c>
      <c r="I1065" s="5" t="s">
        <v>2557</v>
      </c>
      <c r="J1065" s="12" t="str">
        <f>HYPERLINK("https://www.boe.es/gazeta/dias/1806/07/04/pdfs/GMD-1806-55.pdf#page=10","Abrir facsímil")</f>
        <v>Abrir facsímil</v>
      </c>
      <c r="K1065" s="15" t="s">
        <v>22</v>
      </c>
    </row>
    <row r="1066" spans="1:11" ht="42" customHeight="1">
      <c r="A1066" s="4" t="s">
        <v>2558</v>
      </c>
      <c r="B1066" s="5" t="s">
        <v>2558</v>
      </c>
      <c r="C1066" s="5" t="s">
        <v>31</v>
      </c>
      <c r="D1066" s="5" t="s">
        <v>32</v>
      </c>
      <c r="E1066" s="5" t="s">
        <v>1080</v>
      </c>
      <c r="F1066" s="9">
        <v>49</v>
      </c>
      <c r="G1066" s="9">
        <v>502</v>
      </c>
      <c r="H1066" s="5" t="s">
        <v>20</v>
      </c>
      <c r="I1066" s="5" t="s">
        <v>2559</v>
      </c>
      <c r="J1066" s="12" t="str">
        <f>HYPERLINK("https://www.boe.es/gazeta/dias/1806/06/13/pdfs/GMD-1806-49.pdf#page=2","Abrir facsímil")</f>
        <v>Abrir facsímil</v>
      </c>
      <c r="K1066" s="15" t="s">
        <v>22</v>
      </c>
    </row>
    <row r="1067" spans="1:11" ht="42" customHeight="1">
      <c r="A1067" s="4" t="s">
        <v>2560</v>
      </c>
      <c r="B1067" s="5" t="s">
        <v>2561</v>
      </c>
      <c r="C1067" s="5" t="s">
        <v>31</v>
      </c>
      <c r="D1067" s="5" t="s">
        <v>32</v>
      </c>
      <c r="E1067" s="5" t="s">
        <v>93</v>
      </c>
      <c r="F1067" s="9">
        <v>72</v>
      </c>
      <c r="G1067" s="9">
        <v>743</v>
      </c>
      <c r="H1067" s="5" t="s">
        <v>20</v>
      </c>
      <c r="I1067" s="5" t="s">
        <v>2562</v>
      </c>
      <c r="J1067" s="12" t="str">
        <f>HYPERLINK("https://www.boe.es/gazeta/dias/1806/09/02/pdfs/GMD-1806-72.pdf#page=3","Abrir facsímil")</f>
        <v>Abrir facsímil</v>
      </c>
      <c r="K1067" s="15" t="s">
        <v>22</v>
      </c>
    </row>
    <row r="1068" spans="1:11" ht="42" customHeight="1">
      <c r="A1068" s="4" t="s">
        <v>2563</v>
      </c>
      <c r="B1068" s="5" t="s">
        <v>2564</v>
      </c>
      <c r="C1068" s="5" t="s">
        <v>42</v>
      </c>
      <c r="D1068" s="5" t="s">
        <v>43</v>
      </c>
      <c r="E1068" s="5" t="s">
        <v>172</v>
      </c>
      <c r="F1068" s="9">
        <v>17</v>
      </c>
      <c r="G1068" s="9">
        <v>145</v>
      </c>
      <c r="H1068" s="5" t="s">
        <v>20</v>
      </c>
      <c r="I1068" s="5" t="s">
        <v>2565</v>
      </c>
      <c r="J1068" s="12" t="str">
        <f>HYPERLINK("https://www.boe.es/gazeta/dias/1806/02/21/pdfs/GMD-1806-17.pdf#page=1","Abrir facsímil")</f>
        <v>Abrir facsímil</v>
      </c>
      <c r="K1068" s="15" t="s">
        <v>22</v>
      </c>
    </row>
    <row r="1069" spans="1:11" ht="42" customHeight="1">
      <c r="A1069" s="4" t="s">
        <v>2563</v>
      </c>
      <c r="B1069" s="5" t="s">
        <v>2564</v>
      </c>
      <c r="C1069" s="5" t="s">
        <v>31</v>
      </c>
      <c r="D1069" s="5" t="s">
        <v>32</v>
      </c>
      <c r="E1069" s="5" t="s">
        <v>79</v>
      </c>
      <c r="F1069" s="9">
        <v>68</v>
      </c>
      <c r="G1069" s="9">
        <v>706</v>
      </c>
      <c r="H1069" s="5" t="s">
        <v>20</v>
      </c>
      <c r="I1069" s="5" t="s">
        <v>2566</v>
      </c>
      <c r="J1069" s="12" t="str">
        <f>HYPERLINK("https://www.boe.es/gazeta/dias/1806/08/19/pdfs/GMD-1806-68.pdf#page=2","Abrir facsímil")</f>
        <v>Abrir facsímil</v>
      </c>
      <c r="K1069" s="15" t="s">
        <v>22</v>
      </c>
    </row>
    <row r="1070" spans="1:11" ht="42" customHeight="1">
      <c r="A1070" s="4" t="s">
        <v>2567</v>
      </c>
      <c r="B1070" s="5" t="s">
        <v>2568</v>
      </c>
      <c r="C1070" s="5" t="s">
        <v>69</v>
      </c>
      <c r="D1070" s="5" t="s">
        <v>70</v>
      </c>
      <c r="E1070" s="5" t="s">
        <v>48</v>
      </c>
      <c r="F1070" s="9">
        <v>67</v>
      </c>
      <c r="G1070" s="9">
        <v>695</v>
      </c>
      <c r="H1070" s="5" t="s">
        <v>20</v>
      </c>
      <c r="I1070" s="5" t="s">
        <v>2569</v>
      </c>
      <c r="J1070" s="12" t="str">
        <f>HYPERLINK("https://www.boe.es/gazeta/dias/1806/08/15/pdfs/GMD-1806-67.pdf#page=3","Abrir facsímil")</f>
        <v>Abrir facsímil</v>
      </c>
      <c r="K1070" s="15" t="s">
        <v>22</v>
      </c>
    </row>
    <row r="1071" spans="1:11" ht="42" customHeight="1">
      <c r="A1071" s="4" t="s">
        <v>2570</v>
      </c>
      <c r="B1071" s="5" t="s">
        <v>2571</v>
      </c>
      <c r="C1071" s="5" t="s">
        <v>69</v>
      </c>
      <c r="D1071" s="5" t="s">
        <v>70</v>
      </c>
      <c r="E1071" s="5" t="s">
        <v>870</v>
      </c>
      <c r="F1071" s="9">
        <v>35</v>
      </c>
      <c r="G1071" s="9">
        <v>337</v>
      </c>
      <c r="H1071" s="5" t="s">
        <v>20</v>
      </c>
      <c r="I1071" s="5" t="s">
        <v>2572</v>
      </c>
      <c r="J1071" s="12" t="str">
        <f>HYPERLINK("https://www.boe.es/gazeta/dias/1806/04/25/pdfs/GMD-1806-35.pdf#page=1","Abrir facsímil")</f>
        <v>Abrir facsímil</v>
      </c>
      <c r="K1071" s="15" t="s">
        <v>22</v>
      </c>
    </row>
    <row r="1072" spans="1:11" ht="42" customHeight="1">
      <c r="A1072" s="4" t="s">
        <v>2573</v>
      </c>
      <c r="B1072" s="5" t="s">
        <v>2574</v>
      </c>
      <c r="C1072" s="5" t="s">
        <v>31</v>
      </c>
      <c r="D1072" s="5" t="s">
        <v>32</v>
      </c>
      <c r="E1072" s="5" t="s">
        <v>494</v>
      </c>
      <c r="F1072" s="9">
        <v>69</v>
      </c>
      <c r="G1072" s="9">
        <v>714</v>
      </c>
      <c r="H1072" s="5" t="s">
        <v>20</v>
      </c>
      <c r="I1072" s="5" t="s">
        <v>2575</v>
      </c>
      <c r="J1072" s="12" t="str">
        <f>HYPERLINK("https://www.boe.es/gazeta/dias/1806/08/22/pdfs/GMD-1806-69.pdf#page=2","Abrir facsímil")</f>
        <v>Abrir facsímil</v>
      </c>
      <c r="K1072" s="15" t="s">
        <v>22</v>
      </c>
    </row>
    <row r="1073" spans="1:11" ht="42" customHeight="1">
      <c r="A1073" s="4" t="s">
        <v>2576</v>
      </c>
      <c r="B1073" s="5" t="s">
        <v>2577</v>
      </c>
      <c r="C1073" s="5" t="s">
        <v>69</v>
      </c>
      <c r="D1073" s="5" t="s">
        <v>70</v>
      </c>
      <c r="E1073" s="5" t="s">
        <v>501</v>
      </c>
      <c r="F1073" s="9">
        <v>39</v>
      </c>
      <c r="G1073" s="9">
        <v>378</v>
      </c>
      <c r="H1073" s="5" t="s">
        <v>20</v>
      </c>
      <c r="I1073" s="5" t="s">
        <v>2578</v>
      </c>
      <c r="J1073" s="12" t="str">
        <f>HYPERLINK("https://www.boe.es/gazeta/dias/1806/05/09/pdfs/GMD-1806-39.pdf#page=2","Abrir facsímil")</f>
        <v>Abrir facsímil</v>
      </c>
      <c r="K1073" s="15" t="s">
        <v>22</v>
      </c>
    </row>
    <row r="1074" spans="1:11" ht="42" customHeight="1">
      <c r="A1074" s="4" t="s">
        <v>2579</v>
      </c>
      <c r="B1074" s="5" t="s">
        <v>2580</v>
      </c>
      <c r="C1074" s="5" t="s">
        <v>69</v>
      </c>
      <c r="D1074" s="5" t="s">
        <v>70</v>
      </c>
      <c r="E1074" s="5" t="s">
        <v>501</v>
      </c>
      <c r="F1074" s="9">
        <v>39</v>
      </c>
      <c r="G1074" s="9">
        <v>378</v>
      </c>
      <c r="H1074" s="5" t="s">
        <v>20</v>
      </c>
      <c r="I1074" s="5" t="s">
        <v>2581</v>
      </c>
      <c r="J1074" s="12" t="str">
        <f>HYPERLINK("https://www.boe.es/gazeta/dias/1806/05/09/pdfs/GMD-1806-39.pdf#page=2","Abrir facsímil")</f>
        <v>Abrir facsímil</v>
      </c>
      <c r="K1074" s="15" t="s">
        <v>22</v>
      </c>
    </row>
    <row r="1075" spans="1:11" ht="42" customHeight="1">
      <c r="A1075" s="4" t="s">
        <v>2582</v>
      </c>
      <c r="B1075" s="5" t="s">
        <v>2583</v>
      </c>
      <c r="C1075" s="5" t="s">
        <v>69</v>
      </c>
      <c r="D1075" s="5" t="s">
        <v>70</v>
      </c>
      <c r="E1075" s="5" t="s">
        <v>870</v>
      </c>
      <c r="F1075" s="9">
        <v>35</v>
      </c>
      <c r="G1075" s="9">
        <v>337</v>
      </c>
      <c r="H1075" s="5" t="s">
        <v>20</v>
      </c>
      <c r="I1075" s="5" t="s">
        <v>2584</v>
      </c>
      <c r="J1075" s="12" t="str">
        <f>HYPERLINK("https://www.boe.es/gazeta/dias/1806/04/25/pdfs/GMD-1806-35.pdf#page=1","Abrir facsímil")</f>
        <v>Abrir facsímil</v>
      </c>
      <c r="K1075" s="15" t="s">
        <v>22</v>
      </c>
    </row>
    <row r="1076" spans="1:11" ht="42" customHeight="1">
      <c r="A1076" s="4" t="s">
        <v>2585</v>
      </c>
      <c r="B1076" s="5" t="s">
        <v>2586</v>
      </c>
      <c r="C1076" s="5" t="s">
        <v>42</v>
      </c>
      <c r="D1076" s="5" t="s">
        <v>43</v>
      </c>
      <c r="E1076" s="5" t="s">
        <v>301</v>
      </c>
      <c r="F1076" s="9">
        <v>75</v>
      </c>
      <c r="G1076" s="9">
        <v>776</v>
      </c>
      <c r="H1076" s="5" t="s">
        <v>20</v>
      </c>
      <c r="I1076" s="5" t="s">
        <v>2587</v>
      </c>
      <c r="J1076" s="12" t="str">
        <f>HYPERLINK("https://www.boe.es/gazeta/dias/1806/09/12/pdfs/GMD-1806-75.pdf#page=8","Abrir facsímil")</f>
        <v>Abrir facsímil</v>
      </c>
      <c r="K1076" s="15" t="s">
        <v>22</v>
      </c>
    </row>
    <row r="1077" spans="1:11" ht="42" customHeight="1">
      <c r="A1077" s="4" t="s">
        <v>2588</v>
      </c>
      <c r="B1077" s="5" t="s">
        <v>2589</v>
      </c>
      <c r="C1077" s="5" t="s">
        <v>69</v>
      </c>
      <c r="D1077" s="5" t="s">
        <v>70</v>
      </c>
      <c r="E1077" s="5" t="s">
        <v>405</v>
      </c>
      <c r="F1077" s="9">
        <v>80</v>
      </c>
      <c r="G1077" s="9">
        <v>825</v>
      </c>
      <c r="H1077" s="5" t="s">
        <v>20</v>
      </c>
      <c r="I1077" s="5" t="s">
        <v>2590</v>
      </c>
      <c r="J1077" s="12" t="str">
        <f>HYPERLINK("https://www.boe.es/gazeta/dias/1806/09/30/pdfs/GMD-1806-80.pdf#page=5","Abrir facsímil")</f>
        <v>Abrir facsímil</v>
      </c>
      <c r="K1077" s="15" t="s">
        <v>22</v>
      </c>
    </row>
    <row r="1078" spans="1:11" ht="42" customHeight="1">
      <c r="A1078" s="4" t="s">
        <v>2588</v>
      </c>
      <c r="B1078" s="5" t="s">
        <v>2589</v>
      </c>
      <c r="C1078" s="5" t="s">
        <v>69</v>
      </c>
      <c r="D1078" s="5" t="s">
        <v>70</v>
      </c>
      <c r="E1078" s="5" t="s">
        <v>367</v>
      </c>
      <c r="F1078" s="9">
        <v>87</v>
      </c>
      <c r="G1078" s="9">
        <v>896</v>
      </c>
      <c r="H1078" s="5" t="s">
        <v>20</v>
      </c>
      <c r="I1078" s="5" t="s">
        <v>2591</v>
      </c>
      <c r="J1078" s="12" t="str">
        <f>HYPERLINK("https://www.boe.es/gazeta/dias/1806/10/24/pdfs/GMD-1806-87.pdf#page=4","Abrir facsímil")</f>
        <v>Abrir facsímil</v>
      </c>
      <c r="K1078" s="15" t="s">
        <v>22</v>
      </c>
    </row>
    <row r="1079" spans="1:11" ht="42" customHeight="1">
      <c r="A1079" s="4" t="s">
        <v>2588</v>
      </c>
      <c r="B1079" s="5" t="s">
        <v>2589</v>
      </c>
      <c r="C1079" s="5" t="s">
        <v>69</v>
      </c>
      <c r="D1079" s="5" t="s">
        <v>70</v>
      </c>
      <c r="E1079" s="5" t="s">
        <v>680</v>
      </c>
      <c r="F1079" s="9">
        <v>97</v>
      </c>
      <c r="G1079" s="9">
        <v>1023</v>
      </c>
      <c r="H1079" s="5" t="s">
        <v>20</v>
      </c>
      <c r="I1079" s="5" t="s">
        <v>2592</v>
      </c>
      <c r="J1079" s="12" t="str">
        <f>HYPERLINK("https://www.boe.es/gazeta/dias/1806/11/28/pdfs/GMD-1806-97.pdf#page=3","Abrir facsímil")</f>
        <v>Abrir facsímil</v>
      </c>
      <c r="K1079" s="15" t="s">
        <v>22</v>
      </c>
    </row>
    <row r="1080" spans="1:11" ht="42" customHeight="1">
      <c r="A1080" s="4" t="s">
        <v>2588</v>
      </c>
      <c r="B1080" s="5" t="s">
        <v>2589</v>
      </c>
      <c r="C1080" s="5" t="s">
        <v>69</v>
      </c>
      <c r="D1080" s="5" t="s">
        <v>70</v>
      </c>
      <c r="E1080" s="5" t="s">
        <v>181</v>
      </c>
      <c r="F1080" s="9">
        <v>99</v>
      </c>
      <c r="G1080" s="9">
        <v>1048</v>
      </c>
      <c r="H1080" s="5" t="s">
        <v>20</v>
      </c>
      <c r="I1080" s="5" t="s">
        <v>2593</v>
      </c>
      <c r="J1080" s="12" t="str">
        <f>HYPERLINK("https://www.boe.es/gazeta/dias/1806/12/05/pdfs/GMD-1806-99.pdf#page=4","Abrir facsímil")</f>
        <v>Abrir facsímil</v>
      </c>
      <c r="K1080" s="15" t="s">
        <v>22</v>
      </c>
    </row>
    <row r="1081" spans="1:11" ht="42" customHeight="1">
      <c r="A1081" s="4" t="s">
        <v>2594</v>
      </c>
      <c r="B1081" s="5" t="s">
        <v>2594</v>
      </c>
      <c r="C1081" s="5" t="s">
        <v>31</v>
      </c>
      <c r="D1081" s="5" t="s">
        <v>32</v>
      </c>
      <c r="E1081" s="5" t="s">
        <v>38</v>
      </c>
      <c r="F1081" s="9">
        <v>92</v>
      </c>
      <c r="G1081" s="9">
        <v>961</v>
      </c>
      <c r="H1081" s="5" t="s">
        <v>20</v>
      </c>
      <c r="I1081" s="5" t="s">
        <v>2595</v>
      </c>
      <c r="J1081" s="12" t="str">
        <f>HYPERLINK("https://www.boe.es/gazeta/dias/1806/11/11/pdfs/GMD-1806-92.pdf#page=13","Abrir facsímil")</f>
        <v>Abrir facsímil</v>
      </c>
      <c r="K1081" s="15" t="s">
        <v>22</v>
      </c>
    </row>
    <row r="1082" spans="1:11" ht="42" customHeight="1">
      <c r="A1082" s="4" t="s">
        <v>2596</v>
      </c>
      <c r="B1082" s="5" t="s">
        <v>2597</v>
      </c>
      <c r="C1082" s="5" t="s">
        <v>31</v>
      </c>
      <c r="D1082" s="5" t="s">
        <v>32</v>
      </c>
      <c r="E1082" s="5" t="s">
        <v>148</v>
      </c>
      <c r="F1082" s="9">
        <v>78</v>
      </c>
      <c r="G1082" s="9">
        <v>803</v>
      </c>
      <c r="H1082" s="5" t="s">
        <v>20</v>
      </c>
      <c r="I1082" s="5" t="s">
        <v>2598</v>
      </c>
      <c r="J1082" s="12" t="str">
        <f>HYPERLINK("https://www.boe.es/gazeta/dias/1806/09/23/pdfs/GMD-1806-78.pdf#page=7","Abrir facsímil")</f>
        <v>Abrir facsímil</v>
      </c>
      <c r="K1082" s="15" t="s">
        <v>22</v>
      </c>
    </row>
    <row r="1083" spans="1:11" ht="42" customHeight="1">
      <c r="A1083" s="4" t="s">
        <v>2599</v>
      </c>
      <c r="B1083" s="5" t="s">
        <v>2600</v>
      </c>
      <c r="C1083" s="5" t="s">
        <v>31</v>
      </c>
      <c r="D1083" s="5" t="s">
        <v>32</v>
      </c>
      <c r="E1083" s="5" t="s">
        <v>24</v>
      </c>
      <c r="F1083" s="9">
        <v>32</v>
      </c>
      <c r="G1083" s="9">
        <v>315</v>
      </c>
      <c r="H1083" s="5" t="s">
        <v>20</v>
      </c>
      <c r="I1083" s="5" t="s">
        <v>2601</v>
      </c>
      <c r="J1083" s="12" t="str">
        <f>HYPERLINK("https://www.boe.es/gazeta/dias/1806/04/15/pdfs/GMD-1806-32.pdf#page=7","Abrir facsímil")</f>
        <v>Abrir facsímil</v>
      </c>
      <c r="K1083" s="15" t="s">
        <v>22</v>
      </c>
    </row>
    <row r="1084" spans="1:11" ht="42" customHeight="1">
      <c r="A1084" s="4" t="s">
        <v>2602</v>
      </c>
      <c r="B1084" s="5" t="s">
        <v>2603</v>
      </c>
      <c r="C1084" s="5" t="s">
        <v>31</v>
      </c>
      <c r="D1084" s="5" t="s">
        <v>32</v>
      </c>
      <c r="E1084" s="5" t="s">
        <v>165</v>
      </c>
      <c r="F1084" s="9">
        <v>101</v>
      </c>
      <c r="G1084" s="9">
        <v>1074</v>
      </c>
      <c r="H1084" s="5" t="s">
        <v>20</v>
      </c>
      <c r="I1084" s="5" t="s">
        <v>2604</v>
      </c>
      <c r="J1084" s="12" t="str">
        <f>HYPERLINK("https://www.boe.es/gazeta/dias/1806/12/12/pdfs/GMD-1806-101.pdf#page=6","Abrir facsímil")</f>
        <v>Abrir facsímil</v>
      </c>
      <c r="K1084" s="15" t="s">
        <v>22</v>
      </c>
    </row>
    <row r="1085" spans="1:11" ht="42" customHeight="1">
      <c r="A1085" s="4" t="s">
        <v>2605</v>
      </c>
      <c r="B1085" s="5" t="s">
        <v>2605</v>
      </c>
      <c r="C1085" s="5" t="s">
        <v>31</v>
      </c>
      <c r="D1085" s="5" t="s">
        <v>32</v>
      </c>
      <c r="E1085" s="5" t="s">
        <v>405</v>
      </c>
      <c r="F1085" s="9">
        <v>80</v>
      </c>
      <c r="G1085" s="9">
        <v>830</v>
      </c>
      <c r="H1085" s="5" t="s">
        <v>20</v>
      </c>
      <c r="I1085" s="5" t="s">
        <v>2606</v>
      </c>
      <c r="J1085" s="12" t="str">
        <f>HYPERLINK("https://www.boe.es/gazeta/dias/1806/09/30/pdfs/GMD-1806-80.pdf#page=10","Abrir facsímil")</f>
        <v>Abrir facsímil</v>
      </c>
      <c r="K1085" s="15" t="s">
        <v>22</v>
      </c>
    </row>
    <row r="1086" spans="1:11" ht="42" customHeight="1">
      <c r="A1086" s="4" t="s">
        <v>2607</v>
      </c>
      <c r="B1086" s="5" t="s">
        <v>2607</v>
      </c>
      <c r="C1086" s="5" t="s">
        <v>31</v>
      </c>
      <c r="D1086" s="5" t="s">
        <v>32</v>
      </c>
      <c r="E1086" s="5" t="s">
        <v>434</v>
      </c>
      <c r="F1086" s="9">
        <v>74</v>
      </c>
      <c r="G1086" s="9">
        <v>766</v>
      </c>
      <c r="H1086" s="5" t="s">
        <v>20</v>
      </c>
      <c r="I1086" s="5" t="s">
        <v>2608</v>
      </c>
      <c r="J1086" s="12" t="str">
        <f>HYPERLINK("https://www.boe.es/gazeta/dias/1806/09/09/pdfs/GMD-1806-74.pdf#page=6","Abrir facsímil")</f>
        <v>Abrir facsímil</v>
      </c>
      <c r="K1086" s="15" t="s">
        <v>22</v>
      </c>
    </row>
    <row r="1087" spans="1:11" ht="42" customHeight="1">
      <c r="A1087" s="4" t="s">
        <v>2609</v>
      </c>
      <c r="B1087" s="5" t="s">
        <v>2609</v>
      </c>
      <c r="C1087" s="5" t="s">
        <v>36</v>
      </c>
      <c r="D1087" s="5" t="s">
        <v>37</v>
      </c>
      <c r="E1087" s="5" t="s">
        <v>455</v>
      </c>
      <c r="F1087" s="9">
        <v>85</v>
      </c>
      <c r="G1087" s="9">
        <v>884</v>
      </c>
      <c r="H1087" s="5" t="s">
        <v>20</v>
      </c>
      <c r="I1087" s="5" t="s">
        <v>2610</v>
      </c>
      <c r="J1087" s="12" t="str">
        <f>HYPERLINK("https://www.boe.es/gazeta/dias/1806/10/17/pdfs/GMD-1806-85.pdf#page=12","Abrir facsímil")</f>
        <v>Abrir facsímil</v>
      </c>
      <c r="K1087" s="15" t="s">
        <v>22</v>
      </c>
    </row>
    <row r="1088" spans="1:11" ht="42" customHeight="1">
      <c r="A1088" s="4" t="s">
        <v>2611</v>
      </c>
      <c r="B1088" s="5" t="s">
        <v>2612</v>
      </c>
      <c r="C1088" s="5" t="s">
        <v>17</v>
      </c>
      <c r="D1088" s="5" t="s">
        <v>18</v>
      </c>
      <c r="E1088" s="5" t="s">
        <v>279</v>
      </c>
      <c r="F1088" s="9">
        <v>52</v>
      </c>
      <c r="G1088" s="9">
        <v>541</v>
      </c>
      <c r="H1088" s="5" t="s">
        <v>20</v>
      </c>
      <c r="I1088" s="5" t="s">
        <v>2613</v>
      </c>
      <c r="J1088" s="12" t="str">
        <f>HYPERLINK("https://www.boe.es/gazeta/dias/1806/06/24/pdfs/GMD-1806-52.pdf#page=9","Abrir facsímil")</f>
        <v>Abrir facsímil</v>
      </c>
      <c r="K1088" s="15" t="s">
        <v>22</v>
      </c>
    </row>
    <row r="1089" spans="1:11" ht="42" customHeight="1">
      <c r="A1089" s="4" t="s">
        <v>2614</v>
      </c>
      <c r="B1089" s="5" t="s">
        <v>2614</v>
      </c>
      <c r="C1089" s="5" t="s">
        <v>31</v>
      </c>
      <c r="D1089" s="5" t="s">
        <v>32</v>
      </c>
      <c r="E1089" s="5" t="s">
        <v>209</v>
      </c>
      <c r="F1089" s="9">
        <v>95</v>
      </c>
      <c r="G1089" s="9">
        <v>1005</v>
      </c>
      <c r="H1089" s="5" t="s">
        <v>20</v>
      </c>
      <c r="I1089" s="5" t="s">
        <v>2615</v>
      </c>
      <c r="J1089" s="12" t="str">
        <f>HYPERLINK("https://www.boe.es/gazeta/dias/1806/11/21/pdfs/GMD-1806-95.pdf#page=13","Abrir facsímil")</f>
        <v>Abrir facsímil</v>
      </c>
      <c r="K1089" s="15" t="s">
        <v>22</v>
      </c>
    </row>
    <row r="1090" spans="1:11" ht="42" customHeight="1">
      <c r="A1090" s="4" t="s">
        <v>2616</v>
      </c>
      <c r="B1090" s="5" t="s">
        <v>2617</v>
      </c>
      <c r="C1090" s="5" t="s">
        <v>69</v>
      </c>
      <c r="D1090" s="5" t="s">
        <v>70</v>
      </c>
      <c r="E1090" s="5" t="s">
        <v>780</v>
      </c>
      <c r="F1090" s="9">
        <v>33</v>
      </c>
      <c r="G1090" s="9">
        <v>323</v>
      </c>
      <c r="H1090" s="5" t="s">
        <v>20</v>
      </c>
      <c r="I1090" s="5" t="s">
        <v>2618</v>
      </c>
      <c r="J1090" s="12" t="str">
        <f>HYPERLINK("https://www.boe.es/gazeta/dias/1806/04/18/pdfs/GMD-1806-33.pdf#page=3","Abrir facsímil")</f>
        <v>Abrir facsímil</v>
      </c>
      <c r="K1090" s="15" t="s">
        <v>22</v>
      </c>
    </row>
    <row r="1091" spans="1:11" ht="42" customHeight="1">
      <c r="A1091" s="4" t="s">
        <v>2619</v>
      </c>
      <c r="B1091" s="5" t="s">
        <v>2619</v>
      </c>
      <c r="C1091" s="5" t="s">
        <v>31</v>
      </c>
      <c r="D1091" s="5" t="s">
        <v>32</v>
      </c>
      <c r="E1091" s="5" t="s">
        <v>780</v>
      </c>
      <c r="F1091" s="9">
        <v>33</v>
      </c>
      <c r="G1091" s="9">
        <v>326</v>
      </c>
      <c r="H1091" s="5" t="s">
        <v>20</v>
      </c>
      <c r="I1091" s="5" t="s">
        <v>2620</v>
      </c>
      <c r="J1091" s="12" t="str">
        <f>HYPERLINK("https://www.boe.es/gazeta/dias/1806/04/18/pdfs/GMD-1806-33.pdf#page=6","Abrir facsímil")</f>
        <v>Abrir facsímil</v>
      </c>
      <c r="K1091" s="15" t="s">
        <v>22</v>
      </c>
    </row>
    <row r="1092" spans="1:11" ht="42" customHeight="1">
      <c r="A1092" s="4" t="s">
        <v>2621</v>
      </c>
      <c r="B1092" s="5" t="s">
        <v>2622</v>
      </c>
      <c r="C1092" s="5" t="s">
        <v>69</v>
      </c>
      <c r="D1092" s="5" t="s">
        <v>70</v>
      </c>
      <c r="E1092" s="5" t="s">
        <v>312</v>
      </c>
      <c r="F1092" s="9">
        <v>100</v>
      </c>
      <c r="G1092" s="9">
        <v>1057</v>
      </c>
      <c r="H1092" s="5" t="s">
        <v>20</v>
      </c>
      <c r="I1092" s="5" t="s">
        <v>2623</v>
      </c>
      <c r="J1092" s="12" t="str">
        <f>HYPERLINK("https://www.boe.es/gazeta/dias/1806/12/09/pdfs/GMD-1806-100.pdf#page=1","Abrir facsímil")</f>
        <v>Abrir facsímil</v>
      </c>
      <c r="K1092" s="15" t="s">
        <v>22</v>
      </c>
    </row>
    <row r="1093" spans="1:11" ht="42" customHeight="1">
      <c r="A1093" s="4" t="s">
        <v>2624</v>
      </c>
      <c r="B1093" s="5" t="s">
        <v>2624</v>
      </c>
      <c r="C1093" s="5" t="s">
        <v>69</v>
      </c>
      <c r="D1093" s="5" t="s">
        <v>70</v>
      </c>
      <c r="E1093" s="5" t="s">
        <v>100</v>
      </c>
      <c r="F1093" s="9">
        <v>7</v>
      </c>
      <c r="G1093" s="9">
        <v>60</v>
      </c>
      <c r="H1093" s="5" t="s">
        <v>20</v>
      </c>
      <c r="I1093" s="5" t="s">
        <v>2625</v>
      </c>
      <c r="J1093" s="12" t="str">
        <f>HYPERLINK("https://www.boe.es/gazeta/dias/1806/01/21/pdfs/GMD-1806-7.pdf#page=4","Abrir facsímil")</f>
        <v>Abrir facsímil</v>
      </c>
      <c r="K1093" s="15" t="s">
        <v>22</v>
      </c>
    </row>
    <row r="1094" spans="1:11" ht="42" customHeight="1">
      <c r="A1094" s="4" t="s">
        <v>2626</v>
      </c>
      <c r="B1094" s="5" t="s">
        <v>2626</v>
      </c>
      <c r="C1094" s="5" t="s">
        <v>31</v>
      </c>
      <c r="D1094" s="5" t="s">
        <v>32</v>
      </c>
      <c r="E1094" s="5" t="s">
        <v>400</v>
      </c>
      <c r="F1094" s="9">
        <v>22</v>
      </c>
      <c r="G1094" s="9">
        <v>203</v>
      </c>
      <c r="H1094" s="5" t="s">
        <v>20</v>
      </c>
      <c r="I1094" s="5" t="s">
        <v>2627</v>
      </c>
      <c r="J1094" s="12" t="str">
        <f>HYPERLINK("https://www.boe.es/gazeta/dias/1806/03/11/pdfs/GMD-1806-22.pdf#page=3","Abrir facsímil")</f>
        <v>Abrir facsímil</v>
      </c>
      <c r="K1094" s="15" t="s">
        <v>22</v>
      </c>
    </row>
    <row r="1095" spans="1:11" ht="42" customHeight="1">
      <c r="A1095" s="4" t="s">
        <v>2626</v>
      </c>
      <c r="B1095" s="5" t="s">
        <v>2626</v>
      </c>
      <c r="C1095" s="5" t="s">
        <v>31</v>
      </c>
      <c r="D1095" s="5" t="s">
        <v>32</v>
      </c>
      <c r="E1095" s="5" t="s">
        <v>113</v>
      </c>
      <c r="F1095" s="9">
        <v>28</v>
      </c>
      <c r="G1095" s="9">
        <v>276</v>
      </c>
      <c r="H1095" s="5" t="s">
        <v>20</v>
      </c>
      <c r="I1095" s="5" t="s">
        <v>2628</v>
      </c>
      <c r="J1095" s="12" t="str">
        <f>HYPERLINK("https://www.boe.es/gazeta/dias/1806/04/01/pdfs/GMD-1806-28.pdf#page=4","Abrir facsímil")</f>
        <v>Abrir facsímil</v>
      </c>
      <c r="K1095" s="15" t="s">
        <v>22</v>
      </c>
    </row>
    <row r="1096" spans="1:11" ht="42" customHeight="1">
      <c r="A1096" s="4" t="s">
        <v>2629</v>
      </c>
      <c r="B1096" s="5" t="s">
        <v>2629</v>
      </c>
      <c r="C1096" s="5" t="s">
        <v>75</v>
      </c>
      <c r="D1096" s="5" t="s">
        <v>43</v>
      </c>
      <c r="E1096" s="5" t="s">
        <v>837</v>
      </c>
      <c r="F1096" s="9">
        <v>26</v>
      </c>
      <c r="G1096" s="9">
        <v>252</v>
      </c>
      <c r="H1096" s="5" t="s">
        <v>20</v>
      </c>
      <c r="I1096" s="5" t="s">
        <v>2630</v>
      </c>
      <c r="J1096" s="12" t="str">
        <f>HYPERLINK("https://www.boe.es/gazeta/dias/1806/03/25/pdfs/GMD-1806-26.pdf#page=4","Abrir facsímil")</f>
        <v>Abrir facsímil</v>
      </c>
      <c r="K1096" s="15" t="s">
        <v>22</v>
      </c>
    </row>
    <row r="1097" spans="1:11" ht="42" customHeight="1">
      <c r="A1097" s="4" t="s">
        <v>2631</v>
      </c>
      <c r="B1097" s="5" t="s">
        <v>2631</v>
      </c>
      <c r="C1097" s="5" t="s">
        <v>69</v>
      </c>
      <c r="D1097" s="5" t="s">
        <v>70</v>
      </c>
      <c r="E1097" s="5" t="s">
        <v>124</v>
      </c>
      <c r="F1097" s="9">
        <v>25</v>
      </c>
      <c r="G1097" s="9">
        <v>240</v>
      </c>
      <c r="H1097" s="5" t="s">
        <v>20</v>
      </c>
      <c r="I1097" s="5" t="s">
        <v>2632</v>
      </c>
      <c r="J1097" s="12" t="str">
        <f>HYPERLINK("https://www.boe.es/gazeta/dias/1806/03/21/pdfs/GMD-1806-25.pdf#page=4","Abrir facsímil")</f>
        <v>Abrir facsímil</v>
      </c>
      <c r="K1097" s="15" t="s">
        <v>22</v>
      </c>
    </row>
    <row r="1098" spans="1:11" ht="42" customHeight="1">
      <c r="A1098" s="4" t="s">
        <v>2633</v>
      </c>
      <c r="B1098" s="5" t="s">
        <v>2634</v>
      </c>
      <c r="C1098" s="5" t="s">
        <v>69</v>
      </c>
      <c r="D1098" s="5" t="s">
        <v>70</v>
      </c>
      <c r="E1098" s="5" t="s">
        <v>837</v>
      </c>
      <c r="F1098" s="9">
        <v>26</v>
      </c>
      <c r="G1098" s="9">
        <v>252</v>
      </c>
      <c r="H1098" s="5" t="s">
        <v>20</v>
      </c>
      <c r="I1098" s="5" t="s">
        <v>2635</v>
      </c>
      <c r="J1098" s="12" t="str">
        <f>HYPERLINK("https://www.boe.es/gazeta/dias/1806/03/25/pdfs/GMD-1806-26.pdf#page=4","Abrir facsímil")</f>
        <v>Abrir facsímil</v>
      </c>
      <c r="K1098" s="15" t="s">
        <v>22</v>
      </c>
    </row>
    <row r="1099" spans="1:11" ht="42" customHeight="1">
      <c r="A1099" s="4" t="s">
        <v>2636</v>
      </c>
      <c r="B1099" s="5" t="s">
        <v>2636</v>
      </c>
      <c r="C1099" s="5" t="s">
        <v>69</v>
      </c>
      <c r="D1099" s="5" t="s">
        <v>70</v>
      </c>
      <c r="E1099" s="5" t="s">
        <v>227</v>
      </c>
      <c r="F1099" s="9">
        <v>27</v>
      </c>
      <c r="G1099" s="9">
        <v>264</v>
      </c>
      <c r="H1099" s="5" t="s">
        <v>20</v>
      </c>
      <c r="I1099" s="5" t="s">
        <v>2637</v>
      </c>
      <c r="J1099" s="12" t="str">
        <f>HYPERLINK("https://www.boe.es/gazeta/dias/1806/03/28/pdfs/GMD-1806-27.pdf#page=4","Abrir facsímil")</f>
        <v>Abrir facsímil</v>
      </c>
      <c r="K1099" s="15" t="s">
        <v>22</v>
      </c>
    </row>
    <row r="1100" spans="1:11" ht="42" customHeight="1">
      <c r="A1100" s="4" t="s">
        <v>2638</v>
      </c>
      <c r="B1100" s="5" t="s">
        <v>2638</v>
      </c>
      <c r="C1100" s="5" t="s">
        <v>31</v>
      </c>
      <c r="D1100" s="5" t="s">
        <v>32</v>
      </c>
      <c r="E1100" s="5" t="s">
        <v>494</v>
      </c>
      <c r="F1100" s="9">
        <v>69</v>
      </c>
      <c r="G1100" s="9">
        <v>718</v>
      </c>
      <c r="H1100" s="5" t="s">
        <v>20</v>
      </c>
      <c r="I1100" s="5" t="s">
        <v>2639</v>
      </c>
      <c r="J1100" s="12" t="str">
        <f>HYPERLINK("https://www.boe.es/gazeta/dias/1806/08/22/pdfs/GMD-1806-69.pdf#page=6","Abrir facsímil")</f>
        <v>Abrir facsímil</v>
      </c>
      <c r="K1100" s="15" t="s">
        <v>22</v>
      </c>
    </row>
    <row r="1101" spans="1:11" ht="42" customHeight="1">
      <c r="A1101" s="4" t="s">
        <v>2640</v>
      </c>
      <c r="B1101" s="5" t="s">
        <v>2640</v>
      </c>
      <c r="C1101" s="5" t="s">
        <v>69</v>
      </c>
      <c r="D1101" s="5" t="s">
        <v>70</v>
      </c>
      <c r="E1101" s="5" t="s">
        <v>434</v>
      </c>
      <c r="F1101" s="9">
        <v>74</v>
      </c>
      <c r="G1101" s="9">
        <v>761</v>
      </c>
      <c r="H1101" s="5" t="s">
        <v>20</v>
      </c>
      <c r="I1101" s="5" t="s">
        <v>2641</v>
      </c>
      <c r="J1101" s="12" t="str">
        <f>HYPERLINK("https://www.boe.es/gazeta/dias/1806/09/09/pdfs/GMD-1806-74.pdf#page=1","Abrir facsímil")</f>
        <v>Abrir facsímil</v>
      </c>
      <c r="K1101" s="15" t="s">
        <v>22</v>
      </c>
    </row>
    <row r="1102" spans="1:11" ht="42" customHeight="1">
      <c r="A1102" s="4" t="s">
        <v>2642</v>
      </c>
      <c r="B1102" s="5" t="s">
        <v>2643</v>
      </c>
      <c r="C1102" s="5" t="s">
        <v>31</v>
      </c>
      <c r="D1102" s="5" t="s">
        <v>32</v>
      </c>
      <c r="E1102" s="5" t="s">
        <v>148</v>
      </c>
      <c r="F1102" s="9">
        <v>78</v>
      </c>
      <c r="G1102" s="9">
        <v>803</v>
      </c>
      <c r="H1102" s="5" t="s">
        <v>20</v>
      </c>
      <c r="I1102" s="5" t="s">
        <v>2644</v>
      </c>
      <c r="J1102" s="12" t="str">
        <f>HYPERLINK("https://www.boe.es/gazeta/dias/1806/09/23/pdfs/GMD-1806-78.pdf#page=7","Abrir facsímil")</f>
        <v>Abrir facsímil</v>
      </c>
      <c r="K1102" s="15" t="s">
        <v>22</v>
      </c>
    </row>
    <row r="1103" spans="1:11" ht="42" customHeight="1">
      <c r="A1103" s="4" t="s">
        <v>2645</v>
      </c>
      <c r="B1103" s="5" t="s">
        <v>2646</v>
      </c>
      <c r="C1103" s="5" t="s">
        <v>31</v>
      </c>
      <c r="D1103" s="5" t="s">
        <v>32</v>
      </c>
      <c r="E1103" s="5" t="s">
        <v>82</v>
      </c>
      <c r="F1103" s="9">
        <v>48</v>
      </c>
      <c r="G1103" s="9">
        <v>496</v>
      </c>
      <c r="H1103" s="5" t="s">
        <v>20</v>
      </c>
      <c r="I1103" s="5" t="s">
        <v>2647</v>
      </c>
      <c r="J1103" s="12" t="str">
        <f>HYPERLINK("https://www.boe.es/gazeta/dias/1806/06/10/pdfs/GMD-1806-48.pdf#page=8","Abrir facsímil")</f>
        <v>Abrir facsímil</v>
      </c>
      <c r="K1103" s="15" t="s">
        <v>22</v>
      </c>
    </row>
    <row r="1104" spans="1:11" ht="42" customHeight="1">
      <c r="A1104" s="4" t="s">
        <v>2648</v>
      </c>
      <c r="B1104" s="5" t="s">
        <v>2649</v>
      </c>
      <c r="C1104" s="5" t="s">
        <v>36</v>
      </c>
      <c r="D1104" s="5" t="s">
        <v>37</v>
      </c>
      <c r="E1104" s="5" t="s">
        <v>202</v>
      </c>
      <c r="F1104" s="9">
        <v>30</v>
      </c>
      <c r="G1104" s="9">
        <v>295</v>
      </c>
      <c r="H1104" s="5" t="s">
        <v>20</v>
      </c>
      <c r="I1104" s="5" t="s">
        <v>2650</v>
      </c>
      <c r="J1104" s="12" t="str">
        <f>HYPERLINK("https://www.boe.es/gazeta/dias/1806/04/08/pdfs/GMD-1806-30.pdf#page=7","Abrir facsímil")</f>
        <v>Abrir facsímil</v>
      </c>
      <c r="K1104" s="15" t="s">
        <v>22</v>
      </c>
    </row>
    <row r="1105" spans="1:11" ht="42" customHeight="1">
      <c r="A1105" s="4" t="s">
        <v>2651</v>
      </c>
      <c r="B1105" s="5" t="s">
        <v>2652</v>
      </c>
      <c r="C1105" s="5" t="s">
        <v>69</v>
      </c>
      <c r="D1105" s="5" t="s">
        <v>70</v>
      </c>
      <c r="E1105" s="5" t="s">
        <v>680</v>
      </c>
      <c r="F1105" s="9">
        <v>97</v>
      </c>
      <c r="G1105" s="9">
        <v>1025</v>
      </c>
      <c r="H1105" s="5" t="s">
        <v>20</v>
      </c>
      <c r="I1105" s="5" t="s">
        <v>2653</v>
      </c>
      <c r="J1105" s="12" t="str">
        <f>HYPERLINK("https://www.boe.es/gazeta/dias/1806/11/28/pdfs/GMD-1806-97.pdf#page=5","Abrir facsímil")</f>
        <v>Abrir facsímil</v>
      </c>
      <c r="K1105" s="15" t="s">
        <v>22</v>
      </c>
    </row>
    <row r="1106" spans="1:11" ht="42" customHeight="1">
      <c r="A1106" s="4" t="s">
        <v>2654</v>
      </c>
      <c r="B1106" s="5" t="s">
        <v>2655</v>
      </c>
      <c r="C1106" s="5" t="s">
        <v>69</v>
      </c>
      <c r="D1106" s="5" t="s">
        <v>70</v>
      </c>
      <c r="E1106" s="5" t="s">
        <v>657</v>
      </c>
      <c r="F1106" s="9">
        <v>96</v>
      </c>
      <c r="G1106" s="9">
        <v>1017</v>
      </c>
      <c r="H1106" s="5" t="s">
        <v>20</v>
      </c>
      <c r="I1106" s="5" t="s">
        <v>2656</v>
      </c>
      <c r="J1106" s="12" t="str">
        <f>HYPERLINK("https://www.boe.es/gazeta/dias/1806/11/25/pdfs/GMD-1806-96.pdf#page=9","Abrir facsímil")</f>
        <v>Abrir facsímil</v>
      </c>
      <c r="K1106" s="15" t="s">
        <v>22</v>
      </c>
    </row>
    <row r="1107" spans="1:11" ht="42" customHeight="1">
      <c r="A1107" s="4" t="s">
        <v>2657</v>
      </c>
      <c r="B1107" s="5" t="s">
        <v>2658</v>
      </c>
      <c r="C1107" s="5" t="s">
        <v>17</v>
      </c>
      <c r="D1107" s="5" t="s">
        <v>18</v>
      </c>
      <c r="E1107" s="5" t="s">
        <v>554</v>
      </c>
      <c r="F1107" s="9">
        <v>90</v>
      </c>
      <c r="G1107" s="9">
        <v>933</v>
      </c>
      <c r="H1107" s="5" t="s">
        <v>20</v>
      </c>
      <c r="I1107" s="5" t="s">
        <v>2659</v>
      </c>
      <c r="J1107" s="12" t="str">
        <f>HYPERLINK("https://www.boe.es/gazeta/dias/1806/11/04/pdfs/GMD-1806-90.pdf#page=9","Abrir facsímil")</f>
        <v>Abrir facsímil</v>
      </c>
      <c r="K1107" s="15" t="s">
        <v>22</v>
      </c>
    </row>
    <row r="1108" spans="1:11" ht="42" customHeight="1">
      <c r="A1108" s="4" t="s">
        <v>2657</v>
      </c>
      <c r="B1108" s="5" t="s">
        <v>2658</v>
      </c>
      <c r="C1108" s="5" t="s">
        <v>17</v>
      </c>
      <c r="D1108" s="5" t="s">
        <v>18</v>
      </c>
      <c r="E1108" s="5" t="s">
        <v>76</v>
      </c>
      <c r="F1108" s="9">
        <v>98</v>
      </c>
      <c r="G1108" s="9">
        <v>1039</v>
      </c>
      <c r="H1108" s="5" t="s">
        <v>20</v>
      </c>
      <c r="I1108" s="5" t="s">
        <v>2660</v>
      </c>
      <c r="J1108" s="12" t="str">
        <f>HYPERLINK("https://www.boe.es/gazeta/dias/1806/12/02/pdfs/GMD-1806-98.pdf#page=7","Abrir facsímil")</f>
        <v>Abrir facsímil</v>
      </c>
      <c r="K1108" s="15" t="s">
        <v>22</v>
      </c>
    </row>
    <row r="1109" spans="1:11" ht="42" customHeight="1">
      <c r="A1109" s="4" t="s">
        <v>2661</v>
      </c>
      <c r="B1109" s="5" t="s">
        <v>2662</v>
      </c>
      <c r="C1109" s="5" t="s">
        <v>706</v>
      </c>
      <c r="D1109" s="5" t="s">
        <v>707</v>
      </c>
      <c r="E1109" s="5" t="s">
        <v>195</v>
      </c>
      <c r="F1109" s="9" t="s">
        <v>708</v>
      </c>
      <c r="G1109" s="9">
        <v>41</v>
      </c>
      <c r="H1109" s="5" t="s">
        <v>20</v>
      </c>
      <c r="I1109" s="5" t="s">
        <v>2663</v>
      </c>
      <c r="J1109" s="12" t="str">
        <f>HYPERLINK("https://www.boe.es/gazeta/dias/1806/01/14/pdfs/GMD-1806-5E.pdf#page=1","Abrir facsímil")</f>
        <v>Abrir facsímil</v>
      </c>
      <c r="K1109" s="15" t="s">
        <v>22</v>
      </c>
    </row>
    <row r="1110" spans="1:11" ht="42" customHeight="1">
      <c r="A1110" s="4" t="s">
        <v>2661</v>
      </c>
      <c r="B1110" s="5" t="s">
        <v>2662</v>
      </c>
      <c r="C1110" s="5" t="s">
        <v>69</v>
      </c>
      <c r="D1110" s="5" t="s">
        <v>70</v>
      </c>
      <c r="E1110" s="5" t="s">
        <v>540</v>
      </c>
      <c r="F1110" s="9">
        <v>51</v>
      </c>
      <c r="G1110" s="9">
        <v>523</v>
      </c>
      <c r="H1110" s="5" t="s">
        <v>20</v>
      </c>
      <c r="I1110" s="5" t="s">
        <v>2664</v>
      </c>
      <c r="J1110" s="12" t="str">
        <f>HYPERLINK("https://www.boe.es/gazeta/dias/1806/06/20/pdfs/GMD-1806-51.pdf#page=3","Abrir facsímil")</f>
        <v>Abrir facsímil</v>
      </c>
      <c r="K1110" s="15" t="s">
        <v>22</v>
      </c>
    </row>
    <row r="1111" spans="1:11" ht="42" customHeight="1">
      <c r="A1111" s="4" t="s">
        <v>2665</v>
      </c>
      <c r="B1111" s="5" t="s">
        <v>2666</v>
      </c>
      <c r="C1111" s="5" t="s">
        <v>69</v>
      </c>
      <c r="D1111" s="5" t="s">
        <v>70</v>
      </c>
      <c r="E1111" s="5" t="s">
        <v>859</v>
      </c>
      <c r="F1111" s="9">
        <v>63</v>
      </c>
      <c r="G1111" s="9">
        <v>659</v>
      </c>
      <c r="H1111" s="5" t="s">
        <v>20</v>
      </c>
      <c r="I1111" s="5" t="s">
        <v>2667</v>
      </c>
      <c r="J1111" s="12" t="str">
        <f>HYPERLINK("https://www.boe.es/gazeta/dias/1806/08/01/pdfs/GMD-1806-63.pdf#page=7","Abrir facsímil")</f>
        <v>Abrir facsímil</v>
      </c>
      <c r="K1111" s="15" t="s">
        <v>22</v>
      </c>
    </row>
    <row r="1112" spans="1:11" ht="42" customHeight="1">
      <c r="A1112" s="4" t="s">
        <v>2661</v>
      </c>
      <c r="B1112" s="5" t="s">
        <v>2662</v>
      </c>
      <c r="C1112" s="5" t="s">
        <v>17</v>
      </c>
      <c r="D1112" s="5" t="s">
        <v>18</v>
      </c>
      <c r="E1112" s="5" t="s">
        <v>1005</v>
      </c>
      <c r="F1112" s="9">
        <v>76</v>
      </c>
      <c r="G1112" s="9">
        <v>786</v>
      </c>
      <c r="H1112" s="5" t="s">
        <v>20</v>
      </c>
      <c r="I1112" s="5" t="s">
        <v>2668</v>
      </c>
      <c r="J1112" s="12" t="str">
        <f>HYPERLINK("https://www.boe.es/gazeta/dias/1806/09/16/pdfs/GMD-1806-76.pdf#page=6","Abrir facsímil")</f>
        <v>Abrir facsímil</v>
      </c>
      <c r="K1112" s="15" t="s">
        <v>22</v>
      </c>
    </row>
    <row r="1113" spans="1:11" ht="42" customHeight="1">
      <c r="A1113" s="4" t="s">
        <v>2661</v>
      </c>
      <c r="B1113" s="5" t="s">
        <v>2662</v>
      </c>
      <c r="C1113" s="5" t="s">
        <v>69</v>
      </c>
      <c r="D1113" s="5" t="s">
        <v>70</v>
      </c>
      <c r="E1113" s="5" t="s">
        <v>127</v>
      </c>
      <c r="F1113" s="9">
        <v>81</v>
      </c>
      <c r="G1113" s="9">
        <v>834</v>
      </c>
      <c r="H1113" s="5" t="s">
        <v>20</v>
      </c>
      <c r="I1113" s="5" t="s">
        <v>2669</v>
      </c>
      <c r="J1113" s="12" t="str">
        <f>HYPERLINK("https://www.boe.es/gazeta/dias/1806/10/03/pdfs/GMD-1806-81.pdf#page=2","Abrir facsímil")</f>
        <v>Abrir facsímil</v>
      </c>
      <c r="K1113" s="15" t="s">
        <v>22</v>
      </c>
    </row>
    <row r="1114" spans="1:11" ht="42" customHeight="1">
      <c r="A1114" s="4" t="s">
        <v>2661</v>
      </c>
      <c r="B1114" s="5" t="s">
        <v>2662</v>
      </c>
      <c r="C1114" s="5" t="s">
        <v>69</v>
      </c>
      <c r="D1114" s="5" t="s">
        <v>70</v>
      </c>
      <c r="E1114" s="5" t="s">
        <v>554</v>
      </c>
      <c r="F1114" s="9">
        <v>90</v>
      </c>
      <c r="G1114" s="9">
        <v>928</v>
      </c>
      <c r="H1114" s="5" t="s">
        <v>20</v>
      </c>
      <c r="I1114" s="5" t="s">
        <v>2670</v>
      </c>
      <c r="J1114" s="12" t="str">
        <f>HYPERLINK("https://www.boe.es/gazeta/dias/1806/11/04/pdfs/GMD-1806-90.pdf#page=4","Abrir facsímil")</f>
        <v>Abrir facsímil</v>
      </c>
      <c r="K1114" s="15" t="s">
        <v>22</v>
      </c>
    </row>
    <row r="1115" spans="1:11" ht="42" customHeight="1">
      <c r="A1115" s="4" t="s">
        <v>2661</v>
      </c>
      <c r="B1115" s="5" t="s">
        <v>2662</v>
      </c>
      <c r="C1115" s="5" t="s">
        <v>31</v>
      </c>
      <c r="D1115" s="5" t="s">
        <v>32</v>
      </c>
      <c r="E1115" s="5" t="s">
        <v>554</v>
      </c>
      <c r="F1115" s="9">
        <v>90</v>
      </c>
      <c r="G1115" s="9">
        <v>931</v>
      </c>
      <c r="H1115" s="5" t="s">
        <v>20</v>
      </c>
      <c r="I1115" s="5" t="s">
        <v>2671</v>
      </c>
      <c r="J1115" s="12" t="str">
        <f>HYPERLINK("https://www.boe.es/gazeta/dias/1806/11/04/pdfs/GMD-1806-90.pdf#page=7","Abrir facsímil")</f>
        <v>Abrir facsímil</v>
      </c>
      <c r="K1115" s="15" t="s">
        <v>22</v>
      </c>
    </row>
    <row r="1116" spans="1:11" ht="42" customHeight="1">
      <c r="A1116" s="4" t="s">
        <v>2661</v>
      </c>
      <c r="B1116" s="5" t="s">
        <v>2662</v>
      </c>
      <c r="C1116" s="5" t="s">
        <v>75</v>
      </c>
      <c r="D1116" s="5" t="s">
        <v>43</v>
      </c>
      <c r="E1116" s="5" t="s">
        <v>554</v>
      </c>
      <c r="F1116" s="9">
        <v>90</v>
      </c>
      <c r="G1116" s="9">
        <v>933</v>
      </c>
      <c r="H1116" s="5" t="s">
        <v>20</v>
      </c>
      <c r="I1116" s="5" t="s">
        <v>2672</v>
      </c>
      <c r="J1116" s="12" t="str">
        <f>HYPERLINK("https://www.boe.es/gazeta/dias/1806/11/04/pdfs/GMD-1806-90.pdf#page=9","Abrir facsímil")</f>
        <v>Abrir facsímil</v>
      </c>
      <c r="K1116" s="15" t="s">
        <v>22</v>
      </c>
    </row>
    <row r="1117" spans="1:11" ht="42" customHeight="1">
      <c r="A1117" s="4" t="s">
        <v>2661</v>
      </c>
      <c r="B1117" s="5" t="s">
        <v>2662</v>
      </c>
      <c r="C1117" s="5" t="s">
        <v>69</v>
      </c>
      <c r="D1117" s="5" t="s">
        <v>70</v>
      </c>
      <c r="E1117" s="5" t="s">
        <v>38</v>
      </c>
      <c r="F1117" s="9">
        <v>92</v>
      </c>
      <c r="G1117" s="9">
        <v>950</v>
      </c>
      <c r="H1117" s="5" t="s">
        <v>20</v>
      </c>
      <c r="I1117" s="5" t="s">
        <v>2673</v>
      </c>
      <c r="J1117" s="12" t="str">
        <f>HYPERLINK("https://www.boe.es/gazeta/dias/1806/11/11/pdfs/GMD-1806-92.pdf#page=2","Abrir facsímil")</f>
        <v>Abrir facsímil</v>
      </c>
      <c r="K1117" s="15" t="s">
        <v>22</v>
      </c>
    </row>
    <row r="1118" spans="1:11" ht="42" customHeight="1">
      <c r="A1118" s="4" t="s">
        <v>2661</v>
      </c>
      <c r="B1118" s="5" t="s">
        <v>2662</v>
      </c>
      <c r="C1118" s="5" t="s">
        <v>69</v>
      </c>
      <c r="D1118" s="5" t="s">
        <v>70</v>
      </c>
      <c r="E1118" s="5" t="s">
        <v>38</v>
      </c>
      <c r="F1118" s="9">
        <v>92</v>
      </c>
      <c r="G1118" s="9">
        <v>951</v>
      </c>
      <c r="H1118" s="5" t="s">
        <v>20</v>
      </c>
      <c r="I1118" s="5" t="s">
        <v>2674</v>
      </c>
      <c r="J1118" s="12" t="str">
        <f>HYPERLINK("https://www.boe.es/gazeta/dias/1806/11/11/pdfs/GMD-1806-92.pdf#page=3","Abrir facsímil")</f>
        <v>Abrir facsímil</v>
      </c>
      <c r="K1118" s="15" t="s">
        <v>22</v>
      </c>
    </row>
    <row r="1119" spans="1:11" ht="42" customHeight="1">
      <c r="A1119" s="4" t="s">
        <v>2661</v>
      </c>
      <c r="B1119" s="5" t="s">
        <v>2662</v>
      </c>
      <c r="C1119" s="5" t="s">
        <v>31</v>
      </c>
      <c r="D1119" s="5" t="s">
        <v>32</v>
      </c>
      <c r="E1119" s="5" t="s">
        <v>38</v>
      </c>
      <c r="F1119" s="9">
        <v>92</v>
      </c>
      <c r="G1119" s="9">
        <v>953</v>
      </c>
      <c r="H1119" s="5" t="s">
        <v>20</v>
      </c>
      <c r="I1119" s="5" t="s">
        <v>2675</v>
      </c>
      <c r="J1119" s="12" t="str">
        <f>HYPERLINK("https://www.boe.es/gazeta/dias/1806/11/11/pdfs/GMD-1806-92.pdf#page=5","Abrir facsímil")</f>
        <v>Abrir facsímil</v>
      </c>
      <c r="K1119" s="15" t="s">
        <v>22</v>
      </c>
    </row>
    <row r="1120" spans="1:11" ht="42" customHeight="1">
      <c r="A1120" s="4" t="s">
        <v>2661</v>
      </c>
      <c r="B1120" s="5" t="s">
        <v>2662</v>
      </c>
      <c r="C1120" s="5" t="s">
        <v>69</v>
      </c>
      <c r="D1120" s="5" t="s">
        <v>70</v>
      </c>
      <c r="E1120" s="5" t="s">
        <v>38</v>
      </c>
      <c r="F1120" s="9">
        <v>92</v>
      </c>
      <c r="G1120" s="9">
        <v>956</v>
      </c>
      <c r="H1120" s="5" t="s">
        <v>20</v>
      </c>
      <c r="I1120" s="5" t="s">
        <v>2676</v>
      </c>
      <c r="J1120" s="12" t="str">
        <f>HYPERLINK("https://www.boe.es/gazeta/dias/1806/11/11/pdfs/GMD-1806-92.pdf#page=8","Abrir facsímil")</f>
        <v>Abrir facsímil</v>
      </c>
      <c r="K1120" s="15" t="s">
        <v>22</v>
      </c>
    </row>
    <row r="1121" spans="1:11" ht="42" customHeight="1">
      <c r="A1121" s="4" t="s">
        <v>2661</v>
      </c>
      <c r="B1121" s="5" t="s">
        <v>2662</v>
      </c>
      <c r="C1121" s="5" t="s">
        <v>69</v>
      </c>
      <c r="D1121" s="5" t="s">
        <v>70</v>
      </c>
      <c r="E1121" s="5" t="s">
        <v>38</v>
      </c>
      <c r="F1121" s="9">
        <v>92</v>
      </c>
      <c r="G1121" s="9">
        <v>958</v>
      </c>
      <c r="H1121" s="5" t="s">
        <v>20</v>
      </c>
      <c r="I1121" s="5" t="s">
        <v>2677</v>
      </c>
      <c r="J1121" s="12" t="str">
        <f>HYPERLINK("https://www.boe.es/gazeta/dias/1806/11/11/pdfs/GMD-1806-92.pdf#page=10","Abrir facsímil")</f>
        <v>Abrir facsímil</v>
      </c>
      <c r="K1121" s="15" t="s">
        <v>22</v>
      </c>
    </row>
    <row r="1122" spans="1:11" ht="42" customHeight="1">
      <c r="A1122" s="4" t="s">
        <v>2665</v>
      </c>
      <c r="B1122" s="5" t="s">
        <v>2666</v>
      </c>
      <c r="C1122" s="5" t="s">
        <v>69</v>
      </c>
      <c r="D1122" s="5" t="s">
        <v>70</v>
      </c>
      <c r="E1122" s="5" t="s">
        <v>570</v>
      </c>
      <c r="F1122" s="9">
        <v>93</v>
      </c>
      <c r="G1122" s="9">
        <v>966</v>
      </c>
      <c r="H1122" s="5" t="s">
        <v>20</v>
      </c>
      <c r="I1122" s="5" t="s">
        <v>2678</v>
      </c>
      <c r="J1122" s="12" t="str">
        <f>HYPERLINK("https://www.boe.es/gazeta/dias/1806/11/14/pdfs/GMD-1806-93.pdf#page=2","Abrir facsímil")</f>
        <v>Abrir facsímil</v>
      </c>
      <c r="K1122" s="15" t="s">
        <v>22</v>
      </c>
    </row>
    <row r="1123" spans="1:11" ht="42" customHeight="1">
      <c r="A1123" s="4" t="s">
        <v>2661</v>
      </c>
      <c r="B1123" s="5" t="s">
        <v>2662</v>
      </c>
      <c r="C1123" s="5" t="s">
        <v>69</v>
      </c>
      <c r="D1123" s="5" t="s">
        <v>70</v>
      </c>
      <c r="E1123" s="5" t="s">
        <v>570</v>
      </c>
      <c r="F1123" s="9">
        <v>93</v>
      </c>
      <c r="G1123" s="9">
        <v>971</v>
      </c>
      <c r="H1123" s="5" t="s">
        <v>20</v>
      </c>
      <c r="I1123" s="5" t="s">
        <v>2679</v>
      </c>
      <c r="J1123" s="12" t="str">
        <f>HYPERLINK("https://www.boe.es/gazeta/dias/1806/11/14/pdfs/GMD-1806-93.pdf#page=7","Abrir facsímil")</f>
        <v>Abrir facsímil</v>
      </c>
      <c r="K1123" s="15" t="s">
        <v>22</v>
      </c>
    </row>
    <row r="1124" spans="1:11" ht="42" customHeight="1">
      <c r="A1124" s="4" t="s">
        <v>2661</v>
      </c>
      <c r="B1124" s="5" t="s">
        <v>2662</v>
      </c>
      <c r="C1124" s="5" t="s">
        <v>17</v>
      </c>
      <c r="D1124" s="5" t="s">
        <v>18</v>
      </c>
      <c r="E1124" s="5" t="s">
        <v>209</v>
      </c>
      <c r="F1124" s="9">
        <v>95</v>
      </c>
      <c r="G1124" s="9">
        <v>999</v>
      </c>
      <c r="H1124" s="5" t="s">
        <v>20</v>
      </c>
      <c r="I1124" s="5" t="s">
        <v>2680</v>
      </c>
      <c r="J1124" s="12" t="str">
        <f>HYPERLINK("https://www.boe.es/gazeta/dias/1806/11/21/pdfs/GMD-1806-95.pdf#page=7","Abrir facsímil")</f>
        <v>Abrir facsímil</v>
      </c>
      <c r="K1124" s="15" t="s">
        <v>22</v>
      </c>
    </row>
    <row r="1125" spans="1:11" ht="42" customHeight="1">
      <c r="A1125" s="4" t="s">
        <v>2661</v>
      </c>
      <c r="B1125" s="5" t="s">
        <v>2662</v>
      </c>
      <c r="C1125" s="5" t="s">
        <v>75</v>
      </c>
      <c r="D1125" s="5" t="s">
        <v>43</v>
      </c>
      <c r="E1125" s="5" t="s">
        <v>657</v>
      </c>
      <c r="F1125" s="9">
        <v>96</v>
      </c>
      <c r="G1125" s="9">
        <v>1015</v>
      </c>
      <c r="H1125" s="5" t="s">
        <v>20</v>
      </c>
      <c r="I1125" s="5" t="s">
        <v>2681</v>
      </c>
      <c r="J1125" s="12" t="str">
        <f>HYPERLINK("https://www.boe.es/gazeta/dias/1806/11/25/pdfs/GMD-1806-96.pdf#page=7","Abrir facsímil")</f>
        <v>Abrir facsímil</v>
      </c>
      <c r="K1125" s="15" t="s">
        <v>22</v>
      </c>
    </row>
    <row r="1126" spans="1:11" ht="42" customHeight="1">
      <c r="A1126" s="4" t="s">
        <v>2661</v>
      </c>
      <c r="B1126" s="5" t="s">
        <v>2662</v>
      </c>
      <c r="C1126" s="5" t="s">
        <v>75</v>
      </c>
      <c r="D1126" s="5" t="s">
        <v>43</v>
      </c>
      <c r="E1126" s="5" t="s">
        <v>76</v>
      </c>
      <c r="F1126" s="9">
        <v>98</v>
      </c>
      <c r="G1126" s="9">
        <v>1035</v>
      </c>
      <c r="H1126" s="5" t="s">
        <v>20</v>
      </c>
      <c r="I1126" s="5" t="s">
        <v>2682</v>
      </c>
      <c r="J1126" s="12" t="str">
        <f>HYPERLINK("https://www.boe.es/gazeta/dias/1806/12/02/pdfs/GMD-1806-98.pdf#page=3","Abrir facsímil")</f>
        <v>Abrir facsímil</v>
      </c>
      <c r="K1126" s="15" t="s">
        <v>22</v>
      </c>
    </row>
    <row r="1127" spans="1:11" ht="42" customHeight="1">
      <c r="A1127" s="4" t="s">
        <v>2661</v>
      </c>
      <c r="B1127" s="5" t="s">
        <v>2662</v>
      </c>
      <c r="C1127" s="5" t="s">
        <v>69</v>
      </c>
      <c r="D1127" s="5" t="s">
        <v>70</v>
      </c>
      <c r="E1127" s="5" t="s">
        <v>312</v>
      </c>
      <c r="F1127" s="9">
        <v>100</v>
      </c>
      <c r="G1127" s="9">
        <v>1062</v>
      </c>
      <c r="H1127" s="5" t="s">
        <v>20</v>
      </c>
      <c r="I1127" s="5" t="s">
        <v>2683</v>
      </c>
      <c r="J1127" s="12" t="str">
        <f>HYPERLINK("https://www.boe.es/gazeta/dias/1806/12/09/pdfs/GMD-1806-100.pdf#page=6","Abrir facsímil")</f>
        <v>Abrir facsímil</v>
      </c>
      <c r="K1127" s="15" t="s">
        <v>22</v>
      </c>
    </row>
    <row r="1128" spans="1:11" ht="42" customHeight="1">
      <c r="A1128" s="4" t="s">
        <v>2661</v>
      </c>
      <c r="B1128" s="5" t="s">
        <v>2662</v>
      </c>
      <c r="C1128" s="5" t="s">
        <v>69</v>
      </c>
      <c r="D1128" s="5" t="s">
        <v>70</v>
      </c>
      <c r="E1128" s="5" t="s">
        <v>327</v>
      </c>
      <c r="F1128" s="9">
        <v>104</v>
      </c>
      <c r="G1128" s="9">
        <v>1102</v>
      </c>
      <c r="H1128" s="5" t="s">
        <v>20</v>
      </c>
      <c r="I1128" s="5" t="s">
        <v>2684</v>
      </c>
      <c r="J1128" s="12" t="str">
        <f>HYPERLINK("https://www.boe.es/gazeta/dias/1806/12/23/pdfs/GMD-1806-104.pdf#page=2","Abrir facsímil")</f>
        <v>Abrir facsímil</v>
      </c>
      <c r="K1128" s="15" t="s">
        <v>22</v>
      </c>
    </row>
    <row r="1129" spans="1:11" ht="42" customHeight="1">
      <c r="A1129" s="4" t="s">
        <v>2661</v>
      </c>
      <c r="B1129" s="5" t="s">
        <v>2662</v>
      </c>
      <c r="C1129" s="5" t="s">
        <v>69</v>
      </c>
      <c r="D1129" s="5" t="s">
        <v>70</v>
      </c>
      <c r="E1129" s="5" t="s">
        <v>245</v>
      </c>
      <c r="F1129" s="9">
        <v>106</v>
      </c>
      <c r="G1129" s="9">
        <v>1117</v>
      </c>
      <c r="H1129" s="5" t="s">
        <v>20</v>
      </c>
      <c r="I1129" s="5" t="s">
        <v>2685</v>
      </c>
      <c r="J1129" s="12" t="str">
        <f>HYPERLINK("https://www.boe.es/gazeta/dias/1806/12/26/pdfs/GMD-1806-106.pdf#page=1","Abrir facsímil")</f>
        <v>Abrir facsímil</v>
      </c>
      <c r="K1129" s="15" t="s">
        <v>22</v>
      </c>
    </row>
    <row r="1130" spans="1:11" ht="42" customHeight="1">
      <c r="A1130" s="4" t="s">
        <v>2661</v>
      </c>
      <c r="B1130" s="5" t="s">
        <v>2662</v>
      </c>
      <c r="C1130" s="5" t="s">
        <v>69</v>
      </c>
      <c r="D1130" s="5" t="s">
        <v>70</v>
      </c>
      <c r="E1130" s="5" t="s">
        <v>1031</v>
      </c>
      <c r="F1130" s="9">
        <v>107</v>
      </c>
      <c r="G1130" s="9">
        <v>1128</v>
      </c>
      <c r="H1130" s="5" t="s">
        <v>20</v>
      </c>
      <c r="I1130" s="5" t="s">
        <v>2686</v>
      </c>
      <c r="J1130" s="12" t="str">
        <f>HYPERLINK("https://www.boe.es/gazeta/dias/1806/12/30/pdfs/GMD-1806-107.pdf#page=4","Abrir facsímil")</f>
        <v>Abrir facsímil</v>
      </c>
      <c r="K1130" s="15" t="s">
        <v>22</v>
      </c>
    </row>
    <row r="1131" spans="1:11" ht="42" customHeight="1">
      <c r="A1131" s="4" t="s">
        <v>2687</v>
      </c>
      <c r="B1131" s="5" t="s">
        <v>2688</v>
      </c>
      <c r="C1131" s="5" t="s">
        <v>31</v>
      </c>
      <c r="D1131" s="5" t="s">
        <v>32</v>
      </c>
      <c r="E1131" s="5" t="s">
        <v>110</v>
      </c>
      <c r="F1131" s="9">
        <v>55</v>
      </c>
      <c r="G1131" s="9">
        <v>572</v>
      </c>
      <c r="H1131" s="5" t="s">
        <v>20</v>
      </c>
      <c r="I1131" s="5" t="s">
        <v>2689</v>
      </c>
      <c r="J1131" s="12" t="str">
        <f>HYPERLINK("https://www.boe.es/gazeta/dias/1806/07/04/pdfs/GMD-1806-55.pdf#page=8","Abrir facsímil")</f>
        <v>Abrir facsímil</v>
      </c>
      <c r="K1131" s="15" t="s">
        <v>22</v>
      </c>
    </row>
    <row r="1132" spans="1:11" ht="42" customHeight="1">
      <c r="A1132" s="4" t="s">
        <v>2690</v>
      </c>
      <c r="B1132" s="5" t="s">
        <v>2691</v>
      </c>
      <c r="C1132" s="5" t="s">
        <v>42</v>
      </c>
      <c r="D1132" s="5" t="s">
        <v>43</v>
      </c>
      <c r="E1132" s="5" t="s">
        <v>1005</v>
      </c>
      <c r="F1132" s="9">
        <v>76</v>
      </c>
      <c r="G1132" s="9">
        <v>787</v>
      </c>
      <c r="H1132" s="5" t="s">
        <v>20</v>
      </c>
      <c r="I1132" s="5" t="s">
        <v>2692</v>
      </c>
      <c r="J1132" s="12" t="str">
        <f>HYPERLINK("https://www.boe.es/gazeta/dias/1806/09/16/pdfs/GMD-1806-76.pdf#page=7","Abrir facsímil")</f>
        <v>Abrir facsímil</v>
      </c>
      <c r="K1132" s="15" t="s">
        <v>22</v>
      </c>
    </row>
    <row r="1133" spans="1:11" ht="42" customHeight="1">
      <c r="A1133" s="4" t="s">
        <v>2693</v>
      </c>
      <c r="B1133" s="5" t="s">
        <v>2694</v>
      </c>
      <c r="C1133" s="5" t="s">
        <v>36</v>
      </c>
      <c r="D1133" s="5" t="s">
        <v>37</v>
      </c>
      <c r="E1133" s="5" t="s">
        <v>540</v>
      </c>
      <c r="F1133" s="9">
        <v>51</v>
      </c>
      <c r="G1133" s="9">
        <v>530</v>
      </c>
      <c r="H1133" s="5" t="s">
        <v>20</v>
      </c>
      <c r="I1133" s="5" t="s">
        <v>2695</v>
      </c>
      <c r="J1133" s="12" t="str">
        <f>HYPERLINK("https://www.boe.es/gazeta/dias/1806/06/20/pdfs/GMD-1806-51.pdf#page=10","Abrir facsímil")</f>
        <v>Abrir facsímil</v>
      </c>
      <c r="K1133" s="15" t="s">
        <v>22</v>
      </c>
    </row>
    <row r="1134" spans="1:11" ht="42" customHeight="1">
      <c r="A1134" s="4" t="s">
        <v>2693</v>
      </c>
      <c r="B1134" s="5" t="s">
        <v>2694</v>
      </c>
      <c r="C1134" s="5" t="s">
        <v>75</v>
      </c>
      <c r="D1134" s="5" t="s">
        <v>43</v>
      </c>
      <c r="E1134" s="5" t="s">
        <v>79</v>
      </c>
      <c r="F1134" s="9">
        <v>68</v>
      </c>
      <c r="G1134" s="9">
        <v>710</v>
      </c>
      <c r="H1134" s="5" t="s">
        <v>20</v>
      </c>
      <c r="I1134" s="5" t="s">
        <v>2696</v>
      </c>
      <c r="J1134" s="12" t="str">
        <f>HYPERLINK("https://www.boe.es/gazeta/dias/1806/08/19/pdfs/GMD-1806-68.pdf#page=6","Abrir facsímil")</f>
        <v>Abrir facsímil</v>
      </c>
      <c r="K1134" s="15" t="s">
        <v>22</v>
      </c>
    </row>
    <row r="1135" spans="1:11" ht="42" customHeight="1">
      <c r="A1135" s="4" t="s">
        <v>2693</v>
      </c>
      <c r="B1135" s="5" t="s">
        <v>2694</v>
      </c>
      <c r="C1135" s="5" t="s">
        <v>36</v>
      </c>
      <c r="D1135" s="5" t="s">
        <v>37</v>
      </c>
      <c r="E1135" s="5" t="s">
        <v>213</v>
      </c>
      <c r="F1135" s="9">
        <v>73</v>
      </c>
      <c r="G1135" s="9">
        <v>759</v>
      </c>
      <c r="H1135" s="5" t="s">
        <v>20</v>
      </c>
      <c r="I1135" s="5" t="s">
        <v>2697</v>
      </c>
      <c r="J1135" s="12" t="str">
        <f>HYPERLINK("https://www.boe.es/gazeta/dias/1806/09/05/pdfs/GMD-1806-73.pdf#page=7","Abrir facsímil")</f>
        <v>Abrir facsímil</v>
      </c>
      <c r="K1135" s="15" t="s">
        <v>22</v>
      </c>
    </row>
    <row r="1136" spans="1:11" ht="42" customHeight="1">
      <c r="A1136" s="4" t="s">
        <v>2693</v>
      </c>
      <c r="B1136" s="5" t="s">
        <v>2694</v>
      </c>
      <c r="C1136" s="5" t="s">
        <v>75</v>
      </c>
      <c r="D1136" s="5" t="s">
        <v>43</v>
      </c>
      <c r="E1136" s="5" t="s">
        <v>600</v>
      </c>
      <c r="F1136" s="9">
        <v>77</v>
      </c>
      <c r="G1136" s="9">
        <v>796</v>
      </c>
      <c r="H1136" s="5" t="s">
        <v>20</v>
      </c>
      <c r="I1136" s="5" t="s">
        <v>2698</v>
      </c>
      <c r="J1136" s="12" t="str">
        <f>HYPERLINK("https://www.boe.es/gazeta/dias/1806/09/19/pdfs/GMD-1806-77.pdf#page=8","Abrir facsímil")</f>
        <v>Abrir facsímil</v>
      </c>
      <c r="K1136" s="15" t="s">
        <v>22</v>
      </c>
    </row>
    <row r="1137" spans="1:11" ht="42" customHeight="1">
      <c r="A1137" s="4" t="s">
        <v>2693</v>
      </c>
      <c r="B1137" s="5" t="s">
        <v>2694</v>
      </c>
      <c r="C1137" s="5" t="s">
        <v>75</v>
      </c>
      <c r="D1137" s="5" t="s">
        <v>43</v>
      </c>
      <c r="E1137" s="5" t="s">
        <v>148</v>
      </c>
      <c r="F1137" s="9">
        <v>78</v>
      </c>
      <c r="G1137" s="9">
        <v>805</v>
      </c>
      <c r="H1137" s="5" t="s">
        <v>20</v>
      </c>
      <c r="I1137" s="5" t="s">
        <v>2699</v>
      </c>
      <c r="J1137" s="12" t="str">
        <f>HYPERLINK("https://www.boe.es/gazeta/dias/1806/09/23/pdfs/GMD-1806-78.pdf#page=9","Abrir facsímil")</f>
        <v>Abrir facsímil</v>
      </c>
      <c r="K1137" s="15" t="s">
        <v>22</v>
      </c>
    </row>
    <row r="1138" spans="1:11" ht="42" customHeight="1">
      <c r="A1138" s="4" t="s">
        <v>2693</v>
      </c>
      <c r="B1138" s="5" t="s">
        <v>2694</v>
      </c>
      <c r="C1138" s="5" t="s">
        <v>75</v>
      </c>
      <c r="D1138" s="5" t="s">
        <v>43</v>
      </c>
      <c r="E1138" s="5" t="s">
        <v>33</v>
      </c>
      <c r="F1138" s="9">
        <v>82</v>
      </c>
      <c r="G1138" s="9">
        <v>851</v>
      </c>
      <c r="H1138" s="5" t="s">
        <v>20</v>
      </c>
      <c r="I1138" s="5" t="s">
        <v>2700</v>
      </c>
      <c r="J1138" s="12" t="str">
        <f>HYPERLINK("https://www.boe.es/gazeta/dias/1806/10/07/pdfs/GMD-1806-82.pdf#page=11","Abrir facsímil")</f>
        <v>Abrir facsímil</v>
      </c>
      <c r="K1138" s="15" t="s">
        <v>22</v>
      </c>
    </row>
    <row r="1139" spans="1:11" ht="42" customHeight="1">
      <c r="A1139" s="4" t="s">
        <v>2693</v>
      </c>
      <c r="B1139" s="5" t="s">
        <v>2694</v>
      </c>
      <c r="C1139" s="5" t="s">
        <v>75</v>
      </c>
      <c r="D1139" s="5" t="s">
        <v>43</v>
      </c>
      <c r="E1139" s="5" t="s">
        <v>140</v>
      </c>
      <c r="F1139" s="9">
        <v>83</v>
      </c>
      <c r="G1139" s="9">
        <v>862</v>
      </c>
      <c r="H1139" s="5" t="s">
        <v>20</v>
      </c>
      <c r="I1139" s="5" t="s">
        <v>2701</v>
      </c>
      <c r="J1139" s="12" t="str">
        <f>HYPERLINK("https://www.boe.es/gazeta/dias/1806/10/10/pdfs/GMD-1806-83.pdf#page=10","Abrir facsímil")</f>
        <v>Abrir facsímil</v>
      </c>
      <c r="K1139" s="15" t="s">
        <v>22</v>
      </c>
    </row>
    <row r="1140" spans="1:11" ht="42" customHeight="1">
      <c r="A1140" s="4" t="s">
        <v>2693</v>
      </c>
      <c r="B1140" s="5" t="s">
        <v>2694</v>
      </c>
      <c r="C1140" s="5" t="s">
        <v>75</v>
      </c>
      <c r="D1140" s="5" t="s">
        <v>43</v>
      </c>
      <c r="E1140" s="5" t="s">
        <v>231</v>
      </c>
      <c r="F1140" s="9">
        <v>89</v>
      </c>
      <c r="G1140" s="9">
        <v>922</v>
      </c>
      <c r="H1140" s="5" t="s">
        <v>20</v>
      </c>
      <c r="I1140" s="5" t="s">
        <v>2702</v>
      </c>
      <c r="J1140" s="12" t="str">
        <f>HYPERLINK("https://www.boe.es/gazeta/dias/1806/10/31/pdfs/GMD-1806-89.pdf#page=10","Abrir facsímil")</f>
        <v>Abrir facsímil</v>
      </c>
      <c r="K1140" s="15" t="s">
        <v>22</v>
      </c>
    </row>
    <row r="1141" spans="1:11" ht="42" customHeight="1">
      <c r="A1141" s="4" t="s">
        <v>2693</v>
      </c>
      <c r="B1141" s="5" t="s">
        <v>2694</v>
      </c>
      <c r="C1141" s="5" t="s">
        <v>75</v>
      </c>
      <c r="D1141" s="5" t="s">
        <v>43</v>
      </c>
      <c r="E1141" s="5" t="s">
        <v>570</v>
      </c>
      <c r="F1141" s="9">
        <v>93</v>
      </c>
      <c r="G1141" s="9">
        <v>979</v>
      </c>
      <c r="H1141" s="5" t="s">
        <v>20</v>
      </c>
      <c r="I1141" s="5" t="s">
        <v>2703</v>
      </c>
      <c r="J1141" s="12" t="str">
        <f>HYPERLINK("https://www.boe.es/gazeta/dias/1806/11/14/pdfs/GMD-1806-93.pdf#page=15","Abrir facsímil")</f>
        <v>Abrir facsímil</v>
      </c>
      <c r="K1141" s="15" t="s">
        <v>22</v>
      </c>
    </row>
    <row r="1142" spans="1:11" ht="42" customHeight="1">
      <c r="A1142" s="4" t="s">
        <v>2693</v>
      </c>
      <c r="B1142" s="5" t="s">
        <v>2694</v>
      </c>
      <c r="C1142" s="5" t="s">
        <v>75</v>
      </c>
      <c r="D1142" s="5" t="s">
        <v>43</v>
      </c>
      <c r="E1142" s="5" t="s">
        <v>76</v>
      </c>
      <c r="F1142" s="9">
        <v>98</v>
      </c>
      <c r="G1142" s="9">
        <v>1044</v>
      </c>
      <c r="H1142" s="5" t="s">
        <v>20</v>
      </c>
      <c r="I1142" s="5" t="s">
        <v>2704</v>
      </c>
      <c r="J1142" s="12" t="str">
        <f>HYPERLINK("https://www.boe.es/gazeta/dias/1806/12/02/pdfs/GMD-1806-98.pdf#page=12","Abrir facsímil")</f>
        <v>Abrir facsímil</v>
      </c>
      <c r="K1142" s="15" t="s">
        <v>22</v>
      </c>
    </row>
    <row r="1143" spans="1:11" ht="42" customHeight="1">
      <c r="A1143" s="4" t="s">
        <v>2705</v>
      </c>
      <c r="B1143" s="5" t="s">
        <v>2706</v>
      </c>
      <c r="C1143" s="5" t="s">
        <v>75</v>
      </c>
      <c r="D1143" s="5" t="s">
        <v>43</v>
      </c>
      <c r="E1143" s="5" t="s">
        <v>1568</v>
      </c>
      <c r="F1143" s="9">
        <v>84</v>
      </c>
      <c r="G1143" s="9">
        <v>871</v>
      </c>
      <c r="H1143" s="5" t="s">
        <v>20</v>
      </c>
      <c r="I1143" s="5" t="s">
        <v>2707</v>
      </c>
      <c r="J1143" s="12" t="str">
        <f>HYPERLINK("https://www.boe.es/gazeta/dias/1806/10/14/pdfs/GMD-1806-84.pdf#page=7","Abrir facsímil")</f>
        <v>Abrir facsímil</v>
      </c>
      <c r="K1143" s="15" t="s">
        <v>22</v>
      </c>
    </row>
    <row r="1144" spans="1:11" ht="42" customHeight="1">
      <c r="A1144" s="4" t="s">
        <v>2708</v>
      </c>
      <c r="B1144" s="5" t="s">
        <v>2709</v>
      </c>
      <c r="C1144" s="5" t="s">
        <v>31</v>
      </c>
      <c r="D1144" s="5" t="s">
        <v>32</v>
      </c>
      <c r="E1144" s="5" t="s">
        <v>554</v>
      </c>
      <c r="F1144" s="9">
        <v>90</v>
      </c>
      <c r="G1144" s="9">
        <v>934</v>
      </c>
      <c r="H1144" s="5" t="s">
        <v>20</v>
      </c>
      <c r="I1144" s="5" t="s">
        <v>2710</v>
      </c>
      <c r="J1144" s="12" t="str">
        <f>HYPERLINK("https://www.boe.es/gazeta/dias/1806/11/04/pdfs/GMD-1806-90.pdf#page=10","Abrir facsímil")</f>
        <v>Abrir facsímil</v>
      </c>
      <c r="K1144" s="15" t="s">
        <v>22</v>
      </c>
    </row>
    <row r="1145" spans="1:11" ht="42" customHeight="1">
      <c r="A1145" s="4" t="s">
        <v>2711</v>
      </c>
      <c r="B1145" s="5" t="s">
        <v>2712</v>
      </c>
      <c r="C1145" s="5" t="s">
        <v>31</v>
      </c>
      <c r="D1145" s="5" t="s">
        <v>32</v>
      </c>
      <c r="E1145" s="5" t="s">
        <v>148</v>
      </c>
      <c r="F1145" s="9">
        <v>78</v>
      </c>
      <c r="G1145" s="9">
        <v>804</v>
      </c>
      <c r="H1145" s="5" t="s">
        <v>20</v>
      </c>
      <c r="I1145" s="5" t="s">
        <v>2713</v>
      </c>
      <c r="J1145" s="12" t="str">
        <f>HYPERLINK("https://www.boe.es/gazeta/dias/1806/09/23/pdfs/GMD-1806-78.pdf#page=8","Abrir facsímil")</f>
        <v>Abrir facsímil</v>
      </c>
      <c r="K1145" s="15" t="s">
        <v>22</v>
      </c>
    </row>
    <row r="1146" spans="1:11" ht="42" customHeight="1">
      <c r="A1146" s="4" t="s">
        <v>2714</v>
      </c>
      <c r="B1146" s="5" t="s">
        <v>2715</v>
      </c>
      <c r="C1146" s="5" t="s">
        <v>31</v>
      </c>
      <c r="D1146" s="5" t="s">
        <v>32</v>
      </c>
      <c r="E1146" s="5" t="s">
        <v>540</v>
      </c>
      <c r="F1146" s="9">
        <v>51</v>
      </c>
      <c r="G1146" s="9">
        <v>529</v>
      </c>
      <c r="H1146" s="5" t="s">
        <v>20</v>
      </c>
      <c r="I1146" s="5" t="s">
        <v>2716</v>
      </c>
      <c r="J1146" s="12" t="str">
        <f>HYPERLINK("https://www.boe.es/gazeta/dias/1806/06/20/pdfs/GMD-1806-51.pdf#page=9","Abrir facsímil")</f>
        <v>Abrir facsímil</v>
      </c>
      <c r="K1146" s="15" t="s">
        <v>22</v>
      </c>
    </row>
    <row r="1147" spans="1:11" ht="42" customHeight="1">
      <c r="A1147" s="4" t="s">
        <v>2714</v>
      </c>
      <c r="B1147" s="5" t="s">
        <v>2715</v>
      </c>
      <c r="C1147" s="5" t="s">
        <v>31</v>
      </c>
      <c r="D1147" s="5" t="s">
        <v>32</v>
      </c>
      <c r="E1147" s="5" t="s">
        <v>127</v>
      </c>
      <c r="F1147" s="9">
        <v>81</v>
      </c>
      <c r="G1147" s="9">
        <v>835</v>
      </c>
      <c r="H1147" s="5" t="s">
        <v>20</v>
      </c>
      <c r="I1147" s="5" t="s">
        <v>2717</v>
      </c>
      <c r="J1147" s="12" t="str">
        <f>HYPERLINK("https://www.boe.es/gazeta/dias/1806/10/03/pdfs/GMD-1806-81.pdf#page=3","Abrir facsímil")</f>
        <v>Abrir facsímil</v>
      </c>
      <c r="K1147" s="15" t="s">
        <v>22</v>
      </c>
    </row>
    <row r="1148" spans="1:11" ht="42" customHeight="1">
      <c r="A1148" s="4" t="s">
        <v>2718</v>
      </c>
      <c r="B1148" s="5" t="s">
        <v>2719</v>
      </c>
      <c r="C1148" s="5" t="s">
        <v>31</v>
      </c>
      <c r="D1148" s="5" t="s">
        <v>32</v>
      </c>
      <c r="E1148" s="5" t="s">
        <v>220</v>
      </c>
      <c r="F1148" s="9">
        <v>24</v>
      </c>
      <c r="G1148" s="9">
        <v>232</v>
      </c>
      <c r="H1148" s="5" t="s">
        <v>20</v>
      </c>
      <c r="I1148" s="5" t="s">
        <v>2720</v>
      </c>
      <c r="J1148" s="12" t="str">
        <f>HYPERLINK("https://www.boe.es/gazeta/dias/1806/03/18/pdfs/GMD-1806-24.pdf#page=8","Abrir facsímil")</f>
        <v>Abrir facsímil</v>
      </c>
      <c r="K1148" s="15" t="s">
        <v>22</v>
      </c>
    </row>
    <row r="1149" spans="1:11" ht="42" customHeight="1">
      <c r="A1149" s="4" t="s">
        <v>2721</v>
      </c>
      <c r="B1149" s="5" t="s">
        <v>2722</v>
      </c>
      <c r="C1149" s="5" t="s">
        <v>31</v>
      </c>
      <c r="D1149" s="5" t="s">
        <v>32</v>
      </c>
      <c r="E1149" s="5" t="s">
        <v>438</v>
      </c>
      <c r="F1149" s="9">
        <v>70</v>
      </c>
      <c r="G1149" s="9">
        <v>730</v>
      </c>
      <c r="H1149" s="5" t="s">
        <v>20</v>
      </c>
      <c r="I1149" s="5" t="s">
        <v>2723</v>
      </c>
      <c r="J1149" s="12" t="str">
        <f>HYPERLINK("https://www.boe.es/gazeta/dias/1806/08/26/pdfs/GMD-1806-70.pdf#page=6","Abrir facsímil")</f>
        <v>Abrir facsímil</v>
      </c>
      <c r="K1149" s="15" t="s">
        <v>22</v>
      </c>
    </row>
    <row r="1150" spans="1:11" ht="42" customHeight="1">
      <c r="A1150" s="4" t="s">
        <v>2724</v>
      </c>
      <c r="B1150" s="5" t="s">
        <v>2725</v>
      </c>
      <c r="C1150" s="5" t="s">
        <v>31</v>
      </c>
      <c r="D1150" s="5" t="s">
        <v>32</v>
      </c>
      <c r="E1150" s="5" t="s">
        <v>178</v>
      </c>
      <c r="F1150" s="9">
        <v>36</v>
      </c>
      <c r="G1150" s="9">
        <v>350</v>
      </c>
      <c r="H1150" s="5" t="s">
        <v>20</v>
      </c>
      <c r="I1150" s="5" t="s">
        <v>2726</v>
      </c>
      <c r="J1150" s="12" t="str">
        <f>HYPERLINK("https://www.boe.es/gazeta/dias/1806/04/29/pdfs/GMD-1806-36.pdf#page=6","Abrir facsímil")</f>
        <v>Abrir facsímil</v>
      </c>
      <c r="K1150" s="15" t="s">
        <v>22</v>
      </c>
    </row>
    <row r="1151" spans="1:11" ht="42" customHeight="1">
      <c r="A1151" s="4" t="s">
        <v>2727</v>
      </c>
      <c r="B1151" s="5" t="s">
        <v>2728</v>
      </c>
      <c r="C1151" s="5" t="s">
        <v>31</v>
      </c>
      <c r="D1151" s="5" t="s">
        <v>32</v>
      </c>
      <c r="E1151" s="5" t="s">
        <v>148</v>
      </c>
      <c r="F1151" s="9">
        <v>78</v>
      </c>
      <c r="G1151" s="9">
        <v>804</v>
      </c>
      <c r="H1151" s="5" t="s">
        <v>20</v>
      </c>
      <c r="I1151" s="5" t="s">
        <v>2729</v>
      </c>
      <c r="J1151" s="12" t="str">
        <f>HYPERLINK("https://www.boe.es/gazeta/dias/1806/09/23/pdfs/GMD-1806-78.pdf#page=8","Abrir facsímil")</f>
        <v>Abrir facsímil</v>
      </c>
      <c r="K1151" s="15" t="s">
        <v>22</v>
      </c>
    </row>
    <row r="1152" spans="1:11" ht="42" customHeight="1">
      <c r="A1152" s="4" t="s">
        <v>2730</v>
      </c>
      <c r="B1152" s="5" t="s">
        <v>2731</v>
      </c>
      <c r="C1152" s="5" t="s">
        <v>31</v>
      </c>
      <c r="D1152" s="5" t="s">
        <v>32</v>
      </c>
      <c r="E1152" s="5" t="s">
        <v>148</v>
      </c>
      <c r="F1152" s="9">
        <v>78</v>
      </c>
      <c r="G1152" s="9">
        <v>804</v>
      </c>
      <c r="H1152" s="5" t="s">
        <v>20</v>
      </c>
      <c r="I1152" s="5" t="s">
        <v>2732</v>
      </c>
      <c r="J1152" s="12" t="str">
        <f>HYPERLINK("https://www.boe.es/gazeta/dias/1806/09/23/pdfs/GMD-1806-78.pdf#page=8","Abrir facsímil")</f>
        <v>Abrir facsímil</v>
      </c>
      <c r="K1152" s="15" t="s">
        <v>22</v>
      </c>
    </row>
    <row r="1153" spans="1:11" ht="42" customHeight="1">
      <c r="A1153" s="4" t="s">
        <v>2733</v>
      </c>
      <c r="B1153" s="5" t="s">
        <v>2734</v>
      </c>
      <c r="C1153" s="5" t="s">
        <v>75</v>
      </c>
      <c r="D1153" s="5" t="s">
        <v>43</v>
      </c>
      <c r="E1153" s="5" t="s">
        <v>680</v>
      </c>
      <c r="F1153" s="9">
        <v>97</v>
      </c>
      <c r="G1153" s="9">
        <v>1031</v>
      </c>
      <c r="H1153" s="5" t="s">
        <v>20</v>
      </c>
      <c r="I1153" s="5" t="s">
        <v>2735</v>
      </c>
      <c r="J1153" s="12" t="str">
        <f>HYPERLINK("https://www.boe.es/gazeta/dias/1806/11/28/pdfs/GMD-1806-97.pdf#page=11","Abrir facsímil")</f>
        <v>Abrir facsímil</v>
      </c>
      <c r="K1153" s="15" t="s">
        <v>22</v>
      </c>
    </row>
    <row r="1154" spans="1:11" ht="42" customHeight="1">
      <c r="A1154" s="4" t="s">
        <v>2736</v>
      </c>
      <c r="B1154" s="5" t="s">
        <v>2737</v>
      </c>
      <c r="C1154" s="5" t="s">
        <v>17</v>
      </c>
      <c r="D1154" s="5" t="s">
        <v>18</v>
      </c>
      <c r="E1154" s="5" t="s">
        <v>136</v>
      </c>
      <c r="F1154" s="9">
        <v>50</v>
      </c>
      <c r="G1154" s="9">
        <v>520</v>
      </c>
      <c r="H1154" s="5" t="s">
        <v>20</v>
      </c>
      <c r="I1154" s="5" t="s">
        <v>2738</v>
      </c>
      <c r="J1154" s="12" t="str">
        <f>HYPERLINK("https://www.boe.es/gazeta/dias/1806/06/17/pdfs/GMD-1806-50.pdf#page=12","Abrir facsímil")</f>
        <v>Abrir facsímil</v>
      </c>
      <c r="K1154" s="15" t="s">
        <v>22</v>
      </c>
    </row>
    <row r="1155" spans="1:11" ht="42" customHeight="1">
      <c r="A1155" s="4" t="s">
        <v>2739</v>
      </c>
      <c r="B1155" s="5" t="s">
        <v>2740</v>
      </c>
      <c r="C1155" s="5" t="s">
        <v>31</v>
      </c>
      <c r="D1155" s="5" t="s">
        <v>32</v>
      </c>
      <c r="E1155" s="5" t="s">
        <v>657</v>
      </c>
      <c r="F1155" s="9">
        <v>96</v>
      </c>
      <c r="G1155" s="9">
        <v>1018</v>
      </c>
      <c r="H1155" s="5" t="s">
        <v>20</v>
      </c>
      <c r="I1155" s="5" t="s">
        <v>2741</v>
      </c>
      <c r="J1155" s="12" t="str">
        <f>HYPERLINK("https://www.boe.es/gazeta/dias/1806/11/25/pdfs/GMD-1806-96.pdf#page=10","Abrir facsímil")</f>
        <v>Abrir facsímil</v>
      </c>
      <c r="K1155" s="15" t="s">
        <v>22</v>
      </c>
    </row>
    <row r="1156" spans="1:11" ht="42" customHeight="1">
      <c r="A1156" s="4" t="s">
        <v>2742</v>
      </c>
      <c r="B1156" s="5" t="s">
        <v>2743</v>
      </c>
      <c r="C1156" s="5" t="s">
        <v>17</v>
      </c>
      <c r="D1156" s="5" t="s">
        <v>18</v>
      </c>
      <c r="E1156" s="5" t="s">
        <v>136</v>
      </c>
      <c r="F1156" s="9">
        <v>50</v>
      </c>
      <c r="G1156" s="9">
        <v>517</v>
      </c>
      <c r="H1156" s="5" t="s">
        <v>20</v>
      </c>
      <c r="I1156" s="5" t="s">
        <v>2744</v>
      </c>
      <c r="J1156" s="12" t="str">
        <f>HYPERLINK("https://www.boe.es/gazeta/dias/1806/06/17/pdfs/GMD-1806-50.pdf#page=9","Abrir facsímil")</f>
        <v>Abrir facsímil</v>
      </c>
      <c r="K1156" s="15" t="s">
        <v>22</v>
      </c>
    </row>
    <row r="1157" spans="1:11" ht="42" customHeight="1">
      <c r="A1157" s="4" t="s">
        <v>2745</v>
      </c>
      <c r="B1157" s="5" t="s">
        <v>2746</v>
      </c>
      <c r="C1157" s="5" t="s">
        <v>75</v>
      </c>
      <c r="D1157" s="5" t="s">
        <v>43</v>
      </c>
      <c r="E1157" s="5" t="s">
        <v>90</v>
      </c>
      <c r="F1157" s="9">
        <v>60</v>
      </c>
      <c r="G1157" s="9">
        <v>626</v>
      </c>
      <c r="H1157" s="5" t="s">
        <v>20</v>
      </c>
      <c r="I1157" s="5" t="s">
        <v>2747</v>
      </c>
      <c r="J1157" s="12" t="str">
        <f>HYPERLINK("https://www.boe.es/gazeta/dias/1806/07/22/pdfs/GMD-1806-60.pdf#page=10","Abrir facsímil")</f>
        <v>Abrir facsímil</v>
      </c>
      <c r="K1157" s="15" t="s">
        <v>22</v>
      </c>
    </row>
    <row r="1158" spans="1:11" ht="42" customHeight="1">
      <c r="A1158" s="4" t="s">
        <v>2748</v>
      </c>
      <c r="B1158" s="5" t="s">
        <v>2749</v>
      </c>
      <c r="C1158" s="5" t="s">
        <v>31</v>
      </c>
      <c r="D1158" s="5" t="s">
        <v>32</v>
      </c>
      <c r="E1158" s="5" t="s">
        <v>175</v>
      </c>
      <c r="F1158" s="9">
        <v>40</v>
      </c>
      <c r="G1158" s="9">
        <v>395</v>
      </c>
      <c r="H1158" s="5" t="s">
        <v>20</v>
      </c>
      <c r="I1158" s="5" t="s">
        <v>2750</v>
      </c>
      <c r="J1158" s="12" t="str">
        <f>HYPERLINK("https://www.boe.es/gazeta/dias/1806/05/13/pdfs/GMD-1806-40.pdf#page=7","Abrir facsímil")</f>
        <v>Abrir facsímil</v>
      </c>
      <c r="K1158" s="15" t="s">
        <v>22</v>
      </c>
    </row>
    <row r="1159" spans="1:11" ht="42" customHeight="1">
      <c r="A1159" s="4" t="s">
        <v>2751</v>
      </c>
      <c r="B1159" s="5" t="s">
        <v>2752</v>
      </c>
      <c r="C1159" s="5" t="s">
        <v>17</v>
      </c>
      <c r="D1159" s="5" t="s">
        <v>18</v>
      </c>
      <c r="E1159" s="5" t="s">
        <v>1031</v>
      </c>
      <c r="F1159" s="9">
        <v>107</v>
      </c>
      <c r="G1159" s="9">
        <v>1131</v>
      </c>
      <c r="H1159" s="5" t="s">
        <v>20</v>
      </c>
      <c r="I1159" s="5" t="s">
        <v>2753</v>
      </c>
      <c r="J1159" s="12" t="str">
        <f>HYPERLINK("https://www.boe.es/gazeta/dias/1806/12/30/pdfs/GMD-1806-107.pdf#page=7","Abrir facsímil")</f>
        <v>Abrir facsímil</v>
      </c>
      <c r="K1159" s="15" t="s">
        <v>22</v>
      </c>
    </row>
    <row r="1160" spans="1:11" ht="42" customHeight="1">
      <c r="A1160" s="4" t="s">
        <v>2754</v>
      </c>
      <c r="B1160" s="5" t="s">
        <v>2755</v>
      </c>
      <c r="C1160" s="5" t="s">
        <v>17</v>
      </c>
      <c r="D1160" s="5" t="s">
        <v>18</v>
      </c>
      <c r="E1160" s="5" t="s">
        <v>309</v>
      </c>
      <c r="F1160" s="9">
        <v>41</v>
      </c>
      <c r="G1160" s="9">
        <v>409</v>
      </c>
      <c r="H1160" s="5" t="s">
        <v>20</v>
      </c>
      <c r="I1160" s="5" t="s">
        <v>2756</v>
      </c>
      <c r="J1160" s="12" t="str">
        <f>HYPERLINK("https://www.boe.es/gazeta/dias/1806/05/16/pdfs/GMD-1806-41.pdf#page=9","Abrir facsímil")</f>
        <v>Abrir facsímil</v>
      </c>
      <c r="K1160" s="15" t="s">
        <v>22</v>
      </c>
    </row>
    <row r="1161" spans="1:11" ht="42" customHeight="1">
      <c r="A1161" s="4" t="s">
        <v>2757</v>
      </c>
      <c r="B1161" s="5" t="s">
        <v>2758</v>
      </c>
      <c r="C1161" s="5" t="s">
        <v>31</v>
      </c>
      <c r="D1161" s="5" t="s">
        <v>32</v>
      </c>
      <c r="E1161" s="5" t="s">
        <v>689</v>
      </c>
      <c r="F1161" s="9">
        <v>37</v>
      </c>
      <c r="G1161" s="9">
        <v>361</v>
      </c>
      <c r="H1161" s="5" t="s">
        <v>20</v>
      </c>
      <c r="I1161" s="5" t="s">
        <v>2759</v>
      </c>
      <c r="J1161" s="12" t="str">
        <f>HYPERLINK("https://www.boe.es/gazeta/dias/1806/05/02/pdfs/GMD-1806-37.pdf#page=9","Abrir facsímil")</f>
        <v>Abrir facsímil</v>
      </c>
      <c r="K1161" s="15" t="s">
        <v>22</v>
      </c>
    </row>
    <row r="1162" spans="1:11" ht="42" customHeight="1">
      <c r="A1162" s="4" t="s">
        <v>2760</v>
      </c>
      <c r="B1162" s="5" t="s">
        <v>2761</v>
      </c>
      <c r="C1162" s="5" t="s">
        <v>17</v>
      </c>
      <c r="D1162" s="5" t="s">
        <v>18</v>
      </c>
      <c r="E1162" s="5" t="s">
        <v>367</v>
      </c>
      <c r="F1162" s="9">
        <v>87</v>
      </c>
      <c r="G1162" s="9">
        <v>903</v>
      </c>
      <c r="H1162" s="5" t="s">
        <v>20</v>
      </c>
      <c r="I1162" s="5" t="s">
        <v>2762</v>
      </c>
      <c r="J1162" s="12" t="str">
        <f>HYPERLINK("https://www.boe.es/gazeta/dias/1806/10/24/pdfs/GMD-1806-87.pdf#page=11","Abrir facsímil")</f>
        <v>Abrir facsímil</v>
      </c>
      <c r="K1162" s="15" t="s">
        <v>22</v>
      </c>
    </row>
    <row r="1163" spans="1:11" ht="42" customHeight="1">
      <c r="A1163" s="4" t="s">
        <v>2763</v>
      </c>
      <c r="B1163" s="5" t="s">
        <v>2764</v>
      </c>
      <c r="C1163" s="5" t="s">
        <v>31</v>
      </c>
      <c r="D1163" s="5" t="s">
        <v>32</v>
      </c>
      <c r="E1163" s="5" t="s">
        <v>181</v>
      </c>
      <c r="F1163" s="9">
        <v>99</v>
      </c>
      <c r="G1163" s="9">
        <v>1053</v>
      </c>
      <c r="H1163" s="5" t="s">
        <v>20</v>
      </c>
      <c r="I1163" s="5" t="s">
        <v>2765</v>
      </c>
      <c r="J1163" s="12" t="str">
        <f>HYPERLINK("https://www.boe.es/gazeta/dias/1806/12/05/pdfs/GMD-1806-99.pdf#page=9","Abrir facsímil")</f>
        <v>Abrir facsímil</v>
      </c>
      <c r="K1163" s="15" t="s">
        <v>22</v>
      </c>
    </row>
    <row r="1164" spans="1:11" ht="42" customHeight="1">
      <c r="A1164" s="4" t="s">
        <v>2766</v>
      </c>
      <c r="B1164" s="5" t="s">
        <v>2767</v>
      </c>
      <c r="C1164" s="5" t="s">
        <v>31</v>
      </c>
      <c r="D1164" s="5" t="s">
        <v>32</v>
      </c>
      <c r="E1164" s="5" t="s">
        <v>178</v>
      </c>
      <c r="F1164" s="9">
        <v>36</v>
      </c>
      <c r="G1164" s="9">
        <v>350</v>
      </c>
      <c r="H1164" s="5" t="s">
        <v>20</v>
      </c>
      <c r="I1164" s="5" t="s">
        <v>2768</v>
      </c>
      <c r="J1164" s="12" t="str">
        <f>HYPERLINK("https://www.boe.es/gazeta/dias/1806/04/29/pdfs/GMD-1806-36.pdf#page=6","Abrir facsímil")</f>
        <v>Abrir facsímil</v>
      </c>
      <c r="K1164" s="15" t="s">
        <v>22</v>
      </c>
    </row>
    <row r="1165" spans="1:11" ht="42" customHeight="1">
      <c r="A1165" s="4" t="s">
        <v>2769</v>
      </c>
      <c r="B1165" s="5" t="s">
        <v>2770</v>
      </c>
      <c r="C1165" s="5" t="s">
        <v>17</v>
      </c>
      <c r="D1165" s="5" t="s">
        <v>18</v>
      </c>
      <c r="E1165" s="5" t="s">
        <v>580</v>
      </c>
      <c r="F1165" s="9">
        <v>23</v>
      </c>
      <c r="G1165" s="9">
        <v>219</v>
      </c>
      <c r="H1165" s="5" t="s">
        <v>20</v>
      </c>
      <c r="I1165" s="5" t="s">
        <v>2771</v>
      </c>
      <c r="J1165" s="12" t="str">
        <f>HYPERLINK("https://www.boe.es/gazeta/dias/1806/03/14/pdfs/GMD-1806-23.pdf#page=7","Abrir facsímil")</f>
        <v>Abrir facsímil</v>
      </c>
      <c r="K1165" s="15" t="s">
        <v>22</v>
      </c>
    </row>
    <row r="1166" spans="1:11" ht="42" customHeight="1">
      <c r="A1166" s="4" t="s">
        <v>2769</v>
      </c>
      <c r="B1166" s="5" t="s">
        <v>2770</v>
      </c>
      <c r="C1166" s="5" t="s">
        <v>31</v>
      </c>
      <c r="D1166" s="5" t="s">
        <v>32</v>
      </c>
      <c r="E1166" s="5" t="s">
        <v>165</v>
      </c>
      <c r="F1166" s="9">
        <v>101</v>
      </c>
      <c r="G1166" s="9">
        <v>1074</v>
      </c>
      <c r="H1166" s="5" t="s">
        <v>20</v>
      </c>
      <c r="I1166" s="5" t="s">
        <v>2772</v>
      </c>
      <c r="J1166" s="12" t="str">
        <f>HYPERLINK("https://www.boe.es/gazeta/dias/1806/12/12/pdfs/GMD-1806-101.pdf#page=6","Abrir facsímil")</f>
        <v>Abrir facsímil</v>
      </c>
      <c r="K1166" s="15" t="s">
        <v>22</v>
      </c>
    </row>
    <row r="1167" spans="1:11" ht="42" customHeight="1">
      <c r="A1167" s="4" t="s">
        <v>2773</v>
      </c>
      <c r="B1167" s="5" t="s">
        <v>2774</v>
      </c>
      <c r="C1167" s="5" t="s">
        <v>17</v>
      </c>
      <c r="D1167" s="5" t="s">
        <v>18</v>
      </c>
      <c r="E1167" s="5" t="s">
        <v>396</v>
      </c>
      <c r="F1167" s="9">
        <v>91</v>
      </c>
      <c r="G1167" s="9">
        <v>945</v>
      </c>
      <c r="H1167" s="5" t="s">
        <v>20</v>
      </c>
      <c r="I1167" s="5" t="s">
        <v>2775</v>
      </c>
      <c r="J1167" s="12" t="str">
        <f>HYPERLINK("https://www.boe.es/gazeta/dias/1806/11/07/pdfs/GMD-1806-91.pdf#page=9","Abrir facsímil")</f>
        <v>Abrir facsímil</v>
      </c>
      <c r="K1167" s="15" t="s">
        <v>22</v>
      </c>
    </row>
    <row r="1168" spans="1:11" ht="42" customHeight="1">
      <c r="A1168" s="4" t="s">
        <v>2776</v>
      </c>
      <c r="B1168" s="5" t="s">
        <v>2777</v>
      </c>
      <c r="C1168" s="5" t="s">
        <v>31</v>
      </c>
      <c r="D1168" s="5" t="s">
        <v>32</v>
      </c>
      <c r="E1168" s="5" t="s">
        <v>405</v>
      </c>
      <c r="F1168" s="9">
        <v>80</v>
      </c>
      <c r="G1168" s="9">
        <v>830</v>
      </c>
      <c r="H1168" s="5" t="s">
        <v>20</v>
      </c>
      <c r="I1168" s="5" t="s">
        <v>2778</v>
      </c>
      <c r="J1168" s="12" t="str">
        <f>HYPERLINK("https://www.boe.es/gazeta/dias/1806/09/30/pdfs/GMD-1806-80.pdf#page=10","Abrir facsímil")</f>
        <v>Abrir facsímil</v>
      </c>
      <c r="K1168" s="15" t="s">
        <v>22</v>
      </c>
    </row>
    <row r="1169" spans="1:11" ht="42" customHeight="1">
      <c r="A1169" s="4" t="s">
        <v>2779</v>
      </c>
      <c r="B1169" s="5" t="s">
        <v>2780</v>
      </c>
      <c r="C1169" s="5" t="s">
        <v>31</v>
      </c>
      <c r="D1169" s="5" t="s">
        <v>32</v>
      </c>
      <c r="E1169" s="5" t="s">
        <v>405</v>
      </c>
      <c r="F1169" s="9">
        <v>80</v>
      </c>
      <c r="G1169" s="9">
        <v>830</v>
      </c>
      <c r="H1169" s="5" t="s">
        <v>20</v>
      </c>
      <c r="I1169" s="5" t="s">
        <v>2781</v>
      </c>
      <c r="J1169" s="12" t="str">
        <f>HYPERLINK("https://www.boe.es/gazeta/dias/1806/09/30/pdfs/GMD-1806-80.pdf#page=10","Abrir facsímil")</f>
        <v>Abrir facsímil</v>
      </c>
      <c r="K1169" s="15" t="s">
        <v>22</v>
      </c>
    </row>
    <row r="1170" spans="1:11" ht="42" customHeight="1">
      <c r="A1170" s="4" t="s">
        <v>2782</v>
      </c>
      <c r="B1170" s="5" t="s">
        <v>2783</v>
      </c>
      <c r="C1170" s="5" t="s">
        <v>447</v>
      </c>
      <c r="D1170" s="5" t="s">
        <v>448</v>
      </c>
      <c r="E1170" s="5" t="s">
        <v>304</v>
      </c>
      <c r="F1170" s="9">
        <v>47</v>
      </c>
      <c r="G1170" s="9">
        <v>483</v>
      </c>
      <c r="H1170" s="5" t="s">
        <v>20</v>
      </c>
      <c r="I1170" s="5" t="s">
        <v>2784</v>
      </c>
      <c r="J1170" s="12" t="str">
        <f>HYPERLINK("https://www.boe.es/gazeta/dias/1806/06/06/pdfs/GMD-C-1806-47.pdf#page=3","Abrir facsímil")</f>
        <v>Abrir facsímil</v>
      </c>
      <c r="K1170" s="15" t="s">
        <v>22</v>
      </c>
    </row>
    <row r="1171" spans="1:11" ht="42" customHeight="1">
      <c r="A1171" s="4" t="s">
        <v>2785</v>
      </c>
      <c r="B1171" s="5" t="s">
        <v>2786</v>
      </c>
      <c r="C1171" s="5" t="s">
        <v>42</v>
      </c>
      <c r="D1171" s="5" t="s">
        <v>43</v>
      </c>
      <c r="E1171" s="5" t="s">
        <v>231</v>
      </c>
      <c r="F1171" s="9">
        <v>89</v>
      </c>
      <c r="G1171" s="9">
        <v>921</v>
      </c>
      <c r="H1171" s="5" t="s">
        <v>20</v>
      </c>
      <c r="I1171" s="5" t="s">
        <v>2787</v>
      </c>
      <c r="J1171" s="12" t="str">
        <f>HYPERLINK("https://www.boe.es/gazeta/dias/1806/10/31/pdfs/GMD-1806-89.pdf#page=9","Abrir facsímil")</f>
        <v>Abrir facsímil</v>
      </c>
      <c r="K1171" s="15" t="s">
        <v>22</v>
      </c>
    </row>
    <row r="1172" spans="1:11" ht="42" customHeight="1">
      <c r="A1172" s="4" t="s">
        <v>2788</v>
      </c>
      <c r="B1172" s="5" t="s">
        <v>2789</v>
      </c>
      <c r="C1172" s="5" t="s">
        <v>31</v>
      </c>
      <c r="D1172" s="5" t="s">
        <v>32</v>
      </c>
      <c r="E1172" s="5" t="s">
        <v>191</v>
      </c>
      <c r="F1172" s="9">
        <v>103</v>
      </c>
      <c r="G1172" s="9">
        <v>1097</v>
      </c>
      <c r="H1172" s="5" t="s">
        <v>20</v>
      </c>
      <c r="I1172" s="5" t="s">
        <v>2790</v>
      </c>
      <c r="J1172" s="12" t="str">
        <f>HYPERLINK("https://www.boe.es/gazeta/dias/1806/12/19/pdfs/GMD-1806-103.pdf#page=9","Abrir facsímil")</f>
        <v>Abrir facsímil</v>
      </c>
      <c r="K1172" s="15" t="s">
        <v>22</v>
      </c>
    </row>
    <row r="1173" spans="1:11" ht="42" customHeight="1">
      <c r="A1173" s="4" t="s">
        <v>2791</v>
      </c>
      <c r="B1173" s="5" t="s">
        <v>2792</v>
      </c>
      <c r="C1173" s="5" t="s">
        <v>75</v>
      </c>
      <c r="D1173" s="5" t="s">
        <v>43</v>
      </c>
      <c r="E1173" s="5" t="s">
        <v>434</v>
      </c>
      <c r="F1173" s="9">
        <v>74</v>
      </c>
      <c r="G1173" s="9" t="s">
        <v>1084</v>
      </c>
      <c r="H1173" s="5" t="s">
        <v>20</v>
      </c>
      <c r="I1173" s="5" t="s">
        <v>2793</v>
      </c>
      <c r="J1173" s="12" t="str">
        <f>HYPERLINK("https://www.boe.es/gazeta/dias/1806/09/09/pdfs/GMD-C-1806-74.pdf#page=4","Abrir facsímil")</f>
        <v>Abrir facsímil</v>
      </c>
      <c r="K1173" s="15" t="s">
        <v>22</v>
      </c>
    </row>
    <row r="1174" spans="1:11" ht="42" customHeight="1">
      <c r="A1174" s="4" t="s">
        <v>2794</v>
      </c>
      <c r="B1174" s="5" t="s">
        <v>2795</v>
      </c>
      <c r="C1174" s="5" t="s">
        <v>36</v>
      </c>
      <c r="D1174" s="5" t="s">
        <v>37</v>
      </c>
      <c r="E1174" s="5" t="s">
        <v>780</v>
      </c>
      <c r="F1174" s="9">
        <v>33</v>
      </c>
      <c r="G1174" s="9">
        <v>328</v>
      </c>
      <c r="H1174" s="5" t="s">
        <v>20</v>
      </c>
      <c r="I1174" s="5" t="s">
        <v>2796</v>
      </c>
      <c r="J1174" s="12" t="str">
        <f>HYPERLINK("https://www.boe.es/gazeta/dias/1806/04/18/pdfs/GMD-1806-33.pdf#page=8","Abrir facsímil")</f>
        <v>Abrir facsímil</v>
      </c>
      <c r="K1174" s="15" t="s">
        <v>22</v>
      </c>
    </row>
    <row r="1175" spans="1:11" ht="42" customHeight="1">
      <c r="A1175" s="4" t="s">
        <v>2797</v>
      </c>
      <c r="B1175" s="5" t="s">
        <v>2798</v>
      </c>
      <c r="C1175" s="5" t="s">
        <v>17</v>
      </c>
      <c r="D1175" s="5" t="s">
        <v>18</v>
      </c>
      <c r="E1175" s="5" t="s">
        <v>178</v>
      </c>
      <c r="F1175" s="9">
        <v>36</v>
      </c>
      <c r="G1175" s="9">
        <v>351</v>
      </c>
      <c r="H1175" s="5" t="s">
        <v>20</v>
      </c>
      <c r="I1175" s="5" t="s">
        <v>2799</v>
      </c>
      <c r="J1175" s="12" t="str">
        <f>HYPERLINK("https://www.boe.es/gazeta/dias/1806/04/29/pdfs/GMD-1806-36.pdf#page=7","Abrir facsímil")</f>
        <v>Abrir facsímil</v>
      </c>
      <c r="K1175" s="15" t="s">
        <v>22</v>
      </c>
    </row>
    <row r="1176" spans="1:11" ht="42" customHeight="1">
      <c r="A1176" s="4" t="s">
        <v>2800</v>
      </c>
      <c r="B1176" s="5" t="s">
        <v>2801</v>
      </c>
      <c r="C1176" s="5" t="s">
        <v>42</v>
      </c>
      <c r="D1176" s="5" t="s">
        <v>43</v>
      </c>
      <c r="E1176" s="5" t="s">
        <v>702</v>
      </c>
      <c r="F1176" s="9">
        <v>43</v>
      </c>
      <c r="G1176" s="9">
        <v>434</v>
      </c>
      <c r="H1176" s="5" t="s">
        <v>20</v>
      </c>
      <c r="I1176" s="5" t="s">
        <v>2802</v>
      </c>
      <c r="J1176" s="12" t="str">
        <f>HYPERLINK("https://www.boe.es/gazeta/dias/1806/05/23/pdfs/GMD-1806-43.pdf#page=10","Abrir facsímil")</f>
        <v>Abrir facsímil</v>
      </c>
      <c r="K1176" s="15" t="s">
        <v>22</v>
      </c>
    </row>
    <row r="1177" spans="1:11" ht="42" customHeight="1">
      <c r="A1177" s="4" t="s">
        <v>2803</v>
      </c>
      <c r="B1177" s="5" t="s">
        <v>2804</v>
      </c>
      <c r="C1177" s="5" t="s">
        <v>75</v>
      </c>
      <c r="D1177" s="5" t="s">
        <v>43</v>
      </c>
      <c r="E1177" s="5" t="s">
        <v>172</v>
      </c>
      <c r="F1177" s="9">
        <v>17</v>
      </c>
      <c r="G1177" s="9">
        <v>151</v>
      </c>
      <c r="H1177" s="5" t="s">
        <v>20</v>
      </c>
      <c r="I1177" s="5" t="s">
        <v>2805</v>
      </c>
      <c r="J1177" s="12" t="str">
        <f>HYPERLINK("https://www.boe.es/gazeta/dias/1806/02/21/pdfs/GMD-1806-17.pdf#page=7","Abrir facsímil")</f>
        <v>Abrir facsímil</v>
      </c>
      <c r="K1177" s="15" t="s">
        <v>22</v>
      </c>
    </row>
    <row r="1178" spans="1:11" ht="42" customHeight="1">
      <c r="A1178" s="4" t="s">
        <v>2803</v>
      </c>
      <c r="B1178" s="5" t="s">
        <v>2804</v>
      </c>
      <c r="C1178" s="5" t="s">
        <v>17</v>
      </c>
      <c r="D1178" s="5" t="s">
        <v>18</v>
      </c>
      <c r="E1178" s="5" t="s">
        <v>175</v>
      </c>
      <c r="F1178" s="9">
        <v>40</v>
      </c>
      <c r="G1178" s="9">
        <v>398</v>
      </c>
      <c r="H1178" s="5" t="s">
        <v>20</v>
      </c>
      <c r="I1178" s="5" t="s">
        <v>2806</v>
      </c>
      <c r="J1178" s="12" t="str">
        <f>HYPERLINK("https://www.boe.es/gazeta/dias/1806/05/13/pdfs/GMD-1806-40.pdf#page=10","Abrir facsímil")</f>
        <v>Abrir facsímil</v>
      </c>
      <c r="K1178" s="15" t="s">
        <v>22</v>
      </c>
    </row>
    <row r="1179" spans="1:11" ht="42" customHeight="1">
      <c r="A1179" s="4" t="s">
        <v>2807</v>
      </c>
      <c r="B1179" s="5" t="s">
        <v>2808</v>
      </c>
      <c r="C1179" s="5" t="s">
        <v>36</v>
      </c>
      <c r="D1179" s="5" t="s">
        <v>37</v>
      </c>
      <c r="E1179" s="5" t="s">
        <v>121</v>
      </c>
      <c r="F1179" s="9">
        <v>19</v>
      </c>
      <c r="G1179" s="9">
        <v>175</v>
      </c>
      <c r="H1179" s="5" t="s">
        <v>20</v>
      </c>
      <c r="I1179" s="5" t="s">
        <v>2809</v>
      </c>
      <c r="J1179" s="12" t="str">
        <f>HYPERLINK("https://www.boe.es/gazeta/dias/1806/02/28/pdfs/GMD-1806-19.pdf#page=11","Abrir facsímil")</f>
        <v>Abrir facsímil</v>
      </c>
      <c r="K1179" s="15" t="s">
        <v>22</v>
      </c>
    </row>
    <row r="1180" spans="1:11" ht="42" customHeight="1">
      <c r="A1180" s="4" t="s">
        <v>2810</v>
      </c>
      <c r="B1180" s="5" t="s">
        <v>2811</v>
      </c>
      <c r="C1180" s="5" t="s">
        <v>75</v>
      </c>
      <c r="D1180" s="5" t="s">
        <v>43</v>
      </c>
      <c r="E1180" s="5" t="s">
        <v>600</v>
      </c>
      <c r="F1180" s="9">
        <v>77</v>
      </c>
      <c r="G1180" s="9">
        <v>796</v>
      </c>
      <c r="H1180" s="5" t="s">
        <v>20</v>
      </c>
      <c r="I1180" s="5" t="s">
        <v>2812</v>
      </c>
      <c r="J1180" s="12" t="str">
        <f>HYPERLINK("https://www.boe.es/gazeta/dias/1806/09/19/pdfs/GMD-1806-77.pdf#page=8","Abrir facsímil")</f>
        <v>Abrir facsímil</v>
      </c>
      <c r="K1180" s="15" t="s">
        <v>22</v>
      </c>
    </row>
    <row r="1181" spans="1:11" ht="42" customHeight="1">
      <c r="A1181" s="4" t="s">
        <v>2813</v>
      </c>
      <c r="B1181" s="5" t="s">
        <v>2814</v>
      </c>
      <c r="C1181" s="5" t="s">
        <v>75</v>
      </c>
      <c r="D1181" s="5" t="s">
        <v>43</v>
      </c>
      <c r="E1181" s="5" t="s">
        <v>28</v>
      </c>
      <c r="F1181" s="9">
        <v>102</v>
      </c>
      <c r="G1181" s="9">
        <v>1086</v>
      </c>
      <c r="H1181" s="5" t="s">
        <v>20</v>
      </c>
      <c r="I1181" s="5" t="s">
        <v>2815</v>
      </c>
      <c r="J1181" s="12" t="str">
        <f>HYPERLINK("https://www.boe.es/gazeta/dias/1806/12/16/pdfs/GMD-1806-102.pdf#page=10","Abrir facsímil")</f>
        <v>Abrir facsímil</v>
      </c>
      <c r="K1181" s="15" t="s">
        <v>22</v>
      </c>
    </row>
    <row r="1182" spans="1:11" ht="42" customHeight="1">
      <c r="A1182" s="4" t="s">
        <v>2816</v>
      </c>
      <c r="B1182" s="5" t="s">
        <v>2817</v>
      </c>
      <c r="C1182" s="5" t="s">
        <v>17</v>
      </c>
      <c r="D1182" s="5" t="s">
        <v>18</v>
      </c>
      <c r="E1182" s="5" t="s">
        <v>38</v>
      </c>
      <c r="F1182" s="9">
        <v>92</v>
      </c>
      <c r="G1182" s="9">
        <v>964</v>
      </c>
      <c r="H1182" s="5" t="s">
        <v>20</v>
      </c>
      <c r="I1182" s="5" t="s">
        <v>2818</v>
      </c>
      <c r="J1182" s="12" t="str">
        <f>HYPERLINK("https://www.boe.es/gazeta/dias/1806/11/11/pdfs/GMD-1806-92.pdf#page=16","Abrir facsímil")</f>
        <v>Abrir facsímil</v>
      </c>
      <c r="K1182" s="15" t="s">
        <v>22</v>
      </c>
    </row>
    <row r="1183" spans="1:11" ht="42" customHeight="1">
      <c r="A1183" s="4" t="s">
        <v>2819</v>
      </c>
      <c r="B1183" s="5" t="s">
        <v>2820</v>
      </c>
      <c r="C1183" s="5" t="s">
        <v>36</v>
      </c>
      <c r="D1183" s="5" t="s">
        <v>37</v>
      </c>
      <c r="E1183" s="5" t="s">
        <v>26</v>
      </c>
      <c r="F1183" s="9">
        <v>65</v>
      </c>
      <c r="G1183" s="9">
        <v>681</v>
      </c>
      <c r="H1183" s="5" t="s">
        <v>20</v>
      </c>
      <c r="I1183" s="5" t="s">
        <v>2821</v>
      </c>
      <c r="J1183" s="12" t="str">
        <f>HYPERLINK("https://www.boe.es/gazeta/dias/1806/08/08/pdfs/GMD-1806-65.pdf#page=9","Abrir facsímil")</f>
        <v>Abrir facsímil</v>
      </c>
      <c r="K1183" s="15" t="s">
        <v>22</v>
      </c>
    </row>
    <row r="1184" spans="1:11" ht="42" customHeight="1">
      <c r="A1184" s="4" t="s">
        <v>2822</v>
      </c>
      <c r="B1184" s="5" t="s">
        <v>2823</v>
      </c>
      <c r="C1184" s="5" t="s">
        <v>447</v>
      </c>
      <c r="D1184" s="5" t="s">
        <v>448</v>
      </c>
      <c r="E1184" s="5" t="s">
        <v>1568</v>
      </c>
      <c r="F1184" s="9">
        <v>84</v>
      </c>
      <c r="G1184" s="9" t="s">
        <v>2031</v>
      </c>
      <c r="H1184" s="5" t="s">
        <v>20</v>
      </c>
      <c r="I1184" s="5" t="s">
        <v>2824</v>
      </c>
      <c r="J1184" s="12" t="str">
        <f>HYPERLINK("https://www.boe.es/gazeta/dias/1806/10/14/pdfs/GMD-C-1806-84.pdf#page=1","Abrir facsímil")</f>
        <v>Abrir facsímil</v>
      </c>
      <c r="K1184" s="15" t="s">
        <v>22</v>
      </c>
    </row>
    <row r="1185" spans="1:11" ht="42" customHeight="1">
      <c r="A1185" s="4" t="s">
        <v>2825</v>
      </c>
      <c r="B1185" s="5" t="s">
        <v>2826</v>
      </c>
      <c r="C1185" s="5" t="s">
        <v>17</v>
      </c>
      <c r="D1185" s="5" t="s">
        <v>18</v>
      </c>
      <c r="E1185" s="5" t="s">
        <v>96</v>
      </c>
      <c r="F1185" s="9">
        <v>62</v>
      </c>
      <c r="G1185" s="9">
        <v>648</v>
      </c>
      <c r="H1185" s="5" t="s">
        <v>20</v>
      </c>
      <c r="I1185" s="5" t="s">
        <v>2827</v>
      </c>
      <c r="J1185" s="12" t="str">
        <f>HYPERLINK("https://www.boe.es/gazeta/dias/1806/07/29/pdfs/GMD-1806-62.pdf#page=8","Abrir facsímil")</f>
        <v>Abrir facsímil</v>
      </c>
      <c r="K1185" s="15" t="s">
        <v>22</v>
      </c>
    </row>
    <row r="1186" spans="1:11" ht="42" customHeight="1">
      <c r="A1186" s="4" t="s">
        <v>2828</v>
      </c>
      <c r="B1186" s="5" t="s">
        <v>2829</v>
      </c>
      <c r="C1186" s="5" t="s">
        <v>42</v>
      </c>
      <c r="D1186" s="5" t="s">
        <v>43</v>
      </c>
      <c r="E1186" s="5" t="s">
        <v>501</v>
      </c>
      <c r="F1186" s="9">
        <v>39</v>
      </c>
      <c r="G1186" s="9">
        <v>387</v>
      </c>
      <c r="H1186" s="5" t="s">
        <v>20</v>
      </c>
      <c r="I1186" s="5" t="s">
        <v>2830</v>
      </c>
      <c r="J1186" s="12" t="str">
        <f>HYPERLINK("https://www.boe.es/gazeta/dias/1806/05/09/pdfs/GMD-1806-39.pdf#page=11","Abrir facsímil")</f>
        <v>Abrir facsímil</v>
      </c>
      <c r="K1186" s="15" t="s">
        <v>22</v>
      </c>
    </row>
    <row r="1187" spans="1:11" ht="42" customHeight="1">
      <c r="A1187" s="4" t="s">
        <v>2831</v>
      </c>
      <c r="B1187" s="5" t="s">
        <v>2832</v>
      </c>
      <c r="C1187" s="5" t="s">
        <v>42</v>
      </c>
      <c r="D1187" s="5" t="s">
        <v>43</v>
      </c>
      <c r="E1187" s="5" t="s">
        <v>62</v>
      </c>
      <c r="F1187" s="9">
        <v>45</v>
      </c>
      <c r="G1187" s="9">
        <v>457</v>
      </c>
      <c r="H1187" s="5" t="s">
        <v>20</v>
      </c>
      <c r="I1187" s="5" t="s">
        <v>2833</v>
      </c>
      <c r="J1187" s="12" t="str">
        <f>HYPERLINK("https://www.boe.es/gazeta/dias/1806/05/30/pdfs/GMD-1806-45.pdf#page=9","Abrir facsímil")</f>
        <v>Abrir facsímil</v>
      </c>
      <c r="K1187" s="15" t="s">
        <v>22</v>
      </c>
    </row>
    <row r="1188" spans="1:11" ht="42" customHeight="1">
      <c r="A1188" s="4" t="s">
        <v>2834</v>
      </c>
      <c r="B1188" s="5" t="s">
        <v>2835</v>
      </c>
      <c r="C1188" s="5" t="s">
        <v>31</v>
      </c>
      <c r="D1188" s="5" t="s">
        <v>32</v>
      </c>
      <c r="E1188" s="5" t="s">
        <v>55</v>
      </c>
      <c r="F1188" s="9">
        <v>20</v>
      </c>
      <c r="G1188" s="9">
        <v>183</v>
      </c>
      <c r="H1188" s="5" t="s">
        <v>20</v>
      </c>
      <c r="I1188" s="5" t="s">
        <v>2836</v>
      </c>
      <c r="J1188" s="12" t="str">
        <f>HYPERLINK("https://www.boe.es/gazeta/dias/1806/03/04/pdfs/GMD-1806-20.pdf#page=7","Abrir facsímil")</f>
        <v>Abrir facsímil</v>
      </c>
      <c r="K1188" s="15" t="s">
        <v>22</v>
      </c>
    </row>
    <row r="1189" spans="1:11" ht="42" customHeight="1">
      <c r="A1189" s="4" t="s">
        <v>2837</v>
      </c>
      <c r="B1189" s="5" t="s">
        <v>2838</v>
      </c>
      <c r="C1189" s="5" t="s">
        <v>69</v>
      </c>
      <c r="D1189" s="5" t="s">
        <v>70</v>
      </c>
      <c r="E1189" s="5" t="s">
        <v>259</v>
      </c>
      <c r="F1189" s="9">
        <v>34</v>
      </c>
      <c r="G1189" s="9">
        <v>333</v>
      </c>
      <c r="H1189" s="5" t="s">
        <v>20</v>
      </c>
      <c r="I1189" s="5" t="s">
        <v>2839</v>
      </c>
      <c r="J1189" s="12" t="str">
        <f>HYPERLINK("https://www.boe.es/gazeta/dias/1806/04/22/pdfs/GMD-1806-34.pdf#page=5","Abrir facsímil")</f>
        <v>Abrir facsímil</v>
      </c>
      <c r="K1189" s="15" t="s">
        <v>22</v>
      </c>
    </row>
    <row r="1190" spans="1:11" ht="42" customHeight="1">
      <c r="A1190" s="4" t="s">
        <v>2840</v>
      </c>
      <c r="B1190" s="5" t="s">
        <v>2841</v>
      </c>
      <c r="C1190" s="5" t="s">
        <v>69</v>
      </c>
      <c r="D1190" s="5" t="s">
        <v>70</v>
      </c>
      <c r="E1190" s="5" t="s">
        <v>1568</v>
      </c>
      <c r="F1190" s="9">
        <v>84</v>
      </c>
      <c r="G1190" s="9">
        <v>868</v>
      </c>
      <c r="H1190" s="5" t="s">
        <v>20</v>
      </c>
      <c r="I1190" s="5" t="s">
        <v>2842</v>
      </c>
      <c r="J1190" s="12" t="str">
        <f>HYPERLINK("https://www.boe.es/gazeta/dias/1806/10/14/pdfs/GMD-1806-84.pdf#page=4","Abrir facsímil")</f>
        <v>Abrir facsímil</v>
      </c>
      <c r="K1190" s="15" t="s">
        <v>22</v>
      </c>
    </row>
    <row r="1191" spans="1:11" ht="42" customHeight="1">
      <c r="A1191" s="4" t="s">
        <v>2843</v>
      </c>
      <c r="B1191" s="5" t="s">
        <v>2844</v>
      </c>
      <c r="C1191" s="5" t="s">
        <v>31</v>
      </c>
      <c r="D1191" s="5" t="s">
        <v>32</v>
      </c>
      <c r="E1191" s="5" t="s">
        <v>100</v>
      </c>
      <c r="F1191" s="9">
        <v>7</v>
      </c>
      <c r="G1191" s="9">
        <v>65</v>
      </c>
      <c r="H1191" s="5" t="s">
        <v>20</v>
      </c>
      <c r="I1191" s="5" t="s">
        <v>2845</v>
      </c>
      <c r="J1191" s="12" t="str">
        <f>HYPERLINK("https://www.boe.es/gazeta/dias/1806/01/21/pdfs/GMD-1806-7.pdf#page=9","Abrir facsímil")</f>
        <v>Abrir facsímil</v>
      </c>
      <c r="K1191" s="15" t="s">
        <v>22</v>
      </c>
    </row>
    <row r="1192" spans="1:11" ht="42" customHeight="1">
      <c r="A1192" s="4" t="s">
        <v>2843</v>
      </c>
      <c r="B1192" s="5" t="s">
        <v>2844</v>
      </c>
      <c r="C1192" s="5" t="s">
        <v>17</v>
      </c>
      <c r="D1192" s="5" t="s">
        <v>18</v>
      </c>
      <c r="E1192" s="5" t="s">
        <v>494</v>
      </c>
      <c r="F1192" s="9">
        <v>69</v>
      </c>
      <c r="G1192" s="9">
        <v>721</v>
      </c>
      <c r="H1192" s="5" t="s">
        <v>20</v>
      </c>
      <c r="I1192" s="5" t="s">
        <v>2846</v>
      </c>
      <c r="J1192" s="12" t="str">
        <f>HYPERLINK("https://www.boe.es/gazeta/dias/1806/08/22/pdfs/GMD-1806-69.pdf#page=9","Abrir facsímil")</f>
        <v>Abrir facsímil</v>
      </c>
      <c r="K1192" s="15" t="s">
        <v>22</v>
      </c>
    </row>
    <row r="1193" spans="1:11" ht="42" customHeight="1">
      <c r="A1193" s="4" t="s">
        <v>2847</v>
      </c>
      <c r="B1193" s="5" t="s">
        <v>2848</v>
      </c>
      <c r="C1193" s="5" t="s">
        <v>36</v>
      </c>
      <c r="D1193" s="5" t="s">
        <v>37</v>
      </c>
      <c r="E1193" s="5" t="s">
        <v>669</v>
      </c>
      <c r="F1193" s="9">
        <v>14</v>
      </c>
      <c r="G1193" s="9">
        <v>124</v>
      </c>
      <c r="H1193" s="5" t="s">
        <v>20</v>
      </c>
      <c r="I1193" s="5" t="s">
        <v>2849</v>
      </c>
      <c r="J1193" s="12" t="str">
        <f>HYPERLINK("https://www.boe.es/gazeta/dias/1806/02/11/pdfs/GMD-1806-14.pdf#page=8","Abrir facsímil")</f>
        <v>Abrir facsímil</v>
      </c>
      <c r="K1193" s="15" t="s">
        <v>22</v>
      </c>
    </row>
    <row r="1194" spans="1:11" ht="42" customHeight="1">
      <c r="A1194" s="4" t="s">
        <v>2850</v>
      </c>
      <c r="B1194" s="5" t="s">
        <v>2851</v>
      </c>
      <c r="C1194" s="5" t="s">
        <v>17</v>
      </c>
      <c r="D1194" s="5" t="s">
        <v>18</v>
      </c>
      <c r="E1194" s="5" t="s">
        <v>1778</v>
      </c>
      <c r="F1194" s="9">
        <v>16</v>
      </c>
      <c r="G1194" s="9">
        <v>143</v>
      </c>
      <c r="H1194" s="5" t="s">
        <v>20</v>
      </c>
      <c r="I1194" s="5" t="s">
        <v>2852</v>
      </c>
      <c r="J1194" s="12" t="str">
        <f>HYPERLINK("https://www.boe.es/gazeta/dias/1806/02/18/pdfs/GMD-1806-16.pdf#page=7","Abrir facsímil")</f>
        <v>Abrir facsímil</v>
      </c>
      <c r="K1194" s="15" t="s">
        <v>22</v>
      </c>
    </row>
    <row r="1195" spans="1:11" ht="42" customHeight="1">
      <c r="A1195" s="4" t="s">
        <v>2853</v>
      </c>
      <c r="B1195" s="5" t="s">
        <v>2854</v>
      </c>
      <c r="C1195" s="5" t="s">
        <v>31</v>
      </c>
      <c r="D1195" s="5" t="s">
        <v>32</v>
      </c>
      <c r="E1195" s="5" t="s">
        <v>348</v>
      </c>
      <c r="F1195" s="9">
        <v>88</v>
      </c>
      <c r="G1195" s="9">
        <v>910</v>
      </c>
      <c r="H1195" s="5" t="s">
        <v>20</v>
      </c>
      <c r="I1195" s="5" t="s">
        <v>2855</v>
      </c>
      <c r="J1195" s="12" t="str">
        <f>HYPERLINK("https://www.boe.es/gazeta/dias/1806/10/28/pdfs/GMD-1806-88.pdf#page=6","Abrir facsímil")</f>
        <v>Abrir facsímil</v>
      </c>
      <c r="K1195" s="15" t="s">
        <v>22</v>
      </c>
    </row>
    <row r="1196" spans="1:11" ht="42" customHeight="1">
      <c r="A1196" s="4" t="s">
        <v>2856</v>
      </c>
      <c r="B1196" s="5" t="s">
        <v>2857</v>
      </c>
      <c r="C1196" s="5" t="s">
        <v>17</v>
      </c>
      <c r="D1196" s="5" t="s">
        <v>18</v>
      </c>
      <c r="E1196" s="5" t="s">
        <v>144</v>
      </c>
      <c r="F1196" s="9">
        <v>79</v>
      </c>
      <c r="G1196" s="9">
        <v>819</v>
      </c>
      <c r="H1196" s="5" t="s">
        <v>20</v>
      </c>
      <c r="I1196" s="5" t="s">
        <v>2858</v>
      </c>
      <c r="J1196" s="12" t="str">
        <f>HYPERLINK("https://www.boe.es/gazeta/dias/1806/09/26/pdfs/GMD-1806-79.pdf#page=11","Abrir facsímil")</f>
        <v>Abrir facsímil</v>
      </c>
      <c r="K1196" s="15" t="s">
        <v>22</v>
      </c>
    </row>
    <row r="1197" spans="1:11" ht="42" customHeight="1">
      <c r="A1197" s="4" t="s">
        <v>2859</v>
      </c>
      <c r="B1197" s="5" t="s">
        <v>2860</v>
      </c>
      <c r="C1197" s="5" t="s">
        <v>36</v>
      </c>
      <c r="D1197" s="5" t="s">
        <v>37</v>
      </c>
      <c r="E1197" s="5" t="s">
        <v>259</v>
      </c>
      <c r="F1197" s="9">
        <v>34</v>
      </c>
      <c r="G1197" s="9">
        <v>336</v>
      </c>
      <c r="H1197" s="5" t="s">
        <v>20</v>
      </c>
      <c r="I1197" s="5" t="s">
        <v>2861</v>
      </c>
      <c r="J1197" s="12" t="str">
        <f>HYPERLINK("https://www.boe.es/gazeta/dias/1806/04/22/pdfs/GMD-1806-34.pdf#page=8","Abrir facsímil")</f>
        <v>Abrir facsímil</v>
      </c>
      <c r="K1197" s="15" t="s">
        <v>22</v>
      </c>
    </row>
    <row r="1198" spans="1:11" ht="42" customHeight="1">
      <c r="A1198" s="4" t="s">
        <v>2862</v>
      </c>
      <c r="B1198" s="5" t="s">
        <v>2863</v>
      </c>
      <c r="C1198" s="5" t="s">
        <v>17</v>
      </c>
      <c r="D1198" s="5" t="s">
        <v>18</v>
      </c>
      <c r="E1198" s="5" t="s">
        <v>136</v>
      </c>
      <c r="F1198" s="9">
        <v>50</v>
      </c>
      <c r="G1198" s="9">
        <v>517</v>
      </c>
      <c r="H1198" s="5" t="s">
        <v>20</v>
      </c>
      <c r="I1198" s="5" t="s">
        <v>2864</v>
      </c>
      <c r="J1198" s="12" t="str">
        <f>HYPERLINK("https://www.boe.es/gazeta/dias/1806/06/17/pdfs/GMD-1806-50.pdf#page=9","Abrir facsímil")</f>
        <v>Abrir facsímil</v>
      </c>
      <c r="K1198" s="15" t="s">
        <v>22</v>
      </c>
    </row>
    <row r="1199" spans="1:11" ht="42" customHeight="1">
      <c r="A1199" s="4" t="s">
        <v>2865</v>
      </c>
      <c r="B1199" s="5" t="s">
        <v>2866</v>
      </c>
      <c r="C1199" s="5" t="s">
        <v>42</v>
      </c>
      <c r="D1199" s="5" t="s">
        <v>43</v>
      </c>
      <c r="E1199" s="5" t="s">
        <v>400</v>
      </c>
      <c r="F1199" s="9">
        <v>22</v>
      </c>
      <c r="G1199" s="9">
        <v>207</v>
      </c>
      <c r="H1199" s="5" t="s">
        <v>20</v>
      </c>
      <c r="I1199" s="5" t="s">
        <v>2867</v>
      </c>
      <c r="J1199" s="12" t="str">
        <f>HYPERLINK("https://www.boe.es/gazeta/dias/1806/03/11/pdfs/GMD-1806-22.pdf#page=7","Abrir facsímil")</f>
        <v>Abrir facsímil</v>
      </c>
      <c r="K1199" s="15" t="s">
        <v>22</v>
      </c>
    </row>
    <row r="1200" spans="1:11" ht="42" customHeight="1">
      <c r="A1200" s="4" t="s">
        <v>2868</v>
      </c>
      <c r="B1200" s="5" t="s">
        <v>2869</v>
      </c>
      <c r="C1200" s="5" t="s">
        <v>17</v>
      </c>
      <c r="D1200" s="5" t="s">
        <v>18</v>
      </c>
      <c r="E1200" s="5" t="s">
        <v>661</v>
      </c>
      <c r="F1200" s="9">
        <v>38</v>
      </c>
      <c r="G1200" s="9">
        <v>376</v>
      </c>
      <c r="H1200" s="5" t="s">
        <v>20</v>
      </c>
      <c r="I1200" s="5" t="s">
        <v>2870</v>
      </c>
      <c r="J1200" s="12" t="str">
        <f>HYPERLINK("https://www.boe.es/gazeta/dias/1806/05/06/pdfs/GMD-1806-38.pdf#page=12","Abrir facsímil")</f>
        <v>Abrir facsímil</v>
      </c>
      <c r="K1200" s="15" t="s">
        <v>22</v>
      </c>
    </row>
    <row r="1201" spans="1:11" ht="42" customHeight="1">
      <c r="A1201" s="4" t="s">
        <v>2871</v>
      </c>
      <c r="B1201" s="5" t="s">
        <v>2872</v>
      </c>
      <c r="C1201" s="5" t="s">
        <v>36</v>
      </c>
      <c r="D1201" s="5" t="s">
        <v>37</v>
      </c>
      <c r="E1201" s="5" t="s">
        <v>55</v>
      </c>
      <c r="F1201" s="9">
        <v>20</v>
      </c>
      <c r="G1201" s="9">
        <v>188</v>
      </c>
      <c r="H1201" s="5" t="s">
        <v>20</v>
      </c>
      <c r="I1201" s="5" t="s">
        <v>2873</v>
      </c>
      <c r="J1201" s="12" t="str">
        <f>HYPERLINK("https://www.boe.es/gazeta/dias/1806/03/04/pdfs/GMD-1806-20.pdf#page=12","Abrir facsímil")</f>
        <v>Abrir facsímil</v>
      </c>
      <c r="K1201" s="15" t="s">
        <v>22</v>
      </c>
    </row>
    <row r="1202" spans="1:11" ht="42" customHeight="1">
      <c r="A1202" s="4" t="s">
        <v>2874</v>
      </c>
      <c r="B1202" s="5" t="s">
        <v>2875</v>
      </c>
      <c r="C1202" s="5" t="s">
        <v>31</v>
      </c>
      <c r="D1202" s="5" t="s">
        <v>32</v>
      </c>
      <c r="E1202" s="5" t="s">
        <v>290</v>
      </c>
      <c r="F1202" s="9">
        <v>1</v>
      </c>
      <c r="G1202" s="9">
        <v>8</v>
      </c>
      <c r="H1202" s="5" t="s">
        <v>20</v>
      </c>
      <c r="I1202" s="5" t="s">
        <v>2876</v>
      </c>
      <c r="J1202" s="12" t="str">
        <f>HYPERLINK("https://www.boe.es/gazeta/dias/1806/01/03/pdfs/GMD-1806-1.pdf#page=8","Abrir facsímil")</f>
        <v>Abrir facsímil</v>
      </c>
      <c r="K1202" s="15" t="s">
        <v>22</v>
      </c>
    </row>
    <row r="1203" spans="1:11" ht="42" customHeight="1">
      <c r="A1203" s="4" t="s">
        <v>2877</v>
      </c>
      <c r="B1203" s="5" t="s">
        <v>2878</v>
      </c>
      <c r="C1203" s="5" t="s">
        <v>31</v>
      </c>
      <c r="D1203" s="5" t="s">
        <v>32</v>
      </c>
      <c r="E1203" s="5" t="s">
        <v>312</v>
      </c>
      <c r="F1203" s="9">
        <v>100</v>
      </c>
      <c r="G1203" s="9">
        <v>1065</v>
      </c>
      <c r="H1203" s="5" t="s">
        <v>20</v>
      </c>
      <c r="I1203" s="5" t="s">
        <v>2879</v>
      </c>
      <c r="J1203" s="12" t="str">
        <f>HYPERLINK("https://www.boe.es/gazeta/dias/1806/12/09/pdfs/GMD-1806-100.pdf#page=9","Abrir facsímil")</f>
        <v>Abrir facsímil</v>
      </c>
      <c r="K1203" s="15" t="s">
        <v>22</v>
      </c>
    </row>
    <row r="1204" spans="1:11" ht="42" customHeight="1">
      <c r="A1204" s="4" t="s">
        <v>2880</v>
      </c>
      <c r="B1204" s="5" t="s">
        <v>2881</v>
      </c>
      <c r="C1204" s="5" t="s">
        <v>31</v>
      </c>
      <c r="D1204" s="5" t="s">
        <v>32</v>
      </c>
      <c r="E1204" s="5" t="s">
        <v>702</v>
      </c>
      <c r="F1204" s="9">
        <v>43</v>
      </c>
      <c r="G1204" s="9">
        <v>433</v>
      </c>
      <c r="H1204" s="5" t="s">
        <v>20</v>
      </c>
      <c r="I1204" s="5" t="s">
        <v>2882</v>
      </c>
      <c r="J1204" s="12" t="str">
        <f>HYPERLINK("https://www.boe.es/gazeta/dias/1806/05/23/pdfs/GMD-1806-43.pdf#page=9","Abrir facsímil")</f>
        <v>Abrir facsímil</v>
      </c>
      <c r="K1204" s="15" t="s">
        <v>22</v>
      </c>
    </row>
    <row r="1205" spans="1:11" ht="42" customHeight="1">
      <c r="A1205" s="4" t="s">
        <v>2883</v>
      </c>
      <c r="B1205" s="5" t="s">
        <v>2884</v>
      </c>
      <c r="C1205" s="5" t="s">
        <v>17</v>
      </c>
      <c r="D1205" s="5" t="s">
        <v>18</v>
      </c>
      <c r="E1205" s="5" t="s">
        <v>231</v>
      </c>
      <c r="F1205" s="9">
        <v>89</v>
      </c>
      <c r="G1205" s="9">
        <v>922</v>
      </c>
      <c r="H1205" s="5" t="s">
        <v>20</v>
      </c>
      <c r="I1205" s="5" t="s">
        <v>2885</v>
      </c>
      <c r="J1205" s="12" t="str">
        <f>HYPERLINK("https://www.boe.es/gazeta/dias/1806/10/31/pdfs/GMD-1806-89.pdf#page=10","Abrir facsímil")</f>
        <v>Abrir facsímil</v>
      </c>
      <c r="K1205" s="15" t="s">
        <v>22</v>
      </c>
    </row>
    <row r="1206" spans="1:11" ht="42" customHeight="1">
      <c r="A1206" s="4" t="s">
        <v>2886</v>
      </c>
      <c r="B1206" s="5" t="s">
        <v>2887</v>
      </c>
      <c r="C1206" s="5" t="s">
        <v>31</v>
      </c>
      <c r="D1206" s="5" t="s">
        <v>32</v>
      </c>
      <c r="E1206" s="5" t="s">
        <v>946</v>
      </c>
      <c r="F1206" s="9" t="s">
        <v>947</v>
      </c>
      <c r="G1206" s="9">
        <v>1116</v>
      </c>
      <c r="H1206" s="5" t="s">
        <v>20</v>
      </c>
      <c r="I1206" s="5" t="s">
        <v>2888</v>
      </c>
      <c r="J1206" s="12" t="str">
        <f>HYPERLINK("https://www.boe.es/gazeta/dias/1806/12/24/pdfs/GMD-1806-105E.pdf#page=4","Abrir facsímil")</f>
        <v>Abrir facsímil</v>
      </c>
      <c r="K1206" s="15" t="s">
        <v>22</v>
      </c>
    </row>
    <row r="1207" spans="1:11" ht="42" customHeight="1">
      <c r="A1207" s="4" t="s">
        <v>2889</v>
      </c>
      <c r="B1207" s="5" t="s">
        <v>2890</v>
      </c>
      <c r="C1207" s="5" t="s">
        <v>31</v>
      </c>
      <c r="D1207" s="5" t="s">
        <v>32</v>
      </c>
      <c r="E1207" s="5" t="s">
        <v>301</v>
      </c>
      <c r="F1207" s="9">
        <v>75</v>
      </c>
      <c r="G1207" s="9">
        <v>780</v>
      </c>
      <c r="H1207" s="5" t="s">
        <v>20</v>
      </c>
      <c r="I1207" s="5" t="s">
        <v>2891</v>
      </c>
      <c r="J1207" s="12" t="str">
        <f>HYPERLINK("https://www.boe.es/gazeta/dias/1806/09/12/pdfs/GMD-1806-75.pdf#page=12","Abrir facsímil")</f>
        <v>Abrir facsímil</v>
      </c>
      <c r="K1207" s="15" t="s">
        <v>22</v>
      </c>
    </row>
    <row r="1208" spans="1:11" ht="42" customHeight="1">
      <c r="A1208" s="4" t="s">
        <v>2892</v>
      </c>
      <c r="B1208" s="5" t="s">
        <v>2893</v>
      </c>
      <c r="C1208" s="5" t="s">
        <v>42</v>
      </c>
      <c r="D1208" s="5" t="s">
        <v>43</v>
      </c>
      <c r="E1208" s="5" t="s">
        <v>600</v>
      </c>
      <c r="F1208" s="9">
        <v>77</v>
      </c>
      <c r="G1208" s="9">
        <v>794</v>
      </c>
      <c r="H1208" s="5" t="s">
        <v>20</v>
      </c>
      <c r="I1208" s="5" t="s">
        <v>2894</v>
      </c>
      <c r="J1208" s="12" t="str">
        <f>HYPERLINK("https://www.boe.es/gazeta/dias/1806/09/19/pdfs/GMD-1806-77.pdf#page=6","Abrir facsímil")</f>
        <v>Abrir facsímil</v>
      </c>
      <c r="K1208" s="15" t="s">
        <v>22</v>
      </c>
    </row>
    <row r="1209" spans="1:11" ht="42" customHeight="1">
      <c r="A1209" s="4" t="s">
        <v>2895</v>
      </c>
      <c r="B1209" s="5" t="s">
        <v>2896</v>
      </c>
      <c r="C1209" s="5" t="s">
        <v>31</v>
      </c>
      <c r="D1209" s="5" t="s">
        <v>32</v>
      </c>
      <c r="E1209" s="5" t="s">
        <v>1005</v>
      </c>
      <c r="F1209" s="9">
        <v>76</v>
      </c>
      <c r="G1209" s="9">
        <v>786</v>
      </c>
      <c r="H1209" s="5" t="s">
        <v>20</v>
      </c>
      <c r="I1209" s="5" t="s">
        <v>2897</v>
      </c>
      <c r="J1209" s="12" t="str">
        <f>HYPERLINK("https://www.boe.es/gazeta/dias/1806/09/16/pdfs/GMD-1806-76.pdf#page=6","Abrir facsímil")</f>
        <v>Abrir facsímil</v>
      </c>
      <c r="K1209" s="15" t="s">
        <v>22</v>
      </c>
    </row>
    <row r="1210" spans="1:11" ht="42" customHeight="1">
      <c r="A1210" s="4" t="s">
        <v>2898</v>
      </c>
      <c r="B1210" s="5" t="s">
        <v>2899</v>
      </c>
      <c r="C1210" s="5" t="s">
        <v>31</v>
      </c>
      <c r="D1210" s="5" t="s">
        <v>32</v>
      </c>
      <c r="E1210" s="5" t="s">
        <v>1005</v>
      </c>
      <c r="F1210" s="9">
        <v>76</v>
      </c>
      <c r="G1210" s="9">
        <v>787</v>
      </c>
      <c r="H1210" s="5" t="s">
        <v>20</v>
      </c>
      <c r="I1210" s="5" t="s">
        <v>2900</v>
      </c>
      <c r="J1210" s="12" t="str">
        <f>HYPERLINK("https://www.boe.es/gazeta/dias/1806/09/16/pdfs/GMD-1806-76.pdf#page=7","Abrir facsímil")</f>
        <v>Abrir facsímil</v>
      </c>
      <c r="K1210" s="15" t="s">
        <v>22</v>
      </c>
    </row>
    <row r="1211" spans="1:11" ht="42" customHeight="1">
      <c r="A1211" s="4" t="s">
        <v>2901</v>
      </c>
      <c r="B1211" s="5" t="s">
        <v>2902</v>
      </c>
      <c r="C1211" s="5" t="s">
        <v>31</v>
      </c>
      <c r="D1211" s="5" t="s">
        <v>32</v>
      </c>
      <c r="E1211" s="5" t="s">
        <v>71</v>
      </c>
      <c r="F1211" s="9">
        <v>29</v>
      </c>
      <c r="G1211" s="9">
        <v>287</v>
      </c>
      <c r="H1211" s="5" t="s">
        <v>20</v>
      </c>
      <c r="I1211" s="5" t="s">
        <v>2903</v>
      </c>
      <c r="J1211" s="12" t="str">
        <f>HYPERLINK("https://www.boe.es/gazeta/dias/1806/04/04/pdfs/GMD-1806-29.pdf#page=7","Abrir facsímil")</f>
        <v>Abrir facsímil</v>
      </c>
      <c r="K1211" s="15" t="s">
        <v>22</v>
      </c>
    </row>
    <row r="1212" spans="1:11" ht="42" customHeight="1">
      <c r="A1212" s="4" t="s">
        <v>2904</v>
      </c>
      <c r="B1212" s="5" t="s">
        <v>2905</v>
      </c>
      <c r="C1212" s="5" t="s">
        <v>31</v>
      </c>
      <c r="D1212" s="5" t="s">
        <v>32</v>
      </c>
      <c r="E1212" s="5" t="s">
        <v>455</v>
      </c>
      <c r="F1212" s="9">
        <v>85</v>
      </c>
      <c r="G1212" s="9">
        <v>881</v>
      </c>
      <c r="H1212" s="5" t="s">
        <v>20</v>
      </c>
      <c r="I1212" s="5" t="s">
        <v>2906</v>
      </c>
      <c r="J1212" s="12" t="str">
        <f>HYPERLINK("https://www.boe.es/gazeta/dias/1806/10/17/pdfs/GMD-1806-85.pdf#page=9","Abrir facsímil")</f>
        <v>Abrir facsímil</v>
      </c>
      <c r="K1212" s="15" t="s">
        <v>22</v>
      </c>
    </row>
    <row r="1213" spans="1:11" ht="42" customHeight="1">
      <c r="A1213" s="4" t="s">
        <v>2907</v>
      </c>
      <c r="B1213" s="5" t="s">
        <v>2908</v>
      </c>
      <c r="C1213" s="5" t="s">
        <v>31</v>
      </c>
      <c r="D1213" s="5" t="s">
        <v>32</v>
      </c>
      <c r="E1213" s="5" t="s">
        <v>580</v>
      </c>
      <c r="F1213" s="9">
        <v>23</v>
      </c>
      <c r="G1213" s="9">
        <v>220</v>
      </c>
      <c r="H1213" s="5" t="s">
        <v>20</v>
      </c>
      <c r="I1213" s="5" t="s">
        <v>2909</v>
      </c>
      <c r="J1213" s="12" t="str">
        <f>HYPERLINK("https://www.boe.es/gazeta/dias/1806/03/14/pdfs/GMD-1806-23.pdf#page=8","Abrir facsímil")</f>
        <v>Abrir facsímil</v>
      </c>
      <c r="K1213" s="15" t="s">
        <v>22</v>
      </c>
    </row>
    <row r="1214" spans="1:11" ht="42" customHeight="1">
      <c r="A1214" s="4" t="s">
        <v>2910</v>
      </c>
      <c r="B1214" s="5" t="s">
        <v>2911</v>
      </c>
      <c r="C1214" s="5" t="s">
        <v>31</v>
      </c>
      <c r="D1214" s="5" t="s">
        <v>32</v>
      </c>
      <c r="E1214" s="5" t="s">
        <v>76</v>
      </c>
      <c r="F1214" s="9">
        <v>98</v>
      </c>
      <c r="G1214" s="9">
        <v>1043</v>
      </c>
      <c r="H1214" s="5" t="s">
        <v>20</v>
      </c>
      <c r="I1214" s="5" t="s">
        <v>2912</v>
      </c>
      <c r="J1214" s="12" t="str">
        <f>HYPERLINK("https://www.boe.es/gazeta/dias/1806/12/02/pdfs/GMD-1806-98.pdf#page=11","Abrir facsímil")</f>
        <v>Abrir facsímil</v>
      </c>
      <c r="K1214" s="15" t="s">
        <v>22</v>
      </c>
    </row>
    <row r="1215" spans="1:11" ht="42" customHeight="1">
      <c r="A1215" s="4" t="s">
        <v>2913</v>
      </c>
      <c r="B1215" s="5" t="s">
        <v>2914</v>
      </c>
      <c r="C1215" s="5" t="s">
        <v>42</v>
      </c>
      <c r="D1215" s="5" t="s">
        <v>43</v>
      </c>
      <c r="E1215" s="5" t="s">
        <v>178</v>
      </c>
      <c r="F1215" s="9">
        <v>36</v>
      </c>
      <c r="G1215" s="9">
        <v>350</v>
      </c>
      <c r="H1215" s="5" t="s">
        <v>20</v>
      </c>
      <c r="I1215" s="5" t="s">
        <v>2915</v>
      </c>
      <c r="J1215" s="12" t="str">
        <f>HYPERLINK("https://www.boe.es/gazeta/dias/1806/04/29/pdfs/GMD-1806-36.pdf#page=6","Abrir facsímil")</f>
        <v>Abrir facsímil</v>
      </c>
      <c r="K1215" s="15" t="s">
        <v>22</v>
      </c>
    </row>
    <row r="1216" spans="1:11" ht="42" customHeight="1">
      <c r="A1216" s="4" t="s">
        <v>2916</v>
      </c>
      <c r="B1216" s="5" t="s">
        <v>2917</v>
      </c>
      <c r="C1216" s="5" t="s">
        <v>17</v>
      </c>
      <c r="D1216" s="5" t="s">
        <v>18</v>
      </c>
      <c r="E1216" s="5" t="s">
        <v>96</v>
      </c>
      <c r="F1216" s="9">
        <v>62</v>
      </c>
      <c r="G1216" s="9">
        <v>651</v>
      </c>
      <c r="H1216" s="5" t="s">
        <v>20</v>
      </c>
      <c r="I1216" s="5" t="s">
        <v>2918</v>
      </c>
      <c r="J1216" s="12" t="str">
        <f>HYPERLINK("https://www.boe.es/gazeta/dias/1806/07/29/pdfs/GMD-1806-62.pdf#page=11","Abrir facsímil")</f>
        <v>Abrir facsímil</v>
      </c>
      <c r="K1216" s="15" t="s">
        <v>22</v>
      </c>
    </row>
    <row r="1217" spans="1:11" ht="42" customHeight="1">
      <c r="A1217" s="4" t="s">
        <v>2919</v>
      </c>
      <c r="B1217" s="5" t="s">
        <v>2920</v>
      </c>
      <c r="C1217" s="5" t="s">
        <v>17</v>
      </c>
      <c r="D1217" s="5" t="s">
        <v>18</v>
      </c>
      <c r="E1217" s="5" t="s">
        <v>93</v>
      </c>
      <c r="F1217" s="9">
        <v>72</v>
      </c>
      <c r="G1217" s="9">
        <v>748</v>
      </c>
      <c r="H1217" s="5" t="s">
        <v>20</v>
      </c>
      <c r="I1217" s="5" t="s">
        <v>2921</v>
      </c>
      <c r="J1217" s="12" t="str">
        <f>HYPERLINK("https://www.boe.es/gazeta/dias/1806/09/02/pdfs/GMD-1806-72.pdf#page=8","Abrir facsímil")</f>
        <v>Abrir facsímil</v>
      </c>
      <c r="K1217" s="15" t="s">
        <v>22</v>
      </c>
    </row>
    <row r="1218" spans="1:11" ht="42" customHeight="1">
      <c r="A1218" s="4" t="s">
        <v>2922</v>
      </c>
      <c r="B1218" s="5" t="s">
        <v>2923</v>
      </c>
      <c r="C1218" s="5" t="s">
        <v>69</v>
      </c>
      <c r="D1218" s="5" t="s">
        <v>70</v>
      </c>
      <c r="E1218" s="5" t="s">
        <v>185</v>
      </c>
      <c r="F1218" s="9">
        <v>46</v>
      </c>
      <c r="G1218" s="9">
        <v>462</v>
      </c>
      <c r="H1218" s="5" t="s">
        <v>20</v>
      </c>
      <c r="I1218" s="5" t="s">
        <v>2924</v>
      </c>
      <c r="J1218" s="12" t="str">
        <f>HYPERLINK("https://www.boe.es/gazeta/dias/1806/06/03/pdfs/GMD-1806-46.pdf#page=2","Abrir facsímil")</f>
        <v>Abrir facsímil</v>
      </c>
      <c r="K1218" s="15" t="s">
        <v>22</v>
      </c>
    </row>
    <row r="1219" spans="1:11" ht="42" customHeight="1">
      <c r="A1219" s="4" t="s">
        <v>2925</v>
      </c>
      <c r="B1219" s="5" t="s">
        <v>2926</v>
      </c>
      <c r="C1219" s="5" t="s">
        <v>69</v>
      </c>
      <c r="D1219" s="5" t="s">
        <v>70</v>
      </c>
      <c r="E1219" s="5" t="s">
        <v>202</v>
      </c>
      <c r="F1219" s="9">
        <v>30</v>
      </c>
      <c r="G1219" s="9">
        <v>290</v>
      </c>
      <c r="H1219" s="5" t="s">
        <v>20</v>
      </c>
      <c r="I1219" s="5" t="s">
        <v>2927</v>
      </c>
      <c r="J1219" s="12" t="str">
        <f>HYPERLINK("https://www.boe.es/gazeta/dias/1806/04/08/pdfs/GMD-1806-30.pdf#page=2","Abrir facsímil")</f>
        <v>Abrir facsímil</v>
      </c>
      <c r="K1219" s="15" t="s">
        <v>22</v>
      </c>
    </row>
    <row r="1220" spans="1:11" ht="42" customHeight="1">
      <c r="A1220" s="4" t="s">
        <v>2928</v>
      </c>
      <c r="B1220" s="5" t="s">
        <v>2929</v>
      </c>
      <c r="C1220" s="5" t="s">
        <v>17</v>
      </c>
      <c r="D1220" s="5" t="s">
        <v>18</v>
      </c>
      <c r="E1220" s="5" t="s">
        <v>96</v>
      </c>
      <c r="F1220" s="9">
        <v>62</v>
      </c>
      <c r="G1220" s="9">
        <v>652</v>
      </c>
      <c r="H1220" s="5" t="s">
        <v>20</v>
      </c>
      <c r="I1220" s="5" t="s">
        <v>2930</v>
      </c>
      <c r="J1220" s="12" t="str">
        <f>HYPERLINK("https://www.boe.es/gazeta/dias/1806/07/29/pdfs/GMD-1806-62.pdf#page=12","Abrir facsímil")</f>
        <v>Abrir facsímil</v>
      </c>
      <c r="K1220" s="15" t="s">
        <v>22</v>
      </c>
    </row>
    <row r="1221" spans="1:11" ht="42" customHeight="1">
      <c r="A1221" s="4" t="s">
        <v>2931</v>
      </c>
      <c r="B1221" s="5" t="s">
        <v>2932</v>
      </c>
      <c r="C1221" s="5" t="s">
        <v>69</v>
      </c>
      <c r="D1221" s="5" t="s">
        <v>70</v>
      </c>
      <c r="E1221" s="5" t="s">
        <v>195</v>
      </c>
      <c r="F1221" s="9">
        <v>4</v>
      </c>
      <c r="G1221" s="9">
        <v>29</v>
      </c>
      <c r="H1221" s="5" t="s">
        <v>20</v>
      </c>
      <c r="I1221" s="5" t="s">
        <v>2933</v>
      </c>
      <c r="J1221" s="12" t="str">
        <f>HYPERLINK("https://www.boe.es/gazeta/dias/1806/01/14/pdfs/GMD-1806-4.pdf#page=1","Abrir facsímil")</f>
        <v>Abrir facsímil</v>
      </c>
      <c r="K1221" s="15" t="s">
        <v>22</v>
      </c>
    </row>
    <row r="1222" spans="1:11" ht="42" customHeight="1">
      <c r="A1222" s="4" t="s">
        <v>2934</v>
      </c>
      <c r="B1222" s="5" t="s">
        <v>2935</v>
      </c>
      <c r="C1222" s="5" t="s">
        <v>42</v>
      </c>
      <c r="D1222" s="5" t="s">
        <v>43</v>
      </c>
      <c r="E1222" s="5" t="s">
        <v>82</v>
      </c>
      <c r="F1222" s="9">
        <v>48</v>
      </c>
      <c r="G1222" s="9">
        <v>490</v>
      </c>
      <c r="H1222" s="5" t="s">
        <v>20</v>
      </c>
      <c r="I1222" s="5" t="s">
        <v>2936</v>
      </c>
      <c r="J1222" s="12" t="str">
        <f>HYPERLINK("https://www.boe.es/gazeta/dias/1806/06/10/pdfs/GMD-1806-48.pdf#page=2","Abrir facsímil")</f>
        <v>Abrir facsímil</v>
      </c>
      <c r="K1222" s="15" t="s">
        <v>22</v>
      </c>
    </row>
    <row r="1223" spans="1:11" ht="42" customHeight="1">
      <c r="A1223" s="4" t="s">
        <v>2937</v>
      </c>
      <c r="B1223" s="5" t="s">
        <v>2938</v>
      </c>
      <c r="C1223" s="5" t="s">
        <v>31</v>
      </c>
      <c r="D1223" s="5" t="s">
        <v>32</v>
      </c>
      <c r="E1223" s="5" t="s">
        <v>309</v>
      </c>
      <c r="F1223" s="9">
        <v>41</v>
      </c>
      <c r="G1223" s="9">
        <v>409</v>
      </c>
      <c r="H1223" s="5" t="s">
        <v>20</v>
      </c>
      <c r="I1223" s="5" t="s">
        <v>2939</v>
      </c>
      <c r="J1223" s="12" t="str">
        <f>HYPERLINK("https://www.boe.es/gazeta/dias/1806/05/16/pdfs/GMD-1806-41.pdf#page=9","Abrir facsímil")</f>
        <v>Abrir facsímil</v>
      </c>
      <c r="K1223" s="15" t="s">
        <v>22</v>
      </c>
    </row>
    <row r="1224" spans="1:11" ht="42" customHeight="1">
      <c r="A1224" s="4" t="s">
        <v>2940</v>
      </c>
      <c r="B1224" s="5" t="s">
        <v>2941</v>
      </c>
      <c r="C1224" s="5" t="s">
        <v>31</v>
      </c>
      <c r="D1224" s="5" t="s">
        <v>32</v>
      </c>
      <c r="E1224" s="5" t="s">
        <v>79</v>
      </c>
      <c r="F1224" s="9">
        <v>68</v>
      </c>
      <c r="G1224" s="9">
        <v>709</v>
      </c>
      <c r="H1224" s="5" t="s">
        <v>20</v>
      </c>
      <c r="I1224" s="5" t="s">
        <v>2942</v>
      </c>
      <c r="J1224" s="12" t="str">
        <f>HYPERLINK("https://www.boe.es/gazeta/dias/1806/08/19/pdfs/GMD-1806-68.pdf#page=5","Abrir facsímil")</f>
        <v>Abrir facsímil</v>
      </c>
      <c r="K1224" s="15" t="s">
        <v>22</v>
      </c>
    </row>
    <row r="1225" spans="1:11" ht="42" customHeight="1">
      <c r="A1225" s="4" t="s">
        <v>2943</v>
      </c>
      <c r="B1225" s="5" t="s">
        <v>2944</v>
      </c>
      <c r="C1225" s="5" t="s">
        <v>36</v>
      </c>
      <c r="D1225" s="5" t="s">
        <v>37</v>
      </c>
      <c r="E1225" s="5" t="s">
        <v>121</v>
      </c>
      <c r="F1225" s="9">
        <v>19</v>
      </c>
      <c r="G1225" s="9">
        <v>175</v>
      </c>
      <c r="H1225" s="5" t="s">
        <v>20</v>
      </c>
      <c r="I1225" s="5" t="s">
        <v>2945</v>
      </c>
      <c r="J1225" s="12" t="str">
        <f>HYPERLINK("https://www.boe.es/gazeta/dias/1806/02/28/pdfs/GMD-1806-19.pdf#page=11","Abrir facsímil")</f>
        <v>Abrir facsímil</v>
      </c>
      <c r="K1225" s="15" t="s">
        <v>22</v>
      </c>
    </row>
    <row r="1226" spans="1:11" ht="42" customHeight="1">
      <c r="A1226" s="4" t="s">
        <v>2946</v>
      </c>
      <c r="B1226" s="5" t="s">
        <v>2947</v>
      </c>
      <c r="C1226" s="5" t="s">
        <v>36</v>
      </c>
      <c r="D1226" s="5" t="s">
        <v>37</v>
      </c>
      <c r="E1226" s="5" t="s">
        <v>213</v>
      </c>
      <c r="F1226" s="9">
        <v>73</v>
      </c>
      <c r="G1226" s="9">
        <v>760</v>
      </c>
      <c r="H1226" s="5" t="s">
        <v>20</v>
      </c>
      <c r="I1226" s="5" t="s">
        <v>2948</v>
      </c>
      <c r="J1226" s="12" t="str">
        <f>HYPERLINK("https://www.boe.es/gazeta/dias/1806/09/05/pdfs/GMD-1806-73.pdf#page=8","Abrir facsímil")</f>
        <v>Abrir facsímil</v>
      </c>
      <c r="K1226" s="15" t="s">
        <v>22</v>
      </c>
    </row>
    <row r="1227" spans="1:11" ht="42" customHeight="1">
      <c r="A1227" s="4" t="s">
        <v>2949</v>
      </c>
      <c r="B1227" s="5" t="s">
        <v>2950</v>
      </c>
      <c r="C1227" s="5" t="s">
        <v>36</v>
      </c>
      <c r="D1227" s="5" t="s">
        <v>37</v>
      </c>
      <c r="E1227" s="5" t="s">
        <v>48</v>
      </c>
      <c r="F1227" s="9">
        <v>67</v>
      </c>
      <c r="G1227" s="9">
        <v>704</v>
      </c>
      <c r="H1227" s="5" t="s">
        <v>20</v>
      </c>
      <c r="I1227" s="5" t="s">
        <v>2951</v>
      </c>
      <c r="J1227" s="12" t="str">
        <f>HYPERLINK("https://www.boe.es/gazeta/dias/1806/08/15/pdfs/GMD-1806-67.pdf#page=12","Abrir facsímil")</f>
        <v>Abrir facsímil</v>
      </c>
      <c r="K1227" s="15" t="s">
        <v>22</v>
      </c>
    </row>
    <row r="1228" spans="1:11" ht="42" customHeight="1">
      <c r="A1228" s="4" t="s">
        <v>2952</v>
      </c>
      <c r="B1228" s="5" t="s">
        <v>2953</v>
      </c>
      <c r="C1228" s="5" t="s">
        <v>31</v>
      </c>
      <c r="D1228" s="5" t="s">
        <v>32</v>
      </c>
      <c r="E1228" s="5" t="s">
        <v>455</v>
      </c>
      <c r="F1228" s="9">
        <v>85</v>
      </c>
      <c r="G1228" s="9">
        <v>884</v>
      </c>
      <c r="H1228" s="5" t="s">
        <v>20</v>
      </c>
      <c r="I1228" s="5" t="s">
        <v>2954</v>
      </c>
      <c r="J1228" s="12" t="str">
        <f>HYPERLINK("https://www.boe.es/gazeta/dias/1806/10/17/pdfs/GMD-1806-85.pdf#page=12","Abrir facsímil")</f>
        <v>Abrir facsímil</v>
      </c>
      <c r="K1228" s="15" t="s">
        <v>22</v>
      </c>
    </row>
    <row r="1229" spans="1:11" ht="42" customHeight="1">
      <c r="A1229" s="4" t="s">
        <v>2955</v>
      </c>
      <c r="B1229" s="5" t="s">
        <v>2956</v>
      </c>
      <c r="C1229" s="5" t="s">
        <v>17</v>
      </c>
      <c r="D1229" s="5" t="s">
        <v>18</v>
      </c>
      <c r="E1229" s="5" t="s">
        <v>26</v>
      </c>
      <c r="F1229" s="9">
        <v>65</v>
      </c>
      <c r="G1229" s="9">
        <v>681</v>
      </c>
      <c r="H1229" s="5" t="s">
        <v>20</v>
      </c>
      <c r="I1229" s="5" t="s">
        <v>2957</v>
      </c>
      <c r="J1229" s="12" t="str">
        <f>HYPERLINK("https://www.boe.es/gazeta/dias/1806/08/08/pdfs/GMD-1806-65.pdf#page=9","Abrir facsímil")</f>
        <v>Abrir facsímil</v>
      </c>
      <c r="K1229" s="15" t="s">
        <v>22</v>
      </c>
    </row>
    <row r="1230" spans="1:11" ht="42" customHeight="1">
      <c r="A1230" s="4" t="s">
        <v>2958</v>
      </c>
      <c r="B1230" s="5" t="s">
        <v>2959</v>
      </c>
      <c r="C1230" s="5" t="s">
        <v>17</v>
      </c>
      <c r="D1230" s="5" t="s">
        <v>18</v>
      </c>
      <c r="E1230" s="5" t="s">
        <v>195</v>
      </c>
      <c r="F1230" s="9">
        <v>4</v>
      </c>
      <c r="G1230" s="9">
        <v>35</v>
      </c>
      <c r="H1230" s="5" t="s">
        <v>20</v>
      </c>
      <c r="I1230" s="5" t="s">
        <v>2960</v>
      </c>
      <c r="J1230" s="12" t="str">
        <f>HYPERLINK("https://www.boe.es/gazeta/dias/1806/01/14/pdfs/GMD-1806-4.pdf#page=7","Abrir facsímil")</f>
        <v>Abrir facsímil</v>
      </c>
      <c r="K1230" s="15" t="s">
        <v>22</v>
      </c>
    </row>
    <row r="1231" spans="1:11" ht="42" customHeight="1">
      <c r="A1231" s="4" t="s">
        <v>2961</v>
      </c>
      <c r="B1231" s="5" t="s">
        <v>2962</v>
      </c>
      <c r="C1231" s="5" t="s">
        <v>36</v>
      </c>
      <c r="D1231" s="5" t="s">
        <v>37</v>
      </c>
      <c r="E1231" s="5" t="s">
        <v>430</v>
      </c>
      <c r="F1231" s="9">
        <v>12</v>
      </c>
      <c r="G1231" s="9">
        <v>108</v>
      </c>
      <c r="H1231" s="5" t="s">
        <v>20</v>
      </c>
      <c r="I1231" s="5" t="s">
        <v>2963</v>
      </c>
      <c r="J1231" s="12" t="str">
        <f>HYPERLINK("https://www.boe.es/gazeta/dias/1806/02/04/pdfs/GMD-1806-12.pdf#page=8","Abrir facsímil")</f>
        <v>Abrir facsímil</v>
      </c>
      <c r="K1231" s="15" t="s">
        <v>22</v>
      </c>
    </row>
    <row r="1232" spans="1:11" ht="42" customHeight="1">
      <c r="A1232" s="4" t="s">
        <v>2964</v>
      </c>
      <c r="B1232" s="5" t="s">
        <v>2965</v>
      </c>
      <c r="C1232" s="5" t="s">
        <v>42</v>
      </c>
      <c r="D1232" s="5" t="s">
        <v>43</v>
      </c>
      <c r="E1232" s="5" t="s">
        <v>1080</v>
      </c>
      <c r="F1232" s="9">
        <v>49</v>
      </c>
      <c r="G1232" s="9">
        <v>506</v>
      </c>
      <c r="H1232" s="5" t="s">
        <v>20</v>
      </c>
      <c r="I1232" s="5" t="s">
        <v>2966</v>
      </c>
      <c r="J1232" s="12" t="str">
        <f>HYPERLINK("https://www.boe.es/gazeta/dias/1806/06/13/pdfs/GMD-1806-49.pdf#page=6","Abrir facsímil")</f>
        <v>Abrir facsímil</v>
      </c>
      <c r="K1232" s="15" t="s">
        <v>22</v>
      </c>
    </row>
    <row r="1233" spans="1:11" ht="42" customHeight="1">
      <c r="A1233" s="4" t="s">
        <v>2967</v>
      </c>
      <c r="B1233" s="5" t="s">
        <v>2968</v>
      </c>
      <c r="C1233" s="5" t="s">
        <v>75</v>
      </c>
      <c r="D1233" s="5" t="s">
        <v>43</v>
      </c>
      <c r="E1233" s="5" t="s">
        <v>100</v>
      </c>
      <c r="F1233" s="9">
        <v>7</v>
      </c>
      <c r="G1233" s="9">
        <v>66</v>
      </c>
      <c r="H1233" s="5" t="s">
        <v>20</v>
      </c>
      <c r="I1233" s="5" t="s">
        <v>2969</v>
      </c>
      <c r="J1233" s="12" t="str">
        <f>HYPERLINK("https://www.boe.es/gazeta/dias/1806/01/21/pdfs/GMD-1806-7.pdf#page=10","Abrir facsímil")</f>
        <v>Abrir facsímil</v>
      </c>
      <c r="K1233" s="15" t="s">
        <v>22</v>
      </c>
    </row>
    <row r="1234" spans="1:11" ht="42" customHeight="1">
      <c r="A1234" s="4" t="s">
        <v>2970</v>
      </c>
      <c r="B1234" s="5" t="s">
        <v>2971</v>
      </c>
      <c r="C1234" s="5" t="s">
        <v>75</v>
      </c>
      <c r="D1234" s="5" t="s">
        <v>43</v>
      </c>
      <c r="E1234" s="5" t="s">
        <v>600</v>
      </c>
      <c r="F1234" s="9">
        <v>77</v>
      </c>
      <c r="G1234" s="9">
        <v>796</v>
      </c>
      <c r="H1234" s="5" t="s">
        <v>20</v>
      </c>
      <c r="I1234" s="5" t="s">
        <v>2972</v>
      </c>
      <c r="J1234" s="12" t="str">
        <f>HYPERLINK("https://www.boe.es/gazeta/dias/1806/09/19/pdfs/GMD-1806-77.pdf#page=8","Abrir facsímil")</f>
        <v>Abrir facsímil</v>
      </c>
      <c r="K1234" s="15" t="s">
        <v>22</v>
      </c>
    </row>
    <row r="1235" spans="1:11" ht="42" customHeight="1">
      <c r="A1235" s="4" t="s">
        <v>2973</v>
      </c>
      <c r="B1235" s="5" t="s">
        <v>2974</v>
      </c>
      <c r="C1235" s="5" t="s">
        <v>36</v>
      </c>
      <c r="D1235" s="5" t="s">
        <v>37</v>
      </c>
      <c r="E1235" s="5" t="s">
        <v>494</v>
      </c>
      <c r="F1235" s="9">
        <v>69</v>
      </c>
      <c r="G1235" s="9">
        <v>724</v>
      </c>
      <c r="H1235" s="5" t="s">
        <v>20</v>
      </c>
      <c r="I1235" s="5" t="s">
        <v>2975</v>
      </c>
      <c r="J1235" s="12" t="str">
        <f>HYPERLINK("https://www.boe.es/gazeta/dias/1806/08/22/pdfs/GMD-1806-69.pdf#page=12","Abrir facsímil")</f>
        <v>Abrir facsímil</v>
      </c>
      <c r="K1235" s="15" t="s">
        <v>22</v>
      </c>
    </row>
    <row r="1236" spans="1:11" ht="42" customHeight="1">
      <c r="A1236" s="4" t="s">
        <v>2976</v>
      </c>
      <c r="B1236" s="5" t="s">
        <v>2977</v>
      </c>
      <c r="C1236" s="5" t="s">
        <v>17</v>
      </c>
      <c r="D1236" s="5" t="s">
        <v>18</v>
      </c>
      <c r="E1236" s="5" t="s">
        <v>1080</v>
      </c>
      <c r="F1236" s="9">
        <v>49</v>
      </c>
      <c r="G1236" s="9">
        <v>505</v>
      </c>
      <c r="H1236" s="5" t="s">
        <v>20</v>
      </c>
      <c r="I1236" s="5" t="s">
        <v>2978</v>
      </c>
      <c r="J1236" s="12" t="str">
        <f>HYPERLINK("https://www.boe.es/gazeta/dias/1806/06/13/pdfs/GMD-1806-49.pdf#page=5","Abrir facsímil")</f>
        <v>Abrir facsímil</v>
      </c>
      <c r="K1236" s="15" t="s">
        <v>22</v>
      </c>
    </row>
    <row r="1237" spans="1:11" ht="42" customHeight="1">
      <c r="A1237" s="4" t="s">
        <v>2979</v>
      </c>
      <c r="B1237" s="5" t="s">
        <v>2980</v>
      </c>
      <c r="C1237" s="5" t="s">
        <v>17</v>
      </c>
      <c r="D1237" s="5" t="s">
        <v>18</v>
      </c>
      <c r="E1237" s="5" t="s">
        <v>279</v>
      </c>
      <c r="F1237" s="9">
        <v>52</v>
      </c>
      <c r="G1237" s="9">
        <v>540</v>
      </c>
      <c r="H1237" s="5" t="s">
        <v>20</v>
      </c>
      <c r="I1237" s="5" t="s">
        <v>2981</v>
      </c>
      <c r="J1237" s="12" t="str">
        <f>HYPERLINK("https://www.boe.es/gazeta/dias/1806/06/24/pdfs/GMD-1806-52.pdf#page=8","Abrir facsímil")</f>
        <v>Abrir facsímil</v>
      </c>
      <c r="K1237" s="15" t="s">
        <v>22</v>
      </c>
    </row>
    <row r="1238" spans="1:11" ht="42" customHeight="1">
      <c r="A1238" s="4" t="s">
        <v>2982</v>
      </c>
      <c r="B1238" s="5" t="s">
        <v>2983</v>
      </c>
      <c r="C1238" s="5" t="s">
        <v>31</v>
      </c>
      <c r="D1238" s="5" t="s">
        <v>32</v>
      </c>
      <c r="E1238" s="5" t="s">
        <v>175</v>
      </c>
      <c r="F1238" s="9">
        <v>40</v>
      </c>
      <c r="G1238" s="9">
        <v>395</v>
      </c>
      <c r="H1238" s="5" t="s">
        <v>20</v>
      </c>
      <c r="I1238" s="5" t="s">
        <v>2984</v>
      </c>
      <c r="J1238" s="12" t="str">
        <f>HYPERLINK("https://www.boe.es/gazeta/dias/1806/05/13/pdfs/GMD-1806-40.pdf#page=7","Abrir facsímil")</f>
        <v>Abrir facsímil</v>
      </c>
      <c r="K1238" s="15" t="s">
        <v>22</v>
      </c>
    </row>
    <row r="1239" spans="1:11" ht="42" customHeight="1">
      <c r="A1239" s="4" t="s">
        <v>2985</v>
      </c>
      <c r="B1239" s="5" t="s">
        <v>2986</v>
      </c>
      <c r="C1239" s="5" t="s">
        <v>42</v>
      </c>
      <c r="D1239" s="5" t="s">
        <v>43</v>
      </c>
      <c r="E1239" s="5" t="s">
        <v>48</v>
      </c>
      <c r="F1239" s="9">
        <v>67</v>
      </c>
      <c r="G1239" s="9">
        <v>702</v>
      </c>
      <c r="H1239" s="5" t="s">
        <v>20</v>
      </c>
      <c r="I1239" s="5" t="s">
        <v>2987</v>
      </c>
      <c r="J1239" s="12" t="str">
        <f>HYPERLINK("https://www.boe.es/gazeta/dias/1806/08/15/pdfs/GMD-1806-67.pdf#page=10","Abrir facsímil")</f>
        <v>Abrir facsímil</v>
      </c>
      <c r="K1239" s="15" t="s">
        <v>22</v>
      </c>
    </row>
    <row r="1240" spans="1:11" ht="42" customHeight="1">
      <c r="A1240" s="4" t="s">
        <v>2988</v>
      </c>
      <c r="B1240" s="5" t="s">
        <v>2989</v>
      </c>
      <c r="C1240" s="5" t="s">
        <v>31</v>
      </c>
      <c r="D1240" s="5" t="s">
        <v>32</v>
      </c>
      <c r="E1240" s="5" t="s">
        <v>181</v>
      </c>
      <c r="F1240" s="9">
        <v>99</v>
      </c>
      <c r="G1240" s="9">
        <v>1053</v>
      </c>
      <c r="H1240" s="5" t="s">
        <v>20</v>
      </c>
      <c r="I1240" s="5" t="s">
        <v>2990</v>
      </c>
      <c r="J1240" s="12" t="str">
        <f>HYPERLINK("https://www.boe.es/gazeta/dias/1806/12/05/pdfs/GMD-1806-99.pdf#page=9","Abrir facsímil")</f>
        <v>Abrir facsímil</v>
      </c>
      <c r="K1240" s="15" t="s">
        <v>22</v>
      </c>
    </row>
    <row r="1241" spans="1:11" ht="42" customHeight="1">
      <c r="A1241" s="4" t="s">
        <v>2991</v>
      </c>
      <c r="B1241" s="5" t="s">
        <v>2992</v>
      </c>
      <c r="C1241" s="5" t="s">
        <v>17</v>
      </c>
      <c r="D1241" s="5" t="s">
        <v>18</v>
      </c>
      <c r="E1241" s="5" t="s">
        <v>130</v>
      </c>
      <c r="F1241" s="9">
        <v>66</v>
      </c>
      <c r="G1241" s="9">
        <v>690</v>
      </c>
      <c r="H1241" s="5" t="s">
        <v>20</v>
      </c>
      <c r="I1241" s="5" t="s">
        <v>2993</v>
      </c>
      <c r="J1241" s="12" t="str">
        <f>HYPERLINK("https://www.boe.es/gazeta/dias/1806/08/12/pdfs/GMD-1806-66.pdf#page=6","Abrir facsímil")</f>
        <v>Abrir facsímil</v>
      </c>
      <c r="K1241" s="15" t="s">
        <v>22</v>
      </c>
    </row>
    <row r="1242" spans="1:11" ht="42" customHeight="1">
      <c r="A1242" s="4" t="s">
        <v>2994</v>
      </c>
      <c r="B1242" s="5" t="s">
        <v>2995</v>
      </c>
      <c r="C1242" s="5" t="s">
        <v>31</v>
      </c>
      <c r="D1242" s="5" t="s">
        <v>32</v>
      </c>
      <c r="E1242" s="5" t="s">
        <v>309</v>
      </c>
      <c r="F1242" s="9">
        <v>41</v>
      </c>
      <c r="G1242" s="9">
        <v>407</v>
      </c>
      <c r="H1242" s="5" t="s">
        <v>20</v>
      </c>
      <c r="I1242" s="5" t="s">
        <v>2996</v>
      </c>
      <c r="J1242" s="12" t="str">
        <f>HYPERLINK("https://www.boe.es/gazeta/dias/1806/05/16/pdfs/GMD-1806-41.pdf#page=7","Abrir facsímil")</f>
        <v>Abrir facsímil</v>
      </c>
      <c r="K1242" s="15" t="s">
        <v>22</v>
      </c>
    </row>
    <row r="1243" spans="1:11" ht="42" customHeight="1">
      <c r="A1243" s="4" t="s">
        <v>2997</v>
      </c>
      <c r="B1243" s="5" t="s">
        <v>2998</v>
      </c>
      <c r="C1243" s="5" t="s">
        <v>31</v>
      </c>
      <c r="D1243" s="5" t="s">
        <v>32</v>
      </c>
      <c r="E1243" s="5" t="s">
        <v>946</v>
      </c>
      <c r="F1243" s="9" t="s">
        <v>947</v>
      </c>
      <c r="G1243" s="9">
        <v>1115</v>
      </c>
      <c r="H1243" s="5" t="s">
        <v>20</v>
      </c>
      <c r="I1243" s="5" t="s">
        <v>2999</v>
      </c>
      <c r="J1243" s="12" t="str">
        <f>HYPERLINK("https://www.boe.es/gazeta/dias/1806/12/24/pdfs/GMD-1806-105E.pdf#page=3","Abrir facsímil")</f>
        <v>Abrir facsímil</v>
      </c>
      <c r="K1243" s="15" t="s">
        <v>22</v>
      </c>
    </row>
    <row r="1244" spans="1:11" ht="42" customHeight="1">
      <c r="A1244" s="4" t="s">
        <v>3000</v>
      </c>
      <c r="B1244" s="5" t="s">
        <v>3001</v>
      </c>
      <c r="C1244" s="5" t="s">
        <v>42</v>
      </c>
      <c r="D1244" s="5" t="s">
        <v>43</v>
      </c>
      <c r="E1244" s="5" t="s">
        <v>400</v>
      </c>
      <c r="F1244" s="9">
        <v>22</v>
      </c>
      <c r="G1244" s="9">
        <v>211</v>
      </c>
      <c r="H1244" s="5" t="s">
        <v>20</v>
      </c>
      <c r="I1244" s="5" t="s">
        <v>3002</v>
      </c>
      <c r="J1244" s="12" t="str">
        <f>HYPERLINK("https://www.boe.es/gazeta/dias/1806/03/11/pdfs/GMD-1806-22.pdf#page=11","Abrir facsímil")</f>
        <v>Abrir facsímil</v>
      </c>
      <c r="K1244" s="15" t="s">
        <v>22</v>
      </c>
    </row>
    <row r="1245" spans="1:11" ht="42" customHeight="1">
      <c r="A1245" s="4" t="s">
        <v>3003</v>
      </c>
      <c r="B1245" s="5" t="s">
        <v>3004</v>
      </c>
      <c r="C1245" s="5" t="s">
        <v>17</v>
      </c>
      <c r="D1245" s="5" t="s">
        <v>18</v>
      </c>
      <c r="E1245" s="5" t="s">
        <v>24</v>
      </c>
      <c r="F1245" s="9">
        <v>32</v>
      </c>
      <c r="G1245" s="9">
        <v>319</v>
      </c>
      <c r="H1245" s="5" t="s">
        <v>20</v>
      </c>
      <c r="I1245" s="5" t="s">
        <v>3005</v>
      </c>
      <c r="J1245" s="12" t="str">
        <f>HYPERLINK("https://www.boe.es/gazeta/dias/1806/04/15/pdfs/GMD-1806-32.pdf#page=11","Abrir facsímil")</f>
        <v>Abrir facsímil</v>
      </c>
      <c r="K1245" s="15" t="s">
        <v>22</v>
      </c>
    </row>
    <row r="1246" spans="1:11" ht="42" customHeight="1">
      <c r="A1246" s="4" t="s">
        <v>3006</v>
      </c>
      <c r="B1246" s="5" t="s">
        <v>3007</v>
      </c>
      <c r="C1246" s="5" t="s">
        <v>36</v>
      </c>
      <c r="D1246" s="5" t="s">
        <v>37</v>
      </c>
      <c r="E1246" s="5" t="s">
        <v>24</v>
      </c>
      <c r="F1246" s="9">
        <v>32</v>
      </c>
      <c r="G1246" s="9">
        <v>319</v>
      </c>
      <c r="H1246" s="5" t="s">
        <v>20</v>
      </c>
      <c r="I1246" s="5" t="s">
        <v>3008</v>
      </c>
      <c r="J1246" s="12" t="str">
        <f>HYPERLINK("https://www.boe.es/gazeta/dias/1806/04/15/pdfs/GMD-1806-32.pdf#page=11","Abrir facsímil")</f>
        <v>Abrir facsímil</v>
      </c>
      <c r="K1246" s="15" t="s">
        <v>22</v>
      </c>
    </row>
    <row r="1247" spans="1:11" ht="42" customHeight="1">
      <c r="A1247" s="4" t="s">
        <v>3009</v>
      </c>
      <c r="B1247" s="5" t="s">
        <v>3010</v>
      </c>
      <c r="C1247" s="5" t="s">
        <v>36</v>
      </c>
      <c r="D1247" s="5" t="s">
        <v>37</v>
      </c>
      <c r="E1247" s="5" t="s">
        <v>26</v>
      </c>
      <c r="F1247" s="9">
        <v>65</v>
      </c>
      <c r="G1247" s="9">
        <v>684</v>
      </c>
      <c r="H1247" s="5" t="s">
        <v>20</v>
      </c>
      <c r="I1247" s="5" t="s">
        <v>3011</v>
      </c>
      <c r="J1247" s="12" t="str">
        <f>HYPERLINK("https://www.boe.es/gazeta/dias/1806/08/08/pdfs/GMD-1806-65.pdf#page=12","Abrir facsímil")</f>
        <v>Abrir facsímil</v>
      </c>
      <c r="K1247" s="15" t="s">
        <v>22</v>
      </c>
    </row>
    <row r="1248" spans="1:11" ht="42" customHeight="1">
      <c r="A1248" s="4" t="s">
        <v>3012</v>
      </c>
      <c r="B1248" s="5" t="s">
        <v>3013</v>
      </c>
      <c r="C1248" s="5" t="s">
        <v>75</v>
      </c>
      <c r="D1248" s="5" t="s">
        <v>43</v>
      </c>
      <c r="E1248" s="5" t="s">
        <v>434</v>
      </c>
      <c r="F1248" s="9">
        <v>74</v>
      </c>
      <c r="G1248" s="9" t="s">
        <v>1084</v>
      </c>
      <c r="H1248" s="5" t="s">
        <v>20</v>
      </c>
      <c r="I1248" s="5" t="s">
        <v>3014</v>
      </c>
      <c r="J1248" s="12" t="str">
        <f>HYPERLINK("https://www.boe.es/gazeta/dias/1806/09/09/pdfs/GMD-C-1806-74.pdf#page=4","Abrir facsímil")</f>
        <v>Abrir facsímil</v>
      </c>
      <c r="K1248" s="15" t="s">
        <v>22</v>
      </c>
    </row>
    <row r="1249" spans="1:11" ht="42" customHeight="1">
      <c r="A1249" s="4" t="s">
        <v>3015</v>
      </c>
      <c r="B1249" s="5" t="s">
        <v>3016</v>
      </c>
      <c r="C1249" s="5" t="s">
        <v>31</v>
      </c>
      <c r="D1249" s="5" t="s">
        <v>32</v>
      </c>
      <c r="E1249" s="5" t="s">
        <v>680</v>
      </c>
      <c r="F1249" s="9">
        <v>97</v>
      </c>
      <c r="G1249" s="9">
        <v>1029</v>
      </c>
      <c r="H1249" s="5" t="s">
        <v>20</v>
      </c>
      <c r="I1249" s="5" t="s">
        <v>3017</v>
      </c>
      <c r="J1249" s="12" t="str">
        <f>HYPERLINK("https://www.boe.es/gazeta/dias/1806/11/28/pdfs/GMD-1806-97.pdf#page=9","Abrir facsímil")</f>
        <v>Abrir facsímil</v>
      </c>
      <c r="K1249" s="15" t="s">
        <v>22</v>
      </c>
    </row>
    <row r="1250" spans="1:11" ht="42" customHeight="1">
      <c r="A1250" s="4" t="s">
        <v>3018</v>
      </c>
      <c r="B1250" s="5" t="s">
        <v>3019</v>
      </c>
      <c r="C1250" s="5" t="s">
        <v>69</v>
      </c>
      <c r="D1250" s="5" t="s">
        <v>70</v>
      </c>
      <c r="E1250" s="5" t="s">
        <v>340</v>
      </c>
      <c r="F1250" s="9">
        <v>31</v>
      </c>
      <c r="G1250" s="9">
        <v>300</v>
      </c>
      <c r="H1250" s="5" t="s">
        <v>20</v>
      </c>
      <c r="I1250" s="5" t="s">
        <v>3020</v>
      </c>
      <c r="J1250" s="12" t="str">
        <f>HYPERLINK("https://www.boe.es/gazeta/dias/1806/04/11/pdfs/GMD-1806-31.pdf#page=4","Abrir facsímil")</f>
        <v>Abrir facsímil</v>
      </c>
      <c r="K1250" s="15" t="s">
        <v>22</v>
      </c>
    </row>
    <row r="1251" spans="1:11" ht="42" customHeight="1">
      <c r="A1251" s="4" t="s">
        <v>3021</v>
      </c>
      <c r="B1251" s="5" t="s">
        <v>3022</v>
      </c>
      <c r="C1251" s="5" t="s">
        <v>75</v>
      </c>
      <c r="D1251" s="5" t="s">
        <v>43</v>
      </c>
      <c r="E1251" s="5" t="s">
        <v>175</v>
      </c>
      <c r="F1251" s="9">
        <v>40</v>
      </c>
      <c r="G1251" s="9">
        <v>389</v>
      </c>
      <c r="H1251" s="5" t="s">
        <v>20</v>
      </c>
      <c r="I1251" s="5" t="s">
        <v>3023</v>
      </c>
      <c r="J1251" s="12" t="str">
        <f>HYPERLINK("https://www.boe.es/gazeta/dias/1806/05/13/pdfs/GMD-1806-40.pdf#page=1","Abrir facsímil")</f>
        <v>Abrir facsímil</v>
      </c>
      <c r="K1251" s="15" t="s">
        <v>22</v>
      </c>
    </row>
    <row r="1252" spans="1:11" ht="42" customHeight="1">
      <c r="A1252" s="4" t="s">
        <v>3024</v>
      </c>
      <c r="B1252" s="5" t="s">
        <v>3025</v>
      </c>
      <c r="C1252" s="5" t="s">
        <v>17</v>
      </c>
      <c r="D1252" s="5" t="s">
        <v>18</v>
      </c>
      <c r="E1252" s="5" t="s">
        <v>62</v>
      </c>
      <c r="F1252" s="9">
        <v>45</v>
      </c>
      <c r="G1252" s="9">
        <v>456</v>
      </c>
      <c r="H1252" s="5" t="s">
        <v>20</v>
      </c>
      <c r="I1252" s="5" t="s">
        <v>3026</v>
      </c>
      <c r="J1252" s="12" t="str">
        <f>HYPERLINK("https://www.boe.es/gazeta/dias/1806/05/30/pdfs/GMD-1806-45.pdf#page=8","Abrir facsímil")</f>
        <v>Abrir facsímil</v>
      </c>
      <c r="K1252" s="15" t="s">
        <v>22</v>
      </c>
    </row>
    <row r="1253" spans="1:11" ht="42" customHeight="1">
      <c r="A1253" s="4" t="s">
        <v>3027</v>
      </c>
      <c r="B1253" s="5" t="s">
        <v>3028</v>
      </c>
      <c r="C1253" s="5" t="s">
        <v>42</v>
      </c>
      <c r="D1253" s="5" t="s">
        <v>43</v>
      </c>
      <c r="E1253" s="5" t="s">
        <v>400</v>
      </c>
      <c r="F1253" s="9">
        <v>22</v>
      </c>
      <c r="G1253" s="9">
        <v>207</v>
      </c>
      <c r="H1253" s="5" t="s">
        <v>20</v>
      </c>
      <c r="I1253" s="5" t="s">
        <v>3029</v>
      </c>
      <c r="J1253" s="12" t="str">
        <f>HYPERLINK("https://www.boe.es/gazeta/dias/1806/03/11/pdfs/GMD-1806-22.pdf#page=7","Abrir facsímil")</f>
        <v>Abrir facsímil</v>
      </c>
      <c r="K1253" s="15" t="s">
        <v>22</v>
      </c>
    </row>
    <row r="1254" spans="1:11" ht="42" customHeight="1">
      <c r="A1254" s="4" t="s">
        <v>3030</v>
      </c>
      <c r="B1254" s="5" t="s">
        <v>3031</v>
      </c>
      <c r="C1254" s="5" t="s">
        <v>17</v>
      </c>
      <c r="D1254" s="5" t="s">
        <v>18</v>
      </c>
      <c r="E1254" s="5" t="s">
        <v>220</v>
      </c>
      <c r="F1254" s="9">
        <v>24</v>
      </c>
      <c r="G1254" s="9">
        <v>232</v>
      </c>
      <c r="H1254" s="5" t="s">
        <v>20</v>
      </c>
      <c r="I1254" s="5" t="s">
        <v>3032</v>
      </c>
      <c r="J1254" s="12" t="str">
        <f>HYPERLINK("https://www.boe.es/gazeta/dias/1806/03/18/pdfs/GMD-1806-24.pdf#page=8","Abrir facsímil")</f>
        <v>Abrir facsímil</v>
      </c>
      <c r="K1254" s="15" t="s">
        <v>22</v>
      </c>
    </row>
    <row r="1255" spans="1:11" ht="42" customHeight="1">
      <c r="A1255" s="4" t="s">
        <v>3033</v>
      </c>
      <c r="B1255" s="5" t="s">
        <v>3034</v>
      </c>
      <c r="C1255" s="5" t="s">
        <v>31</v>
      </c>
      <c r="D1255" s="5" t="s">
        <v>32</v>
      </c>
      <c r="E1255" s="5" t="s">
        <v>185</v>
      </c>
      <c r="F1255" s="9">
        <v>46</v>
      </c>
      <c r="G1255" s="9">
        <v>469</v>
      </c>
      <c r="H1255" s="5" t="s">
        <v>20</v>
      </c>
      <c r="I1255" s="5" t="s">
        <v>3035</v>
      </c>
      <c r="J1255" s="12" t="str">
        <f>HYPERLINK("https://www.boe.es/gazeta/dias/1806/06/03/pdfs/GMD-1806-46.pdf#page=9","Abrir facsímil")</f>
        <v>Abrir facsímil</v>
      </c>
      <c r="K1255" s="15" t="s">
        <v>22</v>
      </c>
    </row>
    <row r="1256" spans="1:11" ht="42" customHeight="1">
      <c r="A1256" s="4" t="s">
        <v>3036</v>
      </c>
      <c r="B1256" s="5" t="s">
        <v>3037</v>
      </c>
      <c r="C1256" s="5" t="s">
        <v>31</v>
      </c>
      <c r="D1256" s="5" t="s">
        <v>32</v>
      </c>
      <c r="E1256" s="5" t="s">
        <v>271</v>
      </c>
      <c r="F1256" s="9">
        <v>6</v>
      </c>
      <c r="G1256" s="9">
        <v>54</v>
      </c>
      <c r="H1256" s="5" t="s">
        <v>20</v>
      </c>
      <c r="I1256" s="5" t="s">
        <v>3038</v>
      </c>
      <c r="J1256" s="12" t="str">
        <f>HYPERLINK("https://www.boe.es/gazeta/dias/1806/01/17/pdfs/GMD-1806-6.pdf#page=10","Abrir facsímil")</f>
        <v>Abrir facsímil</v>
      </c>
      <c r="K1256" s="15" t="s">
        <v>22</v>
      </c>
    </row>
    <row r="1257" spans="1:11" ht="42" customHeight="1">
      <c r="A1257" s="4" t="s">
        <v>3039</v>
      </c>
      <c r="B1257" s="5" t="s">
        <v>3040</v>
      </c>
      <c r="C1257" s="5" t="s">
        <v>42</v>
      </c>
      <c r="D1257" s="5" t="s">
        <v>43</v>
      </c>
      <c r="E1257" s="5" t="s">
        <v>185</v>
      </c>
      <c r="F1257" s="9">
        <v>46</v>
      </c>
      <c r="G1257" s="9">
        <v>469</v>
      </c>
      <c r="H1257" s="5" t="s">
        <v>20</v>
      </c>
      <c r="I1257" s="5" t="s">
        <v>3041</v>
      </c>
      <c r="J1257" s="12" t="str">
        <f>HYPERLINK("https://www.boe.es/gazeta/dias/1806/06/03/pdfs/GMD-1806-46.pdf#page=9","Abrir facsímil")</f>
        <v>Abrir facsímil</v>
      </c>
      <c r="K1257" s="15" t="s">
        <v>22</v>
      </c>
    </row>
    <row r="1258" spans="1:11" ht="42" customHeight="1">
      <c r="A1258" s="4" t="s">
        <v>3042</v>
      </c>
      <c r="B1258" s="5" t="s">
        <v>3043</v>
      </c>
      <c r="C1258" s="5" t="s">
        <v>42</v>
      </c>
      <c r="D1258" s="5" t="s">
        <v>43</v>
      </c>
      <c r="E1258" s="5" t="s">
        <v>438</v>
      </c>
      <c r="F1258" s="9">
        <v>70</v>
      </c>
      <c r="G1258" s="9">
        <v>730</v>
      </c>
      <c r="H1258" s="5" t="s">
        <v>20</v>
      </c>
      <c r="I1258" s="5" t="s">
        <v>3044</v>
      </c>
      <c r="J1258" s="12" t="str">
        <f>HYPERLINK("https://www.boe.es/gazeta/dias/1806/08/26/pdfs/GMD-1806-70.pdf#page=6","Abrir facsímil")</f>
        <v>Abrir facsímil</v>
      </c>
      <c r="K1258" s="15" t="s">
        <v>22</v>
      </c>
    </row>
    <row r="1259" spans="1:11" ht="42" customHeight="1">
      <c r="A1259" s="4" t="s">
        <v>3045</v>
      </c>
      <c r="B1259" s="5" t="s">
        <v>3046</v>
      </c>
      <c r="C1259" s="5" t="s">
        <v>31</v>
      </c>
      <c r="D1259" s="5" t="s">
        <v>32</v>
      </c>
      <c r="E1259" s="5" t="s">
        <v>71</v>
      </c>
      <c r="F1259" s="9">
        <v>29</v>
      </c>
      <c r="G1259" s="9">
        <v>287</v>
      </c>
      <c r="H1259" s="5" t="s">
        <v>20</v>
      </c>
      <c r="I1259" s="5" t="s">
        <v>3047</v>
      </c>
      <c r="J1259" s="12" t="str">
        <f>HYPERLINK("https://www.boe.es/gazeta/dias/1806/04/04/pdfs/GMD-1806-29.pdf#page=7","Abrir facsímil")</f>
        <v>Abrir facsímil</v>
      </c>
      <c r="K1259" s="15" t="s">
        <v>22</v>
      </c>
    </row>
    <row r="1260" spans="1:11" ht="42" customHeight="1">
      <c r="A1260" s="4" t="s">
        <v>3048</v>
      </c>
      <c r="B1260" s="5" t="s">
        <v>3049</v>
      </c>
      <c r="C1260" s="5" t="s">
        <v>42</v>
      </c>
      <c r="D1260" s="5" t="s">
        <v>43</v>
      </c>
      <c r="E1260" s="5" t="s">
        <v>483</v>
      </c>
      <c r="F1260" s="9">
        <v>58</v>
      </c>
      <c r="G1260" s="9">
        <v>602</v>
      </c>
      <c r="H1260" s="5" t="s">
        <v>20</v>
      </c>
      <c r="I1260" s="5" t="s">
        <v>3050</v>
      </c>
      <c r="J1260" s="12" t="str">
        <f>HYPERLINK("https://www.boe.es/gazeta/dias/1806/07/15/pdfs/GMD-1806-58.pdf#page=6","Abrir facsímil")</f>
        <v>Abrir facsímil</v>
      </c>
      <c r="K1260" s="15" t="s">
        <v>22</v>
      </c>
    </row>
    <row r="1261" spans="1:11" ht="42" customHeight="1">
      <c r="A1261" s="4" t="s">
        <v>3051</v>
      </c>
      <c r="B1261" s="5" t="s">
        <v>3052</v>
      </c>
      <c r="C1261" s="5" t="s">
        <v>31</v>
      </c>
      <c r="D1261" s="5" t="s">
        <v>32</v>
      </c>
      <c r="E1261" s="5" t="s">
        <v>202</v>
      </c>
      <c r="F1261" s="9">
        <v>30</v>
      </c>
      <c r="G1261" s="9">
        <v>295</v>
      </c>
      <c r="H1261" s="5" t="s">
        <v>20</v>
      </c>
      <c r="I1261" s="5" t="s">
        <v>3053</v>
      </c>
      <c r="J1261" s="12" t="str">
        <f>HYPERLINK("https://www.boe.es/gazeta/dias/1806/04/08/pdfs/GMD-1806-30.pdf#page=7","Abrir facsímil")</f>
        <v>Abrir facsímil</v>
      </c>
      <c r="K1261" s="15" t="s">
        <v>22</v>
      </c>
    </row>
    <row r="1262" spans="1:11" ht="42" customHeight="1">
      <c r="A1262" s="4" t="s">
        <v>3054</v>
      </c>
      <c r="B1262" s="5" t="s">
        <v>3055</v>
      </c>
      <c r="C1262" s="5" t="s">
        <v>36</v>
      </c>
      <c r="D1262" s="5" t="s">
        <v>37</v>
      </c>
      <c r="E1262" s="5" t="s">
        <v>340</v>
      </c>
      <c r="F1262" s="9">
        <v>31</v>
      </c>
      <c r="G1262" s="9">
        <v>308</v>
      </c>
      <c r="H1262" s="5" t="s">
        <v>20</v>
      </c>
      <c r="I1262" s="5" t="s">
        <v>3056</v>
      </c>
      <c r="J1262" s="12" t="str">
        <f>HYPERLINK("https://www.boe.es/gazeta/dias/1806/04/11/pdfs/GMD-1806-31.pdf#page=12","Abrir facsímil")</f>
        <v>Abrir facsímil</v>
      </c>
      <c r="K1262" s="15" t="s">
        <v>22</v>
      </c>
    </row>
    <row r="1263" spans="1:11" ht="42" customHeight="1">
      <c r="A1263" s="4" t="s">
        <v>3057</v>
      </c>
      <c r="B1263" s="5" t="s">
        <v>3058</v>
      </c>
      <c r="C1263" s="5" t="s">
        <v>42</v>
      </c>
      <c r="D1263" s="5" t="s">
        <v>43</v>
      </c>
      <c r="E1263" s="5" t="s">
        <v>383</v>
      </c>
      <c r="F1263" s="9">
        <v>54</v>
      </c>
      <c r="G1263" s="9">
        <v>562</v>
      </c>
      <c r="H1263" s="5" t="s">
        <v>20</v>
      </c>
      <c r="I1263" s="5" t="s">
        <v>3059</v>
      </c>
      <c r="J1263" s="12" t="str">
        <f>HYPERLINK("https://www.boe.es/gazeta/dias/1806/07/01/pdfs/GMD-1806-54.pdf#page=6","Abrir facsímil")</f>
        <v>Abrir facsímil</v>
      </c>
      <c r="K1263" s="15" t="s">
        <v>22</v>
      </c>
    </row>
    <row r="1264" spans="1:11" ht="42" customHeight="1">
      <c r="A1264" s="4" t="s">
        <v>3060</v>
      </c>
      <c r="B1264" s="5" t="s">
        <v>3061</v>
      </c>
      <c r="C1264" s="5" t="s">
        <v>42</v>
      </c>
      <c r="D1264" s="5" t="s">
        <v>43</v>
      </c>
      <c r="E1264" s="5" t="s">
        <v>140</v>
      </c>
      <c r="F1264" s="9">
        <v>83</v>
      </c>
      <c r="G1264" s="9">
        <v>863</v>
      </c>
      <c r="H1264" s="5" t="s">
        <v>20</v>
      </c>
      <c r="I1264" s="5" t="s">
        <v>3062</v>
      </c>
      <c r="J1264" s="12" t="str">
        <f>HYPERLINK("https://www.boe.es/gazeta/dias/1806/10/10/pdfs/GMD-1806-83.pdf#page=11","Abrir facsímil")</f>
        <v>Abrir facsímil</v>
      </c>
      <c r="K1264" s="15" t="s">
        <v>22</v>
      </c>
    </row>
    <row r="1265" spans="1:11" ht="42" customHeight="1">
      <c r="A1265" s="4" t="s">
        <v>3063</v>
      </c>
      <c r="B1265" s="5" t="s">
        <v>3064</v>
      </c>
      <c r="C1265" s="5" t="s">
        <v>31</v>
      </c>
      <c r="D1265" s="5" t="s">
        <v>32</v>
      </c>
      <c r="E1265" s="5" t="s">
        <v>24</v>
      </c>
      <c r="F1265" s="9">
        <v>32</v>
      </c>
      <c r="G1265" s="9">
        <v>317</v>
      </c>
      <c r="H1265" s="5" t="s">
        <v>20</v>
      </c>
      <c r="I1265" s="5" t="s">
        <v>3065</v>
      </c>
      <c r="J1265" s="12" t="str">
        <f>HYPERLINK("https://www.boe.es/gazeta/dias/1806/04/15/pdfs/GMD-1806-32.pdf#page=9","Abrir facsímil")</f>
        <v>Abrir facsímil</v>
      </c>
      <c r="K1265" s="15" t="s">
        <v>22</v>
      </c>
    </row>
    <row r="1266" spans="1:11" ht="42" customHeight="1">
      <c r="A1266" s="4" t="s">
        <v>3066</v>
      </c>
      <c r="B1266" s="5" t="s">
        <v>3067</v>
      </c>
      <c r="C1266" s="5" t="s">
        <v>31</v>
      </c>
      <c r="D1266" s="5" t="s">
        <v>32</v>
      </c>
      <c r="E1266" s="5" t="s">
        <v>205</v>
      </c>
      <c r="F1266" s="9">
        <v>57</v>
      </c>
      <c r="G1266" s="9">
        <v>596</v>
      </c>
      <c r="H1266" s="5" t="s">
        <v>20</v>
      </c>
      <c r="I1266" s="5" t="s">
        <v>3068</v>
      </c>
      <c r="J1266" s="12" t="str">
        <f>HYPERLINK("https://www.boe.es/gazeta/dias/1806/07/11/pdfs/GMD-1806-57.pdf#page=8","Abrir facsímil")</f>
        <v>Abrir facsímil</v>
      </c>
      <c r="K1266" s="15" t="s">
        <v>22</v>
      </c>
    </row>
    <row r="1267" spans="1:11" ht="42" customHeight="1">
      <c r="A1267" s="4" t="s">
        <v>3069</v>
      </c>
      <c r="B1267" s="5" t="s">
        <v>3070</v>
      </c>
      <c r="C1267" s="5" t="s">
        <v>31</v>
      </c>
      <c r="D1267" s="5" t="s">
        <v>32</v>
      </c>
      <c r="E1267" s="5" t="s">
        <v>554</v>
      </c>
      <c r="F1267" s="9">
        <v>90</v>
      </c>
      <c r="G1267" s="9">
        <v>933</v>
      </c>
      <c r="H1267" s="5" t="s">
        <v>20</v>
      </c>
      <c r="I1267" s="5" t="s">
        <v>3071</v>
      </c>
      <c r="J1267" s="12" t="str">
        <f>HYPERLINK("https://www.boe.es/gazeta/dias/1806/11/04/pdfs/GMD-1806-90.pdf#page=9","Abrir facsímil")</f>
        <v>Abrir facsímil</v>
      </c>
      <c r="K1267" s="15" t="s">
        <v>22</v>
      </c>
    </row>
    <row r="1268" spans="1:11" ht="42" customHeight="1">
      <c r="A1268" s="4" t="s">
        <v>3072</v>
      </c>
      <c r="B1268" s="5" t="s">
        <v>3073</v>
      </c>
      <c r="C1268" s="5" t="s">
        <v>31</v>
      </c>
      <c r="D1268" s="5" t="s">
        <v>32</v>
      </c>
      <c r="E1268" s="5" t="s">
        <v>100</v>
      </c>
      <c r="F1268" s="9">
        <v>7</v>
      </c>
      <c r="G1268" s="9">
        <v>65</v>
      </c>
      <c r="H1268" s="5" t="s">
        <v>20</v>
      </c>
      <c r="I1268" s="5" t="s">
        <v>3074</v>
      </c>
      <c r="J1268" s="12" t="str">
        <f>HYPERLINK("https://www.boe.es/gazeta/dias/1806/01/21/pdfs/GMD-1806-7.pdf#page=9","Abrir facsímil")</f>
        <v>Abrir facsímil</v>
      </c>
      <c r="K1268" s="15" t="s">
        <v>22</v>
      </c>
    </row>
    <row r="1269" spans="1:11" ht="42" customHeight="1">
      <c r="A1269" s="4" t="s">
        <v>3075</v>
      </c>
      <c r="B1269" s="5" t="s">
        <v>3076</v>
      </c>
      <c r="C1269" s="5" t="s">
        <v>447</v>
      </c>
      <c r="D1269" s="5" t="s">
        <v>448</v>
      </c>
      <c r="E1269" s="5" t="s">
        <v>304</v>
      </c>
      <c r="F1269" s="9">
        <v>47</v>
      </c>
      <c r="G1269" s="9">
        <v>486</v>
      </c>
      <c r="H1269" s="5" t="s">
        <v>20</v>
      </c>
      <c r="I1269" s="5" t="s">
        <v>3077</v>
      </c>
      <c r="J1269" s="12" t="str">
        <f>HYPERLINK("https://www.boe.es/gazeta/dias/1806/06/06/pdfs/GMD-C-1806-47.pdf#page=6","Abrir facsímil")</f>
        <v>Abrir facsímil</v>
      </c>
      <c r="K1269" s="15" t="s">
        <v>22</v>
      </c>
    </row>
    <row r="1270" spans="1:11" ht="42" customHeight="1">
      <c r="A1270" s="4" t="s">
        <v>3078</v>
      </c>
      <c r="B1270" s="5" t="s">
        <v>3079</v>
      </c>
      <c r="C1270" s="5" t="s">
        <v>447</v>
      </c>
      <c r="D1270" s="5" t="s">
        <v>448</v>
      </c>
      <c r="E1270" s="5" t="s">
        <v>304</v>
      </c>
      <c r="F1270" s="9">
        <v>47</v>
      </c>
      <c r="G1270" s="9">
        <v>483</v>
      </c>
      <c r="H1270" s="5" t="s">
        <v>20</v>
      </c>
      <c r="I1270" s="5" t="s">
        <v>3080</v>
      </c>
      <c r="J1270" s="12" t="str">
        <f>HYPERLINK("https://www.boe.es/gazeta/dias/1806/06/06/pdfs/GMD-C-1806-47.pdf#page=3","Abrir facsímil")</f>
        <v>Abrir facsímil</v>
      </c>
      <c r="K1270" s="15" t="s">
        <v>22</v>
      </c>
    </row>
    <row r="1271" spans="1:11" ht="42" customHeight="1">
      <c r="A1271" s="4" t="s">
        <v>3081</v>
      </c>
      <c r="B1271" s="5" t="s">
        <v>3082</v>
      </c>
      <c r="C1271" s="5" t="s">
        <v>447</v>
      </c>
      <c r="D1271" s="5" t="s">
        <v>448</v>
      </c>
      <c r="E1271" s="5" t="s">
        <v>304</v>
      </c>
      <c r="F1271" s="9">
        <v>47</v>
      </c>
      <c r="G1271" s="9">
        <v>483</v>
      </c>
      <c r="H1271" s="5" t="s">
        <v>20</v>
      </c>
      <c r="I1271" s="5" t="s">
        <v>3083</v>
      </c>
      <c r="J1271" s="12" t="str">
        <f>HYPERLINK("https://www.boe.es/gazeta/dias/1806/06/06/pdfs/GMD-C-1806-47.pdf#page=3","Abrir facsímil")</f>
        <v>Abrir facsímil</v>
      </c>
      <c r="K1271" s="15" t="s">
        <v>22</v>
      </c>
    </row>
    <row r="1272" spans="1:11" ht="42" customHeight="1">
      <c r="A1272" s="4" t="s">
        <v>3084</v>
      </c>
      <c r="B1272" s="5" t="s">
        <v>3085</v>
      </c>
      <c r="C1272" s="5" t="s">
        <v>31</v>
      </c>
      <c r="D1272" s="5" t="s">
        <v>32</v>
      </c>
      <c r="E1272" s="5" t="s">
        <v>689</v>
      </c>
      <c r="F1272" s="9">
        <v>37</v>
      </c>
      <c r="G1272" s="9">
        <v>361</v>
      </c>
      <c r="H1272" s="5" t="s">
        <v>20</v>
      </c>
      <c r="I1272" s="5" t="s">
        <v>3086</v>
      </c>
      <c r="J1272" s="12" t="str">
        <f>HYPERLINK("https://www.boe.es/gazeta/dias/1806/05/02/pdfs/GMD-1806-37.pdf#page=9","Abrir facsímil")</f>
        <v>Abrir facsímil</v>
      </c>
      <c r="K1272" s="15" t="s">
        <v>22</v>
      </c>
    </row>
    <row r="1273" spans="1:11" ht="42" customHeight="1">
      <c r="A1273" s="4" t="s">
        <v>3087</v>
      </c>
      <c r="B1273" s="5" t="s">
        <v>3088</v>
      </c>
      <c r="C1273" s="5" t="s">
        <v>75</v>
      </c>
      <c r="D1273" s="5" t="s">
        <v>43</v>
      </c>
      <c r="E1273" s="5" t="s">
        <v>716</v>
      </c>
      <c r="F1273" s="9">
        <v>56</v>
      </c>
      <c r="G1273" s="9">
        <v>586</v>
      </c>
      <c r="H1273" s="5" t="s">
        <v>20</v>
      </c>
      <c r="I1273" s="5" t="s">
        <v>3089</v>
      </c>
      <c r="J1273" s="12" t="str">
        <f>HYPERLINK("https://www.boe.es/gazeta/dias/1806/07/08/pdfs/GMD-1806-56.pdf#page=10","Abrir facsímil")</f>
        <v>Abrir facsímil</v>
      </c>
      <c r="K1273" s="15" t="s">
        <v>22</v>
      </c>
    </row>
    <row r="1274" spans="1:11" ht="42" customHeight="1">
      <c r="A1274" s="4" t="s">
        <v>3087</v>
      </c>
      <c r="B1274" s="5" t="s">
        <v>3088</v>
      </c>
      <c r="C1274" s="5" t="s">
        <v>75</v>
      </c>
      <c r="D1274" s="5" t="s">
        <v>43</v>
      </c>
      <c r="E1274" s="5" t="s">
        <v>90</v>
      </c>
      <c r="F1274" s="9">
        <v>60</v>
      </c>
      <c r="G1274" s="9">
        <v>625</v>
      </c>
      <c r="H1274" s="5" t="s">
        <v>20</v>
      </c>
      <c r="I1274" s="5" t="s">
        <v>3090</v>
      </c>
      <c r="J1274" s="12" t="str">
        <f>HYPERLINK("https://www.boe.es/gazeta/dias/1806/07/22/pdfs/GMD-1806-60.pdf#page=9","Abrir facsímil")</f>
        <v>Abrir facsímil</v>
      </c>
      <c r="K1274" s="15" t="s">
        <v>22</v>
      </c>
    </row>
    <row r="1275" spans="1:11" ht="42" customHeight="1">
      <c r="A1275" s="4" t="s">
        <v>3091</v>
      </c>
      <c r="B1275" s="5" t="s">
        <v>3092</v>
      </c>
      <c r="C1275" s="5" t="s">
        <v>17</v>
      </c>
      <c r="D1275" s="5" t="s">
        <v>18</v>
      </c>
      <c r="E1275" s="5" t="s">
        <v>26</v>
      </c>
      <c r="F1275" s="9">
        <v>65</v>
      </c>
      <c r="G1275" s="9">
        <v>683</v>
      </c>
      <c r="H1275" s="5" t="s">
        <v>20</v>
      </c>
      <c r="I1275" s="5" t="s">
        <v>3093</v>
      </c>
      <c r="J1275" s="12" t="str">
        <f>HYPERLINK("https://www.boe.es/gazeta/dias/1806/08/08/pdfs/GMD-1806-65.pdf#page=11","Abrir facsímil")</f>
        <v>Abrir facsímil</v>
      </c>
      <c r="K1275" s="15" t="s">
        <v>22</v>
      </c>
    </row>
    <row r="1276" spans="1:11" ht="42" customHeight="1">
      <c r="A1276" s="4" t="s">
        <v>3094</v>
      </c>
      <c r="B1276" s="5" t="s">
        <v>3095</v>
      </c>
      <c r="C1276" s="5" t="s">
        <v>31</v>
      </c>
      <c r="D1276" s="5" t="s">
        <v>32</v>
      </c>
      <c r="E1276" s="5" t="s">
        <v>301</v>
      </c>
      <c r="F1276" s="9">
        <v>75</v>
      </c>
      <c r="G1276" s="9">
        <v>776</v>
      </c>
      <c r="H1276" s="5" t="s">
        <v>20</v>
      </c>
      <c r="I1276" s="5" t="s">
        <v>3096</v>
      </c>
      <c r="J1276" s="12" t="str">
        <f>HYPERLINK("https://www.boe.es/gazeta/dias/1806/09/12/pdfs/GMD-1806-75.pdf#page=8","Abrir facsímil")</f>
        <v>Abrir facsímil</v>
      </c>
      <c r="K1276" s="15" t="s">
        <v>22</v>
      </c>
    </row>
    <row r="1277" spans="1:11" ht="42" customHeight="1">
      <c r="A1277" s="4" t="s">
        <v>3097</v>
      </c>
      <c r="B1277" s="5" t="s">
        <v>3098</v>
      </c>
      <c r="C1277" s="5" t="s">
        <v>31</v>
      </c>
      <c r="D1277" s="5" t="s">
        <v>32</v>
      </c>
      <c r="E1277" s="5" t="s">
        <v>55</v>
      </c>
      <c r="F1277" s="9">
        <v>20</v>
      </c>
      <c r="G1277" s="9">
        <v>184</v>
      </c>
      <c r="H1277" s="5" t="s">
        <v>20</v>
      </c>
      <c r="I1277" s="5" t="s">
        <v>3099</v>
      </c>
      <c r="J1277" s="12" t="str">
        <f>HYPERLINK("https://www.boe.es/gazeta/dias/1806/03/04/pdfs/GMD-1806-20.pdf#page=8","Abrir facsímil")</f>
        <v>Abrir facsímil</v>
      </c>
      <c r="K1277" s="15" t="s">
        <v>22</v>
      </c>
    </row>
    <row r="1278" spans="1:11" ht="42" customHeight="1">
      <c r="A1278" s="4" t="s">
        <v>3100</v>
      </c>
      <c r="B1278" s="5" t="s">
        <v>3101</v>
      </c>
      <c r="C1278" s="5" t="s">
        <v>31</v>
      </c>
      <c r="D1278" s="5" t="s">
        <v>32</v>
      </c>
      <c r="E1278" s="5" t="s">
        <v>124</v>
      </c>
      <c r="F1278" s="9">
        <v>25</v>
      </c>
      <c r="G1278" s="9">
        <v>245</v>
      </c>
      <c r="H1278" s="5" t="s">
        <v>20</v>
      </c>
      <c r="I1278" s="5" t="s">
        <v>3102</v>
      </c>
      <c r="J1278" s="12" t="str">
        <f>HYPERLINK("https://www.boe.es/gazeta/dias/1806/03/21/pdfs/GMD-1806-25.pdf#page=9","Abrir facsímil")</f>
        <v>Abrir facsímil</v>
      </c>
      <c r="K1278" s="15" t="s">
        <v>22</v>
      </c>
    </row>
    <row r="1279" spans="1:11" ht="42" customHeight="1">
      <c r="A1279" s="4" t="s">
        <v>3103</v>
      </c>
      <c r="B1279" s="5" t="s">
        <v>3104</v>
      </c>
      <c r="C1279" s="5" t="s">
        <v>17</v>
      </c>
      <c r="D1279" s="5" t="s">
        <v>18</v>
      </c>
      <c r="E1279" s="5" t="s">
        <v>271</v>
      </c>
      <c r="F1279" s="9">
        <v>6</v>
      </c>
      <c r="G1279" s="9">
        <v>54</v>
      </c>
      <c r="H1279" s="5" t="s">
        <v>20</v>
      </c>
      <c r="I1279" s="5" t="s">
        <v>3105</v>
      </c>
      <c r="J1279" s="12" t="str">
        <f>HYPERLINK("https://www.boe.es/gazeta/dias/1806/01/17/pdfs/GMD-1806-6.pdf#page=10","Abrir facsímil")</f>
        <v>Abrir facsímil</v>
      </c>
      <c r="K1279" s="15" t="s">
        <v>22</v>
      </c>
    </row>
    <row r="1280" spans="1:11" ht="42" customHeight="1">
      <c r="A1280" s="4" t="s">
        <v>3106</v>
      </c>
      <c r="B1280" s="5" t="s">
        <v>3107</v>
      </c>
      <c r="C1280" s="5" t="s">
        <v>75</v>
      </c>
      <c r="D1280" s="5" t="s">
        <v>43</v>
      </c>
      <c r="E1280" s="5" t="s">
        <v>570</v>
      </c>
      <c r="F1280" s="9">
        <v>93</v>
      </c>
      <c r="G1280" s="9">
        <v>980</v>
      </c>
      <c r="H1280" s="5" t="s">
        <v>20</v>
      </c>
      <c r="I1280" s="5" t="s">
        <v>3108</v>
      </c>
      <c r="J1280" s="12" t="str">
        <f>HYPERLINK("https://www.boe.es/gazeta/dias/1806/11/14/pdfs/GMD-1806-93.pdf#page=16","Abrir facsímil")</f>
        <v>Abrir facsímil</v>
      </c>
      <c r="K1280" s="15" t="s">
        <v>22</v>
      </c>
    </row>
    <row r="1281" spans="1:11" ht="42" customHeight="1">
      <c r="A1281" s="4" t="s">
        <v>3109</v>
      </c>
      <c r="B1281" s="5" t="s">
        <v>3110</v>
      </c>
      <c r="C1281" s="5" t="s">
        <v>75</v>
      </c>
      <c r="D1281" s="5" t="s">
        <v>43</v>
      </c>
      <c r="E1281" s="5" t="s">
        <v>304</v>
      </c>
      <c r="F1281" s="9">
        <v>47</v>
      </c>
      <c r="G1281" s="9">
        <v>479</v>
      </c>
      <c r="H1281" s="5" t="s">
        <v>20</v>
      </c>
      <c r="I1281" s="5" t="s">
        <v>3111</v>
      </c>
      <c r="J1281" s="12" t="str">
        <f>HYPERLINK("https://www.boe.es/gazeta/dias/1806/06/06/pdfs/GMD-1806-47.pdf#page=7","Abrir facsímil")</f>
        <v>Abrir facsímil</v>
      </c>
      <c r="K1281" s="15" t="s">
        <v>22</v>
      </c>
    </row>
    <row r="1282" spans="1:11" ht="42" customHeight="1">
      <c r="A1282" s="4" t="s">
        <v>3109</v>
      </c>
      <c r="B1282" s="5" t="s">
        <v>3110</v>
      </c>
      <c r="C1282" s="5" t="s">
        <v>75</v>
      </c>
      <c r="D1282" s="5" t="s">
        <v>43</v>
      </c>
      <c r="E1282" s="5" t="s">
        <v>279</v>
      </c>
      <c r="F1282" s="9">
        <v>52</v>
      </c>
      <c r="G1282" s="9">
        <v>542</v>
      </c>
      <c r="H1282" s="5" t="s">
        <v>20</v>
      </c>
      <c r="I1282" s="5" t="s">
        <v>3112</v>
      </c>
      <c r="J1282" s="12" t="str">
        <f>HYPERLINK("https://www.boe.es/gazeta/dias/1806/06/24/pdfs/GMD-1806-52.pdf#page=10","Abrir facsímil")</f>
        <v>Abrir facsímil</v>
      </c>
      <c r="K1282" s="15" t="s">
        <v>22</v>
      </c>
    </row>
    <row r="1283" spans="1:11" ht="42" customHeight="1">
      <c r="A1283" s="4" t="s">
        <v>3109</v>
      </c>
      <c r="B1283" s="5" t="s">
        <v>3110</v>
      </c>
      <c r="C1283" s="5" t="s">
        <v>75</v>
      </c>
      <c r="D1283" s="5" t="s">
        <v>43</v>
      </c>
      <c r="E1283" s="5" t="s">
        <v>405</v>
      </c>
      <c r="F1283" s="9">
        <v>80</v>
      </c>
      <c r="G1283" s="9">
        <v>832</v>
      </c>
      <c r="H1283" s="5" t="s">
        <v>20</v>
      </c>
      <c r="I1283" s="5" t="s">
        <v>3113</v>
      </c>
      <c r="J1283" s="12" t="str">
        <f>HYPERLINK("https://www.boe.es/gazeta/dias/1806/09/30/pdfs/GMD-1806-80.pdf#page=12","Abrir facsímil")</f>
        <v>Abrir facsímil</v>
      </c>
      <c r="K1283" s="15" t="s">
        <v>22</v>
      </c>
    </row>
    <row r="1284" spans="1:11" ht="42" customHeight="1">
      <c r="A1284" s="4" t="s">
        <v>3109</v>
      </c>
      <c r="B1284" s="5" t="s">
        <v>3110</v>
      </c>
      <c r="C1284" s="5" t="s">
        <v>75</v>
      </c>
      <c r="D1284" s="5" t="s">
        <v>43</v>
      </c>
      <c r="E1284" s="5" t="s">
        <v>127</v>
      </c>
      <c r="F1284" s="9">
        <v>81</v>
      </c>
      <c r="G1284" s="9">
        <v>839</v>
      </c>
      <c r="H1284" s="5" t="s">
        <v>20</v>
      </c>
      <c r="I1284" s="5" t="s">
        <v>3114</v>
      </c>
      <c r="J1284" s="12" t="str">
        <f>HYPERLINK("https://www.boe.es/gazeta/dias/1806/10/03/pdfs/GMD-1806-81.pdf#page=7","Abrir facsímil")</f>
        <v>Abrir facsímil</v>
      </c>
      <c r="K1284" s="15" t="s">
        <v>22</v>
      </c>
    </row>
    <row r="1285" spans="1:11" ht="42" customHeight="1">
      <c r="A1285" s="4" t="s">
        <v>3109</v>
      </c>
      <c r="B1285" s="5" t="s">
        <v>3110</v>
      </c>
      <c r="C1285" s="5" t="s">
        <v>75</v>
      </c>
      <c r="D1285" s="5" t="s">
        <v>43</v>
      </c>
      <c r="E1285" s="5" t="s">
        <v>140</v>
      </c>
      <c r="F1285" s="9">
        <v>83</v>
      </c>
      <c r="G1285" s="9">
        <v>861</v>
      </c>
      <c r="H1285" s="5" t="s">
        <v>20</v>
      </c>
      <c r="I1285" s="5" t="s">
        <v>3115</v>
      </c>
      <c r="J1285" s="12" t="str">
        <f>HYPERLINK("https://www.boe.es/gazeta/dias/1806/10/10/pdfs/GMD-1806-83.pdf#page=9","Abrir facsímil")</f>
        <v>Abrir facsímil</v>
      </c>
      <c r="K1285" s="15" t="s">
        <v>22</v>
      </c>
    </row>
    <row r="1286" spans="1:11" ht="42" customHeight="1">
      <c r="A1286" s="4" t="s">
        <v>3109</v>
      </c>
      <c r="B1286" s="5" t="s">
        <v>3110</v>
      </c>
      <c r="C1286" s="5" t="s">
        <v>75</v>
      </c>
      <c r="D1286" s="5" t="s">
        <v>43</v>
      </c>
      <c r="E1286" s="5" t="s">
        <v>181</v>
      </c>
      <c r="F1286" s="9">
        <v>99</v>
      </c>
      <c r="G1286" s="9">
        <v>1055</v>
      </c>
      <c r="H1286" s="5" t="s">
        <v>20</v>
      </c>
      <c r="I1286" s="5" t="s">
        <v>3116</v>
      </c>
      <c r="J1286" s="12" t="str">
        <f>HYPERLINK("https://www.boe.es/gazeta/dias/1806/12/05/pdfs/GMD-1806-99.pdf#page=11","Abrir facsímil")</f>
        <v>Abrir facsímil</v>
      </c>
      <c r="K1286" s="15" t="s">
        <v>22</v>
      </c>
    </row>
    <row r="1287" spans="1:11" ht="42" customHeight="1">
      <c r="A1287" s="4" t="s">
        <v>3117</v>
      </c>
      <c r="B1287" s="5" t="s">
        <v>3118</v>
      </c>
      <c r="C1287" s="5" t="s">
        <v>17</v>
      </c>
      <c r="D1287" s="5" t="s">
        <v>18</v>
      </c>
      <c r="E1287" s="5" t="s">
        <v>90</v>
      </c>
      <c r="F1287" s="9">
        <v>60</v>
      </c>
      <c r="G1287" s="9">
        <v>625</v>
      </c>
      <c r="H1287" s="5" t="s">
        <v>20</v>
      </c>
      <c r="I1287" s="5" t="s">
        <v>3119</v>
      </c>
      <c r="J1287" s="12" t="str">
        <f>HYPERLINK("https://www.boe.es/gazeta/dias/1806/07/22/pdfs/GMD-1806-60.pdf#page=9","Abrir facsímil")</f>
        <v>Abrir facsímil</v>
      </c>
      <c r="K1287" s="15" t="s">
        <v>22</v>
      </c>
    </row>
    <row r="1288" spans="1:11" ht="42" customHeight="1">
      <c r="A1288" s="4" t="s">
        <v>3117</v>
      </c>
      <c r="B1288" s="5" t="s">
        <v>3118</v>
      </c>
      <c r="C1288" s="5" t="s">
        <v>17</v>
      </c>
      <c r="D1288" s="5" t="s">
        <v>18</v>
      </c>
      <c r="E1288" s="5" t="s">
        <v>209</v>
      </c>
      <c r="F1288" s="9">
        <v>95</v>
      </c>
      <c r="G1288" s="9">
        <v>1007</v>
      </c>
      <c r="H1288" s="5" t="s">
        <v>20</v>
      </c>
      <c r="I1288" s="5" t="s">
        <v>3120</v>
      </c>
      <c r="J1288" s="12" t="str">
        <f>HYPERLINK("https://www.boe.es/gazeta/dias/1806/11/21/pdfs/GMD-1806-95.pdf#page=15","Abrir facsímil")</f>
        <v>Abrir facsímil</v>
      </c>
      <c r="K1288" s="15" t="s">
        <v>22</v>
      </c>
    </row>
    <row r="1289" spans="1:11" ht="42" customHeight="1">
      <c r="A1289" s="4" t="s">
        <v>3121</v>
      </c>
      <c r="B1289" s="5" t="s">
        <v>3122</v>
      </c>
      <c r="C1289" s="5" t="s">
        <v>42</v>
      </c>
      <c r="D1289" s="5" t="s">
        <v>43</v>
      </c>
      <c r="E1289" s="5" t="s">
        <v>90</v>
      </c>
      <c r="F1289" s="9">
        <v>60</v>
      </c>
      <c r="G1289" s="9">
        <v>627</v>
      </c>
      <c r="H1289" s="5" t="s">
        <v>20</v>
      </c>
      <c r="I1289" s="5" t="s">
        <v>3123</v>
      </c>
      <c r="J1289" s="12" t="str">
        <f>HYPERLINK("https://www.boe.es/gazeta/dias/1806/07/22/pdfs/GMD-1806-60.pdf#page=11","Abrir facsímil")</f>
        <v>Abrir facsímil</v>
      </c>
      <c r="K1289" s="15" t="s">
        <v>22</v>
      </c>
    </row>
    <row r="1290" spans="1:11" ht="42" customHeight="1">
      <c r="A1290" s="4" t="s">
        <v>3124</v>
      </c>
      <c r="B1290" s="5" t="s">
        <v>3125</v>
      </c>
      <c r="C1290" s="5" t="s">
        <v>447</v>
      </c>
      <c r="D1290" s="5" t="s">
        <v>448</v>
      </c>
      <c r="E1290" s="5" t="s">
        <v>304</v>
      </c>
      <c r="F1290" s="9">
        <v>47</v>
      </c>
      <c r="G1290" s="9">
        <v>483</v>
      </c>
      <c r="H1290" s="5" t="s">
        <v>20</v>
      </c>
      <c r="I1290" s="5" t="s">
        <v>3126</v>
      </c>
      <c r="J1290" s="12" t="str">
        <f>HYPERLINK("https://www.boe.es/gazeta/dias/1806/06/06/pdfs/GMD-C-1806-47.pdf#page=3","Abrir facsímil")</f>
        <v>Abrir facsímil</v>
      </c>
      <c r="K1290" s="15" t="s">
        <v>22</v>
      </c>
    </row>
    <row r="1291" spans="1:11" ht="42" customHeight="1">
      <c r="A1291" s="4" t="s">
        <v>3127</v>
      </c>
      <c r="B1291" s="5" t="s">
        <v>3128</v>
      </c>
      <c r="C1291" s="5" t="s">
        <v>31</v>
      </c>
      <c r="D1291" s="5" t="s">
        <v>32</v>
      </c>
      <c r="E1291" s="5" t="s">
        <v>238</v>
      </c>
      <c r="F1291" s="9">
        <v>18</v>
      </c>
      <c r="G1291" s="9">
        <v>155</v>
      </c>
      <c r="H1291" s="5" t="s">
        <v>20</v>
      </c>
      <c r="I1291" s="5" t="s">
        <v>3129</v>
      </c>
      <c r="J1291" s="12" t="str">
        <f>HYPERLINK("https://www.boe.es/gazeta/dias/1806/02/25/pdfs/GMD-1806-18.pdf#page=3","Abrir facsímil")</f>
        <v>Abrir facsímil</v>
      </c>
      <c r="K1291" s="15" t="s">
        <v>22</v>
      </c>
    </row>
    <row r="1292" spans="1:11" ht="42" customHeight="1">
      <c r="A1292" s="4" t="s">
        <v>3130</v>
      </c>
      <c r="B1292" s="5" t="s">
        <v>3131</v>
      </c>
      <c r="C1292" s="5" t="s">
        <v>31</v>
      </c>
      <c r="D1292" s="5" t="s">
        <v>32</v>
      </c>
      <c r="E1292" s="5" t="s">
        <v>76</v>
      </c>
      <c r="F1292" s="9">
        <v>98</v>
      </c>
      <c r="G1292" s="9">
        <v>1043</v>
      </c>
      <c r="H1292" s="5" t="s">
        <v>20</v>
      </c>
      <c r="I1292" s="5" t="s">
        <v>3132</v>
      </c>
      <c r="J1292" s="12" t="str">
        <f>HYPERLINK("https://www.boe.es/gazeta/dias/1806/12/02/pdfs/GMD-1806-98.pdf#page=11","Abrir facsímil")</f>
        <v>Abrir facsímil</v>
      </c>
      <c r="K1292" s="15" t="s">
        <v>22</v>
      </c>
    </row>
    <row r="1293" spans="1:11" ht="42" customHeight="1">
      <c r="A1293" s="4" t="s">
        <v>3133</v>
      </c>
      <c r="B1293" s="5" t="s">
        <v>3134</v>
      </c>
      <c r="C1293" s="5" t="s">
        <v>31</v>
      </c>
      <c r="D1293" s="5" t="s">
        <v>32</v>
      </c>
      <c r="E1293" s="5" t="s">
        <v>209</v>
      </c>
      <c r="F1293" s="9">
        <v>95</v>
      </c>
      <c r="G1293" s="9">
        <v>1005</v>
      </c>
      <c r="H1293" s="5" t="s">
        <v>20</v>
      </c>
      <c r="I1293" s="5" t="s">
        <v>3135</v>
      </c>
      <c r="J1293" s="12" t="str">
        <f>HYPERLINK("https://www.boe.es/gazeta/dias/1806/11/21/pdfs/GMD-1806-95.pdf#page=13","Abrir facsímil")</f>
        <v>Abrir facsímil</v>
      </c>
      <c r="K1293" s="15" t="s">
        <v>22</v>
      </c>
    </row>
    <row r="1294" spans="1:11" ht="42" customHeight="1">
      <c r="A1294" s="4" t="s">
        <v>3136</v>
      </c>
      <c r="B1294" s="5" t="s">
        <v>3137</v>
      </c>
      <c r="C1294" s="5" t="s">
        <v>42</v>
      </c>
      <c r="D1294" s="5" t="s">
        <v>43</v>
      </c>
      <c r="E1294" s="5" t="s">
        <v>148</v>
      </c>
      <c r="F1294" s="9">
        <v>78</v>
      </c>
      <c r="G1294" s="9">
        <v>806</v>
      </c>
      <c r="H1294" s="5" t="s">
        <v>20</v>
      </c>
      <c r="I1294" s="5" t="s">
        <v>3138</v>
      </c>
      <c r="J1294" s="12" t="str">
        <f>HYPERLINK("https://www.boe.es/gazeta/dias/1806/09/23/pdfs/GMD-1806-78.pdf#page=10","Abrir facsímil")</f>
        <v>Abrir facsímil</v>
      </c>
      <c r="K1294" s="15" t="s">
        <v>22</v>
      </c>
    </row>
    <row r="1295" spans="1:11" ht="42" customHeight="1">
      <c r="A1295" s="4" t="s">
        <v>3139</v>
      </c>
      <c r="B1295" s="5" t="s">
        <v>3140</v>
      </c>
      <c r="C1295" s="5" t="s">
        <v>42</v>
      </c>
      <c r="D1295" s="5" t="s">
        <v>43</v>
      </c>
      <c r="E1295" s="5" t="s">
        <v>148</v>
      </c>
      <c r="F1295" s="9">
        <v>78</v>
      </c>
      <c r="G1295" s="9">
        <v>806</v>
      </c>
      <c r="H1295" s="5" t="s">
        <v>20</v>
      </c>
      <c r="I1295" s="5" t="s">
        <v>3141</v>
      </c>
      <c r="J1295" s="12" t="str">
        <f>HYPERLINK("https://www.boe.es/gazeta/dias/1806/09/23/pdfs/GMD-1806-78.pdf#page=10","Abrir facsímil")</f>
        <v>Abrir facsímil</v>
      </c>
      <c r="K1295" s="15" t="s">
        <v>22</v>
      </c>
    </row>
    <row r="1296" spans="1:11" ht="42" customHeight="1">
      <c r="A1296" s="4" t="s">
        <v>3142</v>
      </c>
      <c r="B1296" s="5" t="s">
        <v>3143</v>
      </c>
      <c r="C1296" s="5" t="s">
        <v>31</v>
      </c>
      <c r="D1296" s="5" t="s">
        <v>32</v>
      </c>
      <c r="E1296" s="5" t="s">
        <v>96</v>
      </c>
      <c r="F1296" s="9">
        <v>62</v>
      </c>
      <c r="G1296" s="9">
        <v>648</v>
      </c>
      <c r="H1296" s="5" t="s">
        <v>20</v>
      </c>
      <c r="I1296" s="5" t="s">
        <v>3144</v>
      </c>
      <c r="J1296" s="12" t="str">
        <f>HYPERLINK("https://www.boe.es/gazeta/dias/1806/07/29/pdfs/GMD-1806-62.pdf#page=8","Abrir facsímil")</f>
        <v>Abrir facsímil</v>
      </c>
      <c r="K1296" s="15" t="s">
        <v>22</v>
      </c>
    </row>
    <row r="1297" spans="1:11" ht="42" customHeight="1">
      <c r="A1297" s="4" t="s">
        <v>3145</v>
      </c>
      <c r="B1297" s="5" t="s">
        <v>3146</v>
      </c>
      <c r="C1297" s="5" t="s">
        <v>17</v>
      </c>
      <c r="D1297" s="5" t="s">
        <v>18</v>
      </c>
      <c r="E1297" s="5" t="s">
        <v>220</v>
      </c>
      <c r="F1297" s="9">
        <v>24</v>
      </c>
      <c r="G1297" s="9">
        <v>234</v>
      </c>
      <c r="H1297" s="5" t="s">
        <v>20</v>
      </c>
      <c r="I1297" s="5" t="s">
        <v>3147</v>
      </c>
      <c r="J1297" s="12" t="str">
        <f>HYPERLINK("https://www.boe.es/gazeta/dias/1806/03/18/pdfs/GMD-1806-24.pdf#page=10","Abrir facsímil")</f>
        <v>Abrir facsímil</v>
      </c>
      <c r="K1297" s="15" t="s">
        <v>22</v>
      </c>
    </row>
    <row r="1298" spans="1:11" ht="42" customHeight="1">
      <c r="A1298" s="4" t="s">
        <v>3145</v>
      </c>
      <c r="B1298" s="5" t="s">
        <v>3146</v>
      </c>
      <c r="C1298" s="5" t="s">
        <v>17</v>
      </c>
      <c r="D1298" s="5" t="s">
        <v>18</v>
      </c>
      <c r="E1298" s="5" t="s">
        <v>90</v>
      </c>
      <c r="F1298" s="9">
        <v>60</v>
      </c>
      <c r="G1298" s="9">
        <v>625</v>
      </c>
      <c r="H1298" s="5" t="s">
        <v>20</v>
      </c>
      <c r="I1298" s="5" t="s">
        <v>3148</v>
      </c>
      <c r="J1298" s="12" t="str">
        <f>HYPERLINK("https://www.boe.es/gazeta/dias/1806/07/22/pdfs/GMD-1806-60.pdf#page=9","Abrir facsímil")</f>
        <v>Abrir facsímil</v>
      </c>
      <c r="K1298" s="15" t="s">
        <v>22</v>
      </c>
    </row>
    <row r="1299" spans="1:11" ht="42" customHeight="1">
      <c r="A1299" s="4" t="s">
        <v>3145</v>
      </c>
      <c r="B1299" s="5" t="s">
        <v>3146</v>
      </c>
      <c r="C1299" s="5" t="s">
        <v>17</v>
      </c>
      <c r="D1299" s="5" t="s">
        <v>18</v>
      </c>
      <c r="E1299" s="5" t="s">
        <v>209</v>
      </c>
      <c r="F1299" s="9">
        <v>95</v>
      </c>
      <c r="G1299" s="9">
        <v>1007</v>
      </c>
      <c r="H1299" s="5" t="s">
        <v>20</v>
      </c>
      <c r="I1299" s="5" t="s">
        <v>3149</v>
      </c>
      <c r="J1299" s="12" t="str">
        <f>HYPERLINK("https://www.boe.es/gazeta/dias/1806/11/21/pdfs/GMD-1806-95.pdf#page=15","Abrir facsímil")</f>
        <v>Abrir facsímil</v>
      </c>
      <c r="K1299" s="15" t="s">
        <v>22</v>
      </c>
    </row>
    <row r="1300" spans="1:11" ht="42" customHeight="1">
      <c r="A1300" s="4" t="s">
        <v>3150</v>
      </c>
      <c r="B1300" s="5" t="s">
        <v>3151</v>
      </c>
      <c r="C1300" s="5" t="s">
        <v>31</v>
      </c>
      <c r="D1300" s="5" t="s">
        <v>32</v>
      </c>
      <c r="E1300" s="5" t="s">
        <v>580</v>
      </c>
      <c r="F1300" s="9">
        <v>23</v>
      </c>
      <c r="G1300" s="9">
        <v>218</v>
      </c>
      <c r="H1300" s="5" t="s">
        <v>20</v>
      </c>
      <c r="I1300" s="5" t="s">
        <v>3152</v>
      </c>
      <c r="J1300" s="12" t="str">
        <f>HYPERLINK("https://www.boe.es/gazeta/dias/1806/03/14/pdfs/GMD-1806-23.pdf#page=6","Abrir facsímil")</f>
        <v>Abrir facsímil</v>
      </c>
      <c r="K1300" s="15" t="s">
        <v>22</v>
      </c>
    </row>
    <row r="1301" spans="1:11" ht="42" customHeight="1">
      <c r="A1301" s="4" t="s">
        <v>3153</v>
      </c>
      <c r="B1301" s="5" t="s">
        <v>3154</v>
      </c>
      <c r="C1301" s="5" t="s">
        <v>75</v>
      </c>
      <c r="D1301" s="5" t="s">
        <v>43</v>
      </c>
      <c r="E1301" s="5" t="s">
        <v>306</v>
      </c>
      <c r="F1301" s="9">
        <v>59</v>
      </c>
      <c r="G1301" s="9">
        <v>614</v>
      </c>
      <c r="H1301" s="5" t="s">
        <v>20</v>
      </c>
      <c r="I1301" s="5" t="s">
        <v>3155</v>
      </c>
      <c r="J1301" s="12" t="str">
        <f>HYPERLINK("https://www.boe.es/gazeta/dias/1806/07/18/pdfs/GMD-1806-59.pdf#page=10","Abrir facsímil")</f>
        <v>Abrir facsímil</v>
      </c>
      <c r="K1301" s="15" t="s">
        <v>22</v>
      </c>
    </row>
    <row r="1302" spans="1:11" ht="42" customHeight="1">
      <c r="A1302" s="4" t="s">
        <v>3156</v>
      </c>
      <c r="B1302" s="5" t="s">
        <v>3157</v>
      </c>
      <c r="C1302" s="5" t="s">
        <v>75</v>
      </c>
      <c r="D1302" s="5" t="s">
        <v>43</v>
      </c>
      <c r="E1302" s="5" t="s">
        <v>405</v>
      </c>
      <c r="F1302" s="9">
        <v>80</v>
      </c>
      <c r="G1302" s="9">
        <v>831</v>
      </c>
      <c r="H1302" s="5" t="s">
        <v>20</v>
      </c>
      <c r="I1302" s="5" t="s">
        <v>3158</v>
      </c>
      <c r="J1302" s="12" t="str">
        <f>HYPERLINK("https://www.boe.es/gazeta/dias/1806/09/30/pdfs/GMD-1806-80.pdf#page=11","Abrir facsímil")</f>
        <v>Abrir facsímil</v>
      </c>
      <c r="K1302" s="15" t="s">
        <v>22</v>
      </c>
    </row>
    <row r="1303" spans="1:11" ht="42" customHeight="1">
      <c r="A1303" s="4" t="s">
        <v>3159</v>
      </c>
      <c r="B1303" s="5" t="s">
        <v>3160</v>
      </c>
      <c r="C1303" s="5" t="s">
        <v>31</v>
      </c>
      <c r="D1303" s="5" t="s">
        <v>32</v>
      </c>
      <c r="E1303" s="5" t="s">
        <v>304</v>
      </c>
      <c r="F1303" s="9">
        <v>47</v>
      </c>
      <c r="G1303" s="9">
        <v>478</v>
      </c>
      <c r="H1303" s="5" t="s">
        <v>20</v>
      </c>
      <c r="I1303" s="5" t="s">
        <v>3161</v>
      </c>
      <c r="J1303" s="12" t="str">
        <f>HYPERLINK("https://www.boe.es/gazeta/dias/1806/06/06/pdfs/GMD-1806-47.pdf#page=6","Abrir facsímil")</f>
        <v>Abrir facsímil</v>
      </c>
      <c r="K1303" s="15" t="s">
        <v>22</v>
      </c>
    </row>
    <row r="1304" spans="1:11" ht="42" customHeight="1">
      <c r="A1304" s="4" t="s">
        <v>3162</v>
      </c>
      <c r="B1304" s="5" t="s">
        <v>3163</v>
      </c>
      <c r="C1304" s="5" t="s">
        <v>31</v>
      </c>
      <c r="D1304" s="5" t="s">
        <v>32</v>
      </c>
      <c r="E1304" s="5" t="s">
        <v>297</v>
      </c>
      <c r="F1304" s="9">
        <v>94</v>
      </c>
      <c r="G1304" s="9">
        <v>989</v>
      </c>
      <c r="H1304" s="5" t="s">
        <v>20</v>
      </c>
      <c r="I1304" s="5" t="s">
        <v>3164</v>
      </c>
      <c r="J1304" s="12" t="str">
        <f>HYPERLINK("https://www.boe.es/gazeta/dias/1806/11/18/pdfs/GMD-1806-94.pdf#page=9","Abrir facsímil")</f>
        <v>Abrir facsímil</v>
      </c>
      <c r="K1304" s="15" t="s">
        <v>22</v>
      </c>
    </row>
    <row r="1305" spans="1:11" ht="42" customHeight="1">
      <c r="A1305" s="4" t="s">
        <v>3165</v>
      </c>
      <c r="B1305" s="5" t="s">
        <v>3166</v>
      </c>
      <c r="C1305" s="5" t="s">
        <v>42</v>
      </c>
      <c r="D1305" s="5" t="s">
        <v>43</v>
      </c>
      <c r="E1305" s="5" t="s">
        <v>48</v>
      </c>
      <c r="F1305" s="9">
        <v>67</v>
      </c>
      <c r="G1305" s="9">
        <v>702</v>
      </c>
      <c r="H1305" s="5" t="s">
        <v>20</v>
      </c>
      <c r="I1305" s="5" t="s">
        <v>3167</v>
      </c>
      <c r="J1305" s="12" t="str">
        <f>HYPERLINK("https://www.boe.es/gazeta/dias/1806/08/15/pdfs/GMD-1806-67.pdf#page=10","Abrir facsímil")</f>
        <v>Abrir facsímil</v>
      </c>
      <c r="K1305" s="15" t="s">
        <v>22</v>
      </c>
    </row>
    <row r="1306" spans="1:11" ht="42" customHeight="1">
      <c r="A1306" s="4" t="s">
        <v>3168</v>
      </c>
      <c r="B1306" s="5" t="s">
        <v>3169</v>
      </c>
      <c r="C1306" s="5" t="s">
        <v>31</v>
      </c>
      <c r="D1306" s="5" t="s">
        <v>32</v>
      </c>
      <c r="E1306" s="5" t="s">
        <v>90</v>
      </c>
      <c r="F1306" s="9">
        <v>60</v>
      </c>
      <c r="G1306" s="9">
        <v>623</v>
      </c>
      <c r="H1306" s="5" t="s">
        <v>20</v>
      </c>
      <c r="I1306" s="5" t="s">
        <v>3170</v>
      </c>
      <c r="J1306" s="12" t="str">
        <f>HYPERLINK("https://www.boe.es/gazeta/dias/1806/07/22/pdfs/GMD-1806-60.pdf#page=7","Abrir facsímil")</f>
        <v>Abrir facsímil</v>
      </c>
      <c r="K1306" s="15" t="s">
        <v>22</v>
      </c>
    </row>
    <row r="1307" spans="1:11" ht="42" customHeight="1">
      <c r="A1307" s="4" t="s">
        <v>3171</v>
      </c>
      <c r="B1307" s="5" t="s">
        <v>3172</v>
      </c>
      <c r="C1307" s="5" t="s">
        <v>31</v>
      </c>
      <c r="D1307" s="5" t="s">
        <v>32</v>
      </c>
      <c r="E1307" s="5" t="s">
        <v>124</v>
      </c>
      <c r="F1307" s="9">
        <v>25</v>
      </c>
      <c r="G1307" s="9">
        <v>245</v>
      </c>
      <c r="H1307" s="5" t="s">
        <v>20</v>
      </c>
      <c r="I1307" s="5" t="s">
        <v>3173</v>
      </c>
      <c r="J1307" s="12" t="str">
        <f>HYPERLINK("https://www.boe.es/gazeta/dias/1806/03/21/pdfs/GMD-1806-25.pdf#page=9","Abrir facsímil")</f>
        <v>Abrir facsímil</v>
      </c>
      <c r="K1307" s="15" t="s">
        <v>22</v>
      </c>
    </row>
    <row r="1308" spans="1:11" ht="42" customHeight="1">
      <c r="A1308" s="4" t="s">
        <v>3174</v>
      </c>
      <c r="B1308" s="5" t="s">
        <v>3175</v>
      </c>
      <c r="C1308" s="5" t="s">
        <v>36</v>
      </c>
      <c r="D1308" s="5" t="s">
        <v>37</v>
      </c>
      <c r="E1308" s="5" t="s">
        <v>191</v>
      </c>
      <c r="F1308" s="9">
        <v>103</v>
      </c>
      <c r="G1308" s="9">
        <v>1100</v>
      </c>
      <c r="H1308" s="5" t="s">
        <v>20</v>
      </c>
      <c r="I1308" s="5" t="s">
        <v>3176</v>
      </c>
      <c r="J1308" s="12" t="str">
        <f>HYPERLINK("https://www.boe.es/gazeta/dias/1806/12/19/pdfs/GMD-1806-103.pdf#page=12","Abrir facsímil")</f>
        <v>Abrir facsímil</v>
      </c>
      <c r="K1308" s="15" t="s">
        <v>22</v>
      </c>
    </row>
    <row r="1309" spans="1:11" ht="42" customHeight="1">
      <c r="A1309" s="4" t="s">
        <v>3177</v>
      </c>
      <c r="B1309" s="5" t="s">
        <v>3178</v>
      </c>
      <c r="C1309" s="5" t="s">
        <v>31</v>
      </c>
      <c r="D1309" s="5" t="s">
        <v>32</v>
      </c>
      <c r="E1309" s="5" t="s">
        <v>202</v>
      </c>
      <c r="F1309" s="9">
        <v>30</v>
      </c>
      <c r="G1309" s="9">
        <v>295</v>
      </c>
      <c r="H1309" s="5" t="s">
        <v>20</v>
      </c>
      <c r="I1309" s="5" t="s">
        <v>3179</v>
      </c>
      <c r="J1309" s="12" t="str">
        <f>HYPERLINK("https://www.boe.es/gazeta/dias/1806/04/08/pdfs/GMD-1806-30.pdf#page=7","Abrir facsímil")</f>
        <v>Abrir facsímil</v>
      </c>
      <c r="K1309" s="15" t="s">
        <v>22</v>
      </c>
    </row>
    <row r="1310" spans="1:11" ht="42" customHeight="1">
      <c r="A1310" s="4" t="s">
        <v>3180</v>
      </c>
      <c r="B1310" s="5" t="s">
        <v>3181</v>
      </c>
      <c r="C1310" s="5" t="s">
        <v>42</v>
      </c>
      <c r="D1310" s="5" t="s">
        <v>43</v>
      </c>
      <c r="E1310" s="5" t="s">
        <v>148</v>
      </c>
      <c r="F1310" s="9">
        <v>78</v>
      </c>
      <c r="G1310" s="9">
        <v>804</v>
      </c>
      <c r="H1310" s="5" t="s">
        <v>20</v>
      </c>
      <c r="I1310" s="5" t="s">
        <v>3182</v>
      </c>
      <c r="J1310" s="12" t="str">
        <f>HYPERLINK("https://www.boe.es/gazeta/dias/1806/09/23/pdfs/GMD-1806-78.pdf#page=8","Abrir facsímil")</f>
        <v>Abrir facsímil</v>
      </c>
      <c r="K1310" s="15" t="s">
        <v>22</v>
      </c>
    </row>
    <row r="1311" spans="1:11" ht="42" customHeight="1">
      <c r="A1311" s="4" t="s">
        <v>3183</v>
      </c>
      <c r="B1311" s="5" t="s">
        <v>3184</v>
      </c>
      <c r="C1311" s="5" t="s">
        <v>31</v>
      </c>
      <c r="D1311" s="5" t="s">
        <v>32</v>
      </c>
      <c r="E1311" s="5" t="s">
        <v>1568</v>
      </c>
      <c r="F1311" s="9">
        <v>84</v>
      </c>
      <c r="G1311" s="9">
        <v>870</v>
      </c>
      <c r="H1311" s="5" t="s">
        <v>20</v>
      </c>
      <c r="I1311" s="5" t="s">
        <v>3185</v>
      </c>
      <c r="J1311" s="12" t="str">
        <f>HYPERLINK("https://www.boe.es/gazeta/dias/1806/10/14/pdfs/GMD-1806-84.pdf#page=6","Abrir facsímil")</f>
        <v>Abrir facsímil</v>
      </c>
      <c r="K1311" s="15" t="s">
        <v>22</v>
      </c>
    </row>
    <row r="1312" spans="1:11" ht="42" customHeight="1">
      <c r="A1312" s="4" t="s">
        <v>3186</v>
      </c>
      <c r="B1312" s="5" t="s">
        <v>3187</v>
      </c>
      <c r="C1312" s="5" t="s">
        <v>31</v>
      </c>
      <c r="D1312" s="5" t="s">
        <v>32</v>
      </c>
      <c r="E1312" s="5" t="s">
        <v>348</v>
      </c>
      <c r="F1312" s="9">
        <v>88</v>
      </c>
      <c r="G1312" s="9">
        <v>910</v>
      </c>
      <c r="H1312" s="5" t="s">
        <v>20</v>
      </c>
      <c r="I1312" s="5" t="s">
        <v>3188</v>
      </c>
      <c r="J1312" s="12" t="str">
        <f>HYPERLINK("https://www.boe.es/gazeta/dias/1806/10/28/pdfs/GMD-1806-88.pdf#page=6","Abrir facsímil")</f>
        <v>Abrir facsímil</v>
      </c>
      <c r="K1312" s="15" t="s">
        <v>22</v>
      </c>
    </row>
    <row r="1313" spans="1:11" ht="42" customHeight="1">
      <c r="A1313" s="4" t="s">
        <v>3189</v>
      </c>
      <c r="B1313" s="5" t="s">
        <v>3190</v>
      </c>
      <c r="C1313" s="5" t="s">
        <v>31</v>
      </c>
      <c r="D1313" s="5" t="s">
        <v>32</v>
      </c>
      <c r="E1313" s="5" t="s">
        <v>195</v>
      </c>
      <c r="F1313" s="9">
        <v>4</v>
      </c>
      <c r="G1313" s="9">
        <v>37</v>
      </c>
      <c r="H1313" s="5" t="s">
        <v>20</v>
      </c>
      <c r="I1313" s="5" t="s">
        <v>3191</v>
      </c>
      <c r="J1313" s="12" t="str">
        <f>HYPERLINK("https://www.boe.es/gazeta/dias/1806/01/14/pdfs/GMD-1806-4.pdf#page=9","Abrir facsímil")</f>
        <v>Abrir facsímil</v>
      </c>
      <c r="K1313" s="15" t="s">
        <v>22</v>
      </c>
    </row>
    <row r="1314" spans="1:11" ht="42" customHeight="1">
      <c r="A1314" s="4" t="s">
        <v>3192</v>
      </c>
      <c r="B1314" s="5" t="s">
        <v>3193</v>
      </c>
      <c r="C1314" s="5" t="s">
        <v>17</v>
      </c>
      <c r="D1314" s="5" t="s">
        <v>18</v>
      </c>
      <c r="E1314" s="5" t="s">
        <v>859</v>
      </c>
      <c r="F1314" s="9">
        <v>63</v>
      </c>
      <c r="G1314" s="9">
        <v>663</v>
      </c>
      <c r="H1314" s="5" t="s">
        <v>20</v>
      </c>
      <c r="I1314" s="5" t="s">
        <v>3194</v>
      </c>
      <c r="J1314" s="12" t="str">
        <f>HYPERLINK("https://www.boe.es/gazeta/dias/1806/08/01/pdfs/GMD-1806-63.pdf#page=11","Abrir facsímil")</f>
        <v>Abrir facsímil</v>
      </c>
      <c r="K1314" s="15" t="s">
        <v>22</v>
      </c>
    </row>
    <row r="1315" spans="1:11" ht="42" customHeight="1">
      <c r="A1315" s="4" t="s">
        <v>3195</v>
      </c>
      <c r="B1315" s="5" t="s">
        <v>3196</v>
      </c>
      <c r="C1315" s="5" t="s">
        <v>17</v>
      </c>
      <c r="D1315" s="5" t="s">
        <v>18</v>
      </c>
      <c r="E1315" s="5" t="s">
        <v>213</v>
      </c>
      <c r="F1315" s="9">
        <v>73</v>
      </c>
      <c r="G1315" s="9">
        <v>757</v>
      </c>
      <c r="H1315" s="5" t="s">
        <v>20</v>
      </c>
      <c r="I1315" s="5" t="s">
        <v>3197</v>
      </c>
      <c r="J1315" s="12" t="str">
        <f>HYPERLINK("https://www.boe.es/gazeta/dias/1806/09/05/pdfs/GMD-1806-73.pdf#page=5","Abrir facsímil")</f>
        <v>Abrir facsímil</v>
      </c>
      <c r="K1315" s="15" t="s">
        <v>22</v>
      </c>
    </row>
    <row r="1316" spans="1:11" ht="42" customHeight="1">
      <c r="A1316" s="4" t="s">
        <v>3198</v>
      </c>
      <c r="B1316" s="5" t="s">
        <v>3199</v>
      </c>
      <c r="C1316" s="5" t="s">
        <v>31</v>
      </c>
      <c r="D1316" s="5" t="s">
        <v>32</v>
      </c>
      <c r="E1316" s="5" t="s">
        <v>185</v>
      </c>
      <c r="F1316" s="9">
        <v>46</v>
      </c>
      <c r="G1316" s="9">
        <v>469</v>
      </c>
      <c r="H1316" s="5" t="s">
        <v>20</v>
      </c>
      <c r="I1316" s="5" t="s">
        <v>3200</v>
      </c>
      <c r="J1316" s="12" t="str">
        <f>HYPERLINK("https://www.boe.es/gazeta/dias/1806/06/03/pdfs/GMD-1806-46.pdf#page=9","Abrir facsímil")</f>
        <v>Abrir facsímil</v>
      </c>
      <c r="K1316" s="15" t="s">
        <v>22</v>
      </c>
    </row>
    <row r="1317" spans="1:11" ht="42" customHeight="1">
      <c r="A1317" s="4" t="s">
        <v>3201</v>
      </c>
      <c r="B1317" s="5" t="s">
        <v>3202</v>
      </c>
      <c r="C1317" s="5" t="s">
        <v>42</v>
      </c>
      <c r="D1317" s="5" t="s">
        <v>43</v>
      </c>
      <c r="E1317" s="5" t="s">
        <v>33</v>
      </c>
      <c r="F1317" s="9">
        <v>82</v>
      </c>
      <c r="G1317" s="9">
        <v>850</v>
      </c>
      <c r="H1317" s="5" t="s">
        <v>20</v>
      </c>
      <c r="I1317" s="5" t="s">
        <v>3203</v>
      </c>
      <c r="J1317" s="12" t="str">
        <f>HYPERLINK("https://www.boe.es/gazeta/dias/1806/10/07/pdfs/GMD-1806-82.pdf#page=10","Abrir facsímil")</f>
        <v>Abrir facsímil</v>
      </c>
      <c r="K1317" s="15" t="s">
        <v>22</v>
      </c>
    </row>
    <row r="1318" spans="1:11" ht="42" customHeight="1">
      <c r="A1318" s="4" t="s">
        <v>3204</v>
      </c>
      <c r="B1318" s="5" t="s">
        <v>3205</v>
      </c>
      <c r="C1318" s="5" t="s">
        <v>17</v>
      </c>
      <c r="D1318" s="5" t="s">
        <v>18</v>
      </c>
      <c r="E1318" s="5" t="s">
        <v>148</v>
      </c>
      <c r="F1318" s="9">
        <v>78</v>
      </c>
      <c r="G1318" s="9">
        <v>806</v>
      </c>
      <c r="H1318" s="5" t="s">
        <v>20</v>
      </c>
      <c r="I1318" s="5" t="s">
        <v>3206</v>
      </c>
      <c r="J1318" s="12" t="str">
        <f>HYPERLINK("https://www.boe.es/gazeta/dias/1806/09/23/pdfs/GMD-1806-78.pdf#page=10","Abrir facsímil")</f>
        <v>Abrir facsímil</v>
      </c>
      <c r="K1318" s="15" t="s">
        <v>22</v>
      </c>
    </row>
    <row r="1319" spans="1:11" ht="42" customHeight="1">
      <c r="A1319" s="4" t="s">
        <v>3207</v>
      </c>
      <c r="B1319" s="5" t="s">
        <v>3208</v>
      </c>
      <c r="C1319" s="5" t="s">
        <v>31</v>
      </c>
      <c r="D1319" s="5" t="s">
        <v>32</v>
      </c>
      <c r="E1319" s="5" t="s">
        <v>348</v>
      </c>
      <c r="F1319" s="9">
        <v>88</v>
      </c>
      <c r="G1319" s="9">
        <v>910</v>
      </c>
      <c r="H1319" s="5" t="s">
        <v>20</v>
      </c>
      <c r="I1319" s="5" t="s">
        <v>3209</v>
      </c>
      <c r="J1319" s="12" t="str">
        <f>HYPERLINK("https://www.boe.es/gazeta/dias/1806/10/28/pdfs/GMD-1806-88.pdf#page=6","Abrir facsímil")</f>
        <v>Abrir facsímil</v>
      </c>
      <c r="K1319" s="15" t="s">
        <v>22</v>
      </c>
    </row>
    <row r="1320" spans="1:11" ht="42" customHeight="1">
      <c r="A1320" s="4" t="s">
        <v>3210</v>
      </c>
      <c r="B1320" s="5" t="s">
        <v>3210</v>
      </c>
      <c r="C1320" s="5" t="s">
        <v>17</v>
      </c>
      <c r="D1320" s="5" t="s">
        <v>18</v>
      </c>
      <c r="E1320" s="5" t="s">
        <v>312</v>
      </c>
      <c r="F1320" s="9">
        <v>100</v>
      </c>
      <c r="G1320" s="9">
        <v>1066</v>
      </c>
      <c r="H1320" s="5" t="s">
        <v>20</v>
      </c>
      <c r="I1320" s="5" t="s">
        <v>3211</v>
      </c>
      <c r="J1320" s="12" t="str">
        <f>HYPERLINK("https://www.boe.es/gazeta/dias/1806/12/09/pdfs/GMD-1806-100.pdf#page=10","Abrir facsímil")</f>
        <v>Abrir facsímil</v>
      </c>
      <c r="K1320" s="15" t="s">
        <v>22</v>
      </c>
    </row>
    <row r="1321" spans="1:11" ht="42" customHeight="1">
      <c r="A1321" s="4" t="s">
        <v>3212</v>
      </c>
      <c r="B1321" s="5" t="s">
        <v>3213</v>
      </c>
      <c r="C1321" s="5" t="s">
        <v>42</v>
      </c>
      <c r="D1321" s="5" t="s">
        <v>43</v>
      </c>
      <c r="E1321" s="5" t="s">
        <v>501</v>
      </c>
      <c r="F1321" s="9">
        <v>39</v>
      </c>
      <c r="G1321" s="9">
        <v>384</v>
      </c>
      <c r="H1321" s="5" t="s">
        <v>20</v>
      </c>
      <c r="I1321" s="5" t="s">
        <v>3214</v>
      </c>
      <c r="J1321" s="12" t="str">
        <f>HYPERLINK("https://www.boe.es/gazeta/dias/1806/05/09/pdfs/GMD-1806-39.pdf#page=8","Abrir facsímil")</f>
        <v>Abrir facsímil</v>
      </c>
      <c r="K1321" s="15" t="s">
        <v>22</v>
      </c>
    </row>
    <row r="1322" spans="1:11" ht="42" customHeight="1">
      <c r="A1322" s="4" t="s">
        <v>3215</v>
      </c>
      <c r="B1322" s="5" t="s">
        <v>3216</v>
      </c>
      <c r="C1322" s="5" t="s">
        <v>17</v>
      </c>
      <c r="D1322" s="5" t="s">
        <v>18</v>
      </c>
      <c r="E1322" s="5" t="s">
        <v>501</v>
      </c>
      <c r="F1322" s="9">
        <v>39</v>
      </c>
      <c r="G1322" s="9">
        <v>384</v>
      </c>
      <c r="H1322" s="5" t="s">
        <v>20</v>
      </c>
      <c r="I1322" s="5" t="s">
        <v>3217</v>
      </c>
      <c r="J1322" s="12" t="str">
        <f>HYPERLINK("https://www.boe.es/gazeta/dias/1806/05/09/pdfs/GMD-1806-39.pdf#page=8","Abrir facsímil")</f>
        <v>Abrir facsímil</v>
      </c>
      <c r="K1322" s="15" t="s">
        <v>22</v>
      </c>
    </row>
    <row r="1323" spans="1:11" ht="42" customHeight="1">
      <c r="A1323" s="4" t="s">
        <v>3215</v>
      </c>
      <c r="B1323" s="5" t="s">
        <v>3216</v>
      </c>
      <c r="C1323" s="5" t="s">
        <v>17</v>
      </c>
      <c r="D1323" s="5" t="s">
        <v>18</v>
      </c>
      <c r="E1323" s="5" t="s">
        <v>501</v>
      </c>
      <c r="F1323" s="9">
        <v>39</v>
      </c>
      <c r="G1323" s="9">
        <v>385</v>
      </c>
      <c r="H1323" s="5" t="s">
        <v>20</v>
      </c>
      <c r="I1323" s="5" t="s">
        <v>3218</v>
      </c>
      <c r="J1323" s="12" t="str">
        <f>HYPERLINK("https://www.boe.es/gazeta/dias/1806/05/09/pdfs/GMD-1806-39.pdf#page=9","Abrir facsímil")</f>
        <v>Abrir facsímil</v>
      </c>
      <c r="K1323" s="15" t="s">
        <v>22</v>
      </c>
    </row>
    <row r="1324" spans="1:11" ht="42" customHeight="1">
      <c r="A1324" s="4" t="s">
        <v>3215</v>
      </c>
      <c r="B1324" s="5" t="s">
        <v>3216</v>
      </c>
      <c r="C1324" s="5" t="s">
        <v>31</v>
      </c>
      <c r="D1324" s="5" t="s">
        <v>32</v>
      </c>
      <c r="E1324" s="5" t="s">
        <v>175</v>
      </c>
      <c r="F1324" s="9">
        <v>40</v>
      </c>
      <c r="G1324" s="9">
        <v>396</v>
      </c>
      <c r="H1324" s="5" t="s">
        <v>20</v>
      </c>
      <c r="I1324" s="5" t="s">
        <v>3219</v>
      </c>
      <c r="J1324" s="12" t="str">
        <f>HYPERLINK("https://www.boe.es/gazeta/dias/1806/05/13/pdfs/GMD-1806-40.pdf#page=8","Abrir facsímil")</f>
        <v>Abrir facsímil</v>
      </c>
      <c r="K1324" s="15" t="s">
        <v>22</v>
      </c>
    </row>
    <row r="1325" spans="1:11" ht="42" customHeight="1">
      <c r="A1325" s="4" t="s">
        <v>3220</v>
      </c>
      <c r="B1325" s="5" t="s">
        <v>3221</v>
      </c>
      <c r="C1325" s="5" t="s">
        <v>31</v>
      </c>
      <c r="D1325" s="5" t="s">
        <v>32</v>
      </c>
      <c r="E1325" s="5" t="s">
        <v>127</v>
      </c>
      <c r="F1325" s="9">
        <v>81</v>
      </c>
      <c r="G1325" s="9">
        <v>837</v>
      </c>
      <c r="H1325" s="5" t="s">
        <v>20</v>
      </c>
      <c r="I1325" s="5" t="s">
        <v>3222</v>
      </c>
      <c r="J1325" s="12" t="str">
        <f>HYPERLINK("https://www.boe.es/gazeta/dias/1806/10/03/pdfs/GMD-1806-81.pdf#page=5","Abrir facsímil")</f>
        <v>Abrir facsímil</v>
      </c>
      <c r="K1325" s="15" t="s">
        <v>22</v>
      </c>
    </row>
    <row r="1326" spans="1:11" ht="42" customHeight="1">
      <c r="A1326" s="4" t="s">
        <v>3223</v>
      </c>
      <c r="B1326" s="5" t="s">
        <v>3224</v>
      </c>
      <c r="C1326" s="5" t="s">
        <v>75</v>
      </c>
      <c r="D1326" s="5" t="s">
        <v>43</v>
      </c>
      <c r="E1326" s="5" t="s">
        <v>279</v>
      </c>
      <c r="F1326" s="9">
        <v>52</v>
      </c>
      <c r="G1326" s="9">
        <v>543</v>
      </c>
      <c r="H1326" s="5" t="s">
        <v>20</v>
      </c>
      <c r="I1326" s="5" t="s">
        <v>3225</v>
      </c>
      <c r="J1326" s="12" t="str">
        <f>HYPERLINK("https://www.boe.es/gazeta/dias/1806/06/24/pdfs/GMD-1806-52.pdf#page=11","Abrir facsímil")</f>
        <v>Abrir facsímil</v>
      </c>
      <c r="K1326" s="15" t="s">
        <v>22</v>
      </c>
    </row>
    <row r="1327" spans="1:11" ht="42" customHeight="1">
      <c r="A1327" s="4" t="s">
        <v>3223</v>
      </c>
      <c r="B1327" s="5" t="s">
        <v>3224</v>
      </c>
      <c r="C1327" s="5" t="s">
        <v>75</v>
      </c>
      <c r="D1327" s="5" t="s">
        <v>43</v>
      </c>
      <c r="E1327" s="5" t="s">
        <v>48</v>
      </c>
      <c r="F1327" s="9">
        <v>67</v>
      </c>
      <c r="G1327" s="9">
        <v>703</v>
      </c>
      <c r="H1327" s="5" t="s">
        <v>20</v>
      </c>
      <c r="I1327" s="5" t="s">
        <v>3226</v>
      </c>
      <c r="J1327" s="12" t="str">
        <f>HYPERLINK("https://www.boe.es/gazeta/dias/1806/08/15/pdfs/GMD-1806-67.pdf#page=11","Abrir facsímil")</f>
        <v>Abrir facsímil</v>
      </c>
      <c r="K1327" s="15" t="s">
        <v>22</v>
      </c>
    </row>
    <row r="1328" spans="1:11" ht="42" customHeight="1">
      <c r="A1328" s="4" t="s">
        <v>3227</v>
      </c>
      <c r="B1328" s="5" t="s">
        <v>3228</v>
      </c>
      <c r="C1328" s="5" t="s">
        <v>36</v>
      </c>
      <c r="D1328" s="5" t="s">
        <v>37</v>
      </c>
      <c r="E1328" s="5" t="s">
        <v>24</v>
      </c>
      <c r="F1328" s="9">
        <v>32</v>
      </c>
      <c r="G1328" s="9">
        <v>318</v>
      </c>
      <c r="H1328" s="5" t="s">
        <v>20</v>
      </c>
      <c r="I1328" s="5" t="s">
        <v>3229</v>
      </c>
      <c r="J1328" s="12" t="str">
        <f>HYPERLINK("https://www.boe.es/gazeta/dias/1806/04/15/pdfs/GMD-1806-32.pdf#page=10","Abrir facsímil")</f>
        <v>Abrir facsímil</v>
      </c>
      <c r="K1328" s="15" t="s">
        <v>22</v>
      </c>
    </row>
    <row r="1329" spans="1:11" ht="42" customHeight="1">
      <c r="A1329" s="4" t="s">
        <v>3230</v>
      </c>
      <c r="B1329" s="5" t="s">
        <v>3231</v>
      </c>
      <c r="C1329" s="5" t="s">
        <v>17</v>
      </c>
      <c r="D1329" s="5" t="s">
        <v>18</v>
      </c>
      <c r="E1329" s="5" t="s">
        <v>301</v>
      </c>
      <c r="F1329" s="9">
        <v>75</v>
      </c>
      <c r="G1329" s="9">
        <v>777</v>
      </c>
      <c r="H1329" s="5" t="s">
        <v>20</v>
      </c>
      <c r="I1329" s="5" t="s">
        <v>3232</v>
      </c>
      <c r="J1329" s="12" t="str">
        <f>HYPERLINK("https://www.boe.es/gazeta/dias/1806/09/12/pdfs/GMD-1806-75.pdf#page=9","Abrir facsímil")</f>
        <v>Abrir facsímil</v>
      </c>
      <c r="K1329" s="15" t="s">
        <v>22</v>
      </c>
    </row>
    <row r="1330" spans="1:11" ht="42" customHeight="1">
      <c r="A1330" s="4" t="s">
        <v>3233</v>
      </c>
      <c r="B1330" s="5" t="s">
        <v>3234</v>
      </c>
      <c r="C1330" s="5" t="s">
        <v>31</v>
      </c>
      <c r="D1330" s="5" t="s">
        <v>32</v>
      </c>
      <c r="E1330" s="5" t="s">
        <v>483</v>
      </c>
      <c r="F1330" s="9">
        <v>58</v>
      </c>
      <c r="G1330" s="9">
        <v>602</v>
      </c>
      <c r="H1330" s="5" t="s">
        <v>20</v>
      </c>
      <c r="I1330" s="5" t="s">
        <v>3235</v>
      </c>
      <c r="J1330" s="12" t="str">
        <f>HYPERLINK("https://www.boe.es/gazeta/dias/1806/07/15/pdfs/GMD-1806-58.pdf#page=6","Abrir facsímil")</f>
        <v>Abrir facsímil</v>
      </c>
      <c r="K1330" s="15" t="s">
        <v>22</v>
      </c>
    </row>
    <row r="1331" spans="1:11" ht="42" customHeight="1">
      <c r="A1331" s="4" t="s">
        <v>3236</v>
      </c>
      <c r="B1331" s="5" t="s">
        <v>3237</v>
      </c>
      <c r="C1331" s="5" t="s">
        <v>31</v>
      </c>
      <c r="D1331" s="5" t="s">
        <v>32</v>
      </c>
      <c r="E1331" s="5" t="s">
        <v>383</v>
      </c>
      <c r="F1331" s="9">
        <v>54</v>
      </c>
      <c r="G1331" s="9">
        <v>562</v>
      </c>
      <c r="H1331" s="5" t="s">
        <v>20</v>
      </c>
      <c r="I1331" s="5" t="s">
        <v>3238</v>
      </c>
      <c r="J1331" s="12" t="str">
        <f>HYPERLINK("https://www.boe.es/gazeta/dias/1806/07/01/pdfs/GMD-1806-54.pdf#page=6","Abrir facsímil")</f>
        <v>Abrir facsímil</v>
      </c>
      <c r="K1331" s="15" t="s">
        <v>22</v>
      </c>
    </row>
    <row r="1332" spans="1:11" ht="42" customHeight="1">
      <c r="A1332" s="4" t="s">
        <v>3239</v>
      </c>
      <c r="B1332" s="5" t="s">
        <v>3240</v>
      </c>
      <c r="C1332" s="5" t="s">
        <v>31</v>
      </c>
      <c r="D1332" s="5" t="s">
        <v>32</v>
      </c>
      <c r="E1332" s="5" t="s">
        <v>213</v>
      </c>
      <c r="F1332" s="9">
        <v>73</v>
      </c>
      <c r="G1332" s="9">
        <v>758</v>
      </c>
      <c r="H1332" s="5" t="s">
        <v>20</v>
      </c>
      <c r="I1332" s="5" t="s">
        <v>3241</v>
      </c>
      <c r="J1332" s="12" t="str">
        <f>HYPERLINK("https://www.boe.es/gazeta/dias/1806/09/05/pdfs/GMD-1806-73.pdf#page=6","Abrir facsímil")</f>
        <v>Abrir facsímil</v>
      </c>
      <c r="K1332" s="15" t="s">
        <v>22</v>
      </c>
    </row>
    <row r="1333" spans="1:11" ht="42" customHeight="1">
      <c r="A1333" s="4" t="s">
        <v>3242</v>
      </c>
      <c r="B1333" s="5" t="s">
        <v>3243</v>
      </c>
      <c r="C1333" s="5" t="s">
        <v>706</v>
      </c>
      <c r="D1333" s="5" t="s">
        <v>707</v>
      </c>
      <c r="E1333" s="5" t="s">
        <v>195</v>
      </c>
      <c r="F1333" s="9" t="s">
        <v>708</v>
      </c>
      <c r="G1333" s="9">
        <v>42</v>
      </c>
      <c r="H1333" s="5" t="s">
        <v>20</v>
      </c>
      <c r="I1333" s="5" t="s">
        <v>3244</v>
      </c>
      <c r="J1333" s="12" t="str">
        <f>HYPERLINK("https://www.boe.es/gazeta/dias/1806/01/14/pdfs/GMD-1806-5E.pdf#page=2","Abrir facsímil")</f>
        <v>Abrir facsímil</v>
      </c>
      <c r="K1333" s="15" t="s">
        <v>22</v>
      </c>
    </row>
    <row r="1334" spans="1:11" ht="42" customHeight="1">
      <c r="A1334" s="4" t="s">
        <v>3242</v>
      </c>
      <c r="B1334" s="5" t="s">
        <v>3243</v>
      </c>
      <c r="C1334" s="5" t="s">
        <v>31</v>
      </c>
      <c r="D1334" s="5" t="s">
        <v>32</v>
      </c>
      <c r="E1334" s="5" t="s">
        <v>256</v>
      </c>
      <c r="F1334" s="9">
        <v>9</v>
      </c>
      <c r="G1334" s="9">
        <v>79</v>
      </c>
      <c r="H1334" s="5" t="s">
        <v>20</v>
      </c>
      <c r="I1334" s="5" t="s">
        <v>3245</v>
      </c>
      <c r="J1334" s="12" t="str">
        <f>HYPERLINK("https://www.boe.es/gazeta/dias/1806/01/25/pdfs/GMD-1806-9.pdf#page=3","Abrir facsímil")</f>
        <v>Abrir facsímil</v>
      </c>
      <c r="K1334" s="15" t="s">
        <v>22</v>
      </c>
    </row>
    <row r="1335" spans="1:11" ht="42" customHeight="1">
      <c r="A1335" s="4" t="s">
        <v>3242</v>
      </c>
      <c r="B1335" s="5" t="s">
        <v>3243</v>
      </c>
      <c r="C1335" s="5" t="s">
        <v>69</v>
      </c>
      <c r="D1335" s="5" t="s">
        <v>70</v>
      </c>
      <c r="E1335" s="5" t="s">
        <v>113</v>
      </c>
      <c r="F1335" s="9">
        <v>28</v>
      </c>
      <c r="G1335" s="9">
        <v>273</v>
      </c>
      <c r="H1335" s="5" t="s">
        <v>20</v>
      </c>
      <c r="I1335" s="5" t="s">
        <v>3246</v>
      </c>
      <c r="J1335" s="12" t="str">
        <f>HYPERLINK("https://www.boe.es/gazeta/dias/1806/04/01/pdfs/GMD-1806-28.pdf#page=1","Abrir facsímil")</f>
        <v>Abrir facsímil</v>
      </c>
      <c r="K1335" s="15" t="s">
        <v>22</v>
      </c>
    </row>
    <row r="1336" spans="1:11" ht="42" customHeight="1">
      <c r="A1336" s="4" t="s">
        <v>3247</v>
      </c>
      <c r="B1336" s="5" t="s">
        <v>3248</v>
      </c>
      <c r="C1336" s="5" t="s">
        <v>17</v>
      </c>
      <c r="D1336" s="5" t="s">
        <v>18</v>
      </c>
      <c r="E1336" s="5" t="s">
        <v>220</v>
      </c>
      <c r="F1336" s="9">
        <v>24</v>
      </c>
      <c r="G1336" s="9">
        <v>234</v>
      </c>
      <c r="H1336" s="5" t="s">
        <v>20</v>
      </c>
      <c r="I1336" s="5" t="s">
        <v>3249</v>
      </c>
      <c r="J1336" s="12" t="str">
        <f>HYPERLINK("https://www.boe.es/gazeta/dias/1806/03/18/pdfs/GMD-1806-24.pdf#page=10","Abrir facsímil")</f>
        <v>Abrir facsímil</v>
      </c>
      <c r="K1336" s="15" t="s">
        <v>22</v>
      </c>
    </row>
    <row r="1337" spans="1:11" ht="42" customHeight="1">
      <c r="A1337" s="4" t="s">
        <v>3250</v>
      </c>
      <c r="B1337" s="5" t="s">
        <v>3251</v>
      </c>
      <c r="C1337" s="5" t="s">
        <v>31</v>
      </c>
      <c r="D1337" s="5" t="s">
        <v>32</v>
      </c>
      <c r="E1337" s="5" t="s">
        <v>100</v>
      </c>
      <c r="F1337" s="9">
        <v>7</v>
      </c>
      <c r="G1337" s="9">
        <v>65</v>
      </c>
      <c r="H1337" s="5" t="s">
        <v>20</v>
      </c>
      <c r="I1337" s="5" t="s">
        <v>3252</v>
      </c>
      <c r="J1337" s="12" t="str">
        <f>HYPERLINK("https://www.boe.es/gazeta/dias/1806/01/21/pdfs/GMD-1806-7.pdf#page=9","Abrir facsímil")</f>
        <v>Abrir facsímil</v>
      </c>
      <c r="K1337" s="15" t="s">
        <v>22</v>
      </c>
    </row>
    <row r="1338" spans="1:11" ht="42" customHeight="1">
      <c r="A1338" s="4" t="s">
        <v>3253</v>
      </c>
      <c r="B1338" s="5" t="s">
        <v>3254</v>
      </c>
      <c r="C1338" s="5" t="s">
        <v>17</v>
      </c>
      <c r="D1338" s="5" t="s">
        <v>18</v>
      </c>
      <c r="E1338" s="5" t="s">
        <v>90</v>
      </c>
      <c r="F1338" s="9">
        <v>60</v>
      </c>
      <c r="G1338" s="9">
        <v>624</v>
      </c>
      <c r="H1338" s="5" t="s">
        <v>20</v>
      </c>
      <c r="I1338" s="5" t="s">
        <v>3255</v>
      </c>
      <c r="J1338" s="12" t="str">
        <f>HYPERLINK("https://www.boe.es/gazeta/dias/1806/07/22/pdfs/GMD-1806-60.pdf#page=8","Abrir facsímil")</f>
        <v>Abrir facsímil</v>
      </c>
      <c r="K1338" s="15" t="s">
        <v>22</v>
      </c>
    </row>
    <row r="1339" spans="1:11" ht="42" customHeight="1">
      <c r="A1339" s="4" t="s">
        <v>3253</v>
      </c>
      <c r="B1339" s="5" t="s">
        <v>3254</v>
      </c>
      <c r="C1339" s="5" t="s">
        <v>17</v>
      </c>
      <c r="D1339" s="5" t="s">
        <v>18</v>
      </c>
      <c r="E1339" s="5" t="s">
        <v>209</v>
      </c>
      <c r="F1339" s="9">
        <v>95</v>
      </c>
      <c r="G1339" s="9">
        <v>1007</v>
      </c>
      <c r="H1339" s="5" t="s">
        <v>20</v>
      </c>
      <c r="I1339" s="5" t="s">
        <v>3256</v>
      </c>
      <c r="J1339" s="12" t="str">
        <f>HYPERLINK("https://www.boe.es/gazeta/dias/1806/11/21/pdfs/GMD-1806-95.pdf#page=15","Abrir facsímil")</f>
        <v>Abrir facsímil</v>
      </c>
      <c r="K1339" s="15" t="s">
        <v>22</v>
      </c>
    </row>
    <row r="1340" spans="1:11" ht="42" customHeight="1">
      <c r="A1340" s="4" t="s">
        <v>3257</v>
      </c>
      <c r="B1340" s="5" t="s">
        <v>3258</v>
      </c>
      <c r="C1340" s="5" t="s">
        <v>75</v>
      </c>
      <c r="D1340" s="5" t="s">
        <v>43</v>
      </c>
      <c r="E1340" s="5" t="s">
        <v>689</v>
      </c>
      <c r="F1340" s="9">
        <v>37</v>
      </c>
      <c r="G1340" s="9">
        <v>362</v>
      </c>
      <c r="H1340" s="5" t="s">
        <v>20</v>
      </c>
      <c r="I1340" s="5" t="s">
        <v>3259</v>
      </c>
      <c r="J1340" s="12" t="str">
        <f>HYPERLINK("https://www.boe.es/gazeta/dias/1806/05/02/pdfs/GMD-1806-37.pdf#page=10","Abrir facsímil")</f>
        <v>Abrir facsímil</v>
      </c>
      <c r="K1340" s="15" t="s">
        <v>22</v>
      </c>
    </row>
    <row r="1341" spans="1:11" ht="42" customHeight="1">
      <c r="A1341" s="4" t="s">
        <v>3260</v>
      </c>
      <c r="B1341" s="5" t="s">
        <v>3261</v>
      </c>
      <c r="C1341" s="5" t="s">
        <v>36</v>
      </c>
      <c r="D1341" s="5" t="s">
        <v>37</v>
      </c>
      <c r="E1341" s="5" t="s">
        <v>118</v>
      </c>
      <c r="F1341" s="9">
        <v>15</v>
      </c>
      <c r="G1341" s="9">
        <v>135</v>
      </c>
      <c r="H1341" s="5" t="s">
        <v>20</v>
      </c>
      <c r="I1341" s="5" t="s">
        <v>3262</v>
      </c>
      <c r="J1341" s="12" t="str">
        <f>HYPERLINK("https://www.boe.es/gazeta/dias/1806/02/14/pdfs/GMD-1806-15.pdf#page=11","Abrir facsímil")</f>
        <v>Abrir facsímil</v>
      </c>
      <c r="K1341" s="15" t="s">
        <v>22</v>
      </c>
    </row>
    <row r="1342" spans="1:11" ht="42" customHeight="1">
      <c r="A1342" s="4" t="s">
        <v>3263</v>
      </c>
      <c r="B1342" s="5" t="s">
        <v>3264</v>
      </c>
      <c r="C1342" s="5" t="s">
        <v>31</v>
      </c>
      <c r="D1342" s="5" t="s">
        <v>32</v>
      </c>
      <c r="E1342" s="5" t="s">
        <v>165</v>
      </c>
      <c r="F1342" s="9">
        <v>101</v>
      </c>
      <c r="G1342" s="9">
        <v>1074</v>
      </c>
      <c r="H1342" s="5" t="s">
        <v>20</v>
      </c>
      <c r="I1342" s="5" t="s">
        <v>3265</v>
      </c>
      <c r="J1342" s="12" t="str">
        <f>HYPERLINK("https://www.boe.es/gazeta/dias/1806/12/12/pdfs/GMD-1806-101.pdf#page=6","Abrir facsímil")</f>
        <v>Abrir facsímil</v>
      </c>
      <c r="K1342" s="15" t="s">
        <v>22</v>
      </c>
    </row>
    <row r="1343" spans="1:11" ht="42" customHeight="1">
      <c r="A1343" s="4" t="s">
        <v>3266</v>
      </c>
      <c r="B1343" s="5" t="s">
        <v>3267</v>
      </c>
      <c r="C1343" s="5" t="s">
        <v>31</v>
      </c>
      <c r="D1343" s="5" t="s">
        <v>32</v>
      </c>
      <c r="E1343" s="5" t="s">
        <v>185</v>
      </c>
      <c r="F1343" s="9">
        <v>46</v>
      </c>
      <c r="G1343" s="9">
        <v>461</v>
      </c>
      <c r="H1343" s="5" t="s">
        <v>20</v>
      </c>
      <c r="I1343" s="5" t="s">
        <v>3268</v>
      </c>
      <c r="J1343" s="12" t="str">
        <f>HYPERLINK("https://www.boe.es/gazeta/dias/1806/06/03/pdfs/GMD-1806-46.pdf#page=1","Abrir facsímil")</f>
        <v>Abrir facsímil</v>
      </c>
      <c r="K1343" s="15" t="s">
        <v>22</v>
      </c>
    </row>
    <row r="1344" spans="1:11" ht="42" customHeight="1">
      <c r="A1344" s="4" t="s">
        <v>3269</v>
      </c>
      <c r="B1344" s="5" t="s">
        <v>3270</v>
      </c>
      <c r="C1344" s="5" t="s">
        <v>42</v>
      </c>
      <c r="D1344" s="5" t="s">
        <v>43</v>
      </c>
      <c r="E1344" s="5" t="s">
        <v>140</v>
      </c>
      <c r="F1344" s="9">
        <v>83</v>
      </c>
      <c r="G1344" s="9">
        <v>863</v>
      </c>
      <c r="H1344" s="5" t="s">
        <v>20</v>
      </c>
      <c r="I1344" s="5" t="s">
        <v>3271</v>
      </c>
      <c r="J1344" s="12" t="str">
        <f>HYPERLINK("https://www.boe.es/gazeta/dias/1806/10/10/pdfs/GMD-1806-83.pdf#page=11","Abrir facsímil")</f>
        <v>Abrir facsímil</v>
      </c>
      <c r="K1344" s="15" t="s">
        <v>22</v>
      </c>
    </row>
    <row r="1345" spans="1:11" ht="42" customHeight="1">
      <c r="A1345" s="4" t="s">
        <v>3272</v>
      </c>
      <c r="B1345" s="5" t="s">
        <v>3273</v>
      </c>
      <c r="C1345" s="5" t="s">
        <v>31</v>
      </c>
      <c r="D1345" s="5" t="s">
        <v>32</v>
      </c>
      <c r="E1345" s="5" t="s">
        <v>148</v>
      </c>
      <c r="F1345" s="9">
        <v>78</v>
      </c>
      <c r="G1345" s="9">
        <v>804</v>
      </c>
      <c r="H1345" s="5" t="s">
        <v>20</v>
      </c>
      <c r="I1345" s="5" t="s">
        <v>3274</v>
      </c>
      <c r="J1345" s="12" t="str">
        <f>HYPERLINK("https://www.boe.es/gazeta/dias/1806/09/23/pdfs/GMD-1806-78.pdf#page=8","Abrir facsímil")</f>
        <v>Abrir facsímil</v>
      </c>
      <c r="K1345" s="15" t="s">
        <v>22</v>
      </c>
    </row>
    <row r="1346" spans="1:11" ht="42" customHeight="1">
      <c r="A1346" s="4" t="s">
        <v>3275</v>
      </c>
      <c r="B1346" s="5" t="s">
        <v>3276</v>
      </c>
      <c r="C1346" s="5" t="s">
        <v>31</v>
      </c>
      <c r="D1346" s="5" t="s">
        <v>32</v>
      </c>
      <c r="E1346" s="5" t="s">
        <v>227</v>
      </c>
      <c r="F1346" s="9">
        <v>27</v>
      </c>
      <c r="G1346" s="9">
        <v>272</v>
      </c>
      <c r="H1346" s="5" t="s">
        <v>20</v>
      </c>
      <c r="I1346" s="5" t="s">
        <v>3277</v>
      </c>
      <c r="J1346" s="12" t="str">
        <f>HYPERLINK("https://www.boe.es/gazeta/dias/1806/03/28/pdfs/GMD-1806-27.pdf#page=12","Abrir facsímil")</f>
        <v>Abrir facsímil</v>
      </c>
      <c r="K1346" s="15" t="s">
        <v>22</v>
      </c>
    </row>
    <row r="1347" spans="1:11" ht="42" customHeight="1">
      <c r="A1347" s="4" t="s">
        <v>3278</v>
      </c>
      <c r="B1347" s="5" t="s">
        <v>3279</v>
      </c>
      <c r="C1347" s="5" t="s">
        <v>31</v>
      </c>
      <c r="D1347" s="5" t="s">
        <v>32</v>
      </c>
      <c r="E1347" s="5" t="s">
        <v>716</v>
      </c>
      <c r="F1347" s="9">
        <v>56</v>
      </c>
      <c r="G1347" s="9">
        <v>586</v>
      </c>
      <c r="H1347" s="5" t="s">
        <v>20</v>
      </c>
      <c r="I1347" s="5" t="s">
        <v>3280</v>
      </c>
      <c r="J1347" s="12" t="str">
        <f>HYPERLINK("https://www.boe.es/gazeta/dias/1806/07/08/pdfs/GMD-1806-56.pdf#page=10","Abrir facsímil")</f>
        <v>Abrir facsímil</v>
      </c>
      <c r="K1347" s="15" t="s">
        <v>22</v>
      </c>
    </row>
    <row r="1348" spans="1:11" ht="42" customHeight="1">
      <c r="A1348" s="4" t="s">
        <v>3281</v>
      </c>
      <c r="B1348" s="5" t="s">
        <v>3282</v>
      </c>
      <c r="C1348" s="5" t="s">
        <v>17</v>
      </c>
      <c r="D1348" s="5" t="s">
        <v>18</v>
      </c>
      <c r="E1348" s="5" t="s">
        <v>44</v>
      </c>
      <c r="F1348" s="9">
        <v>42</v>
      </c>
      <c r="G1348" s="9">
        <v>423</v>
      </c>
      <c r="H1348" s="5" t="s">
        <v>20</v>
      </c>
      <c r="I1348" s="5" t="s">
        <v>3283</v>
      </c>
      <c r="J1348" s="12" t="str">
        <f>HYPERLINK("https://www.boe.es/gazeta/dias/1806/05/20/pdfs/GMD-1806-42.pdf#page=11","Abrir facsímil")</f>
        <v>Abrir facsímil</v>
      </c>
      <c r="K1348" s="15" t="s">
        <v>22</v>
      </c>
    </row>
    <row r="1349" spans="1:11" ht="42" customHeight="1">
      <c r="A1349" s="4" t="s">
        <v>3284</v>
      </c>
      <c r="B1349" s="5" t="s">
        <v>3285</v>
      </c>
      <c r="C1349" s="5" t="s">
        <v>17</v>
      </c>
      <c r="D1349" s="5" t="s">
        <v>18</v>
      </c>
      <c r="E1349" s="5" t="s">
        <v>494</v>
      </c>
      <c r="F1349" s="9">
        <v>69</v>
      </c>
      <c r="G1349" s="9">
        <v>724</v>
      </c>
      <c r="H1349" s="5" t="s">
        <v>20</v>
      </c>
      <c r="I1349" s="5" t="s">
        <v>3286</v>
      </c>
      <c r="J1349" s="12" t="str">
        <f>HYPERLINK("https://www.boe.es/gazeta/dias/1806/08/22/pdfs/GMD-1806-69.pdf#page=12","Abrir facsímil")</f>
        <v>Abrir facsímil</v>
      </c>
      <c r="K1349" s="15" t="s">
        <v>22</v>
      </c>
    </row>
    <row r="1350" spans="1:11" ht="42" customHeight="1">
      <c r="A1350" s="4" t="s">
        <v>3287</v>
      </c>
      <c r="B1350" s="5" t="s">
        <v>3288</v>
      </c>
      <c r="C1350" s="5" t="s">
        <v>31</v>
      </c>
      <c r="D1350" s="5" t="s">
        <v>32</v>
      </c>
      <c r="E1350" s="5" t="s">
        <v>290</v>
      </c>
      <c r="F1350" s="9">
        <v>1</v>
      </c>
      <c r="G1350" s="9">
        <v>10</v>
      </c>
      <c r="H1350" s="5" t="s">
        <v>20</v>
      </c>
      <c r="I1350" s="5" t="s">
        <v>3289</v>
      </c>
      <c r="J1350" s="12" t="str">
        <f>HYPERLINK("https://www.boe.es/gazeta/dias/1806/01/03/pdfs/GMD-1806-1.pdf#page=10","Abrir facsímil")</f>
        <v>Abrir facsímil</v>
      </c>
      <c r="K1350" s="15" t="s">
        <v>22</v>
      </c>
    </row>
    <row r="1351" spans="1:11" ht="42" customHeight="1">
      <c r="A1351" s="4" t="s">
        <v>3290</v>
      </c>
      <c r="B1351" s="5" t="s">
        <v>3291</v>
      </c>
      <c r="C1351" s="5" t="s">
        <v>75</v>
      </c>
      <c r="D1351" s="5" t="s">
        <v>43</v>
      </c>
      <c r="E1351" s="5" t="s">
        <v>455</v>
      </c>
      <c r="F1351" s="9">
        <v>85</v>
      </c>
      <c r="G1351" s="9">
        <v>883</v>
      </c>
      <c r="H1351" s="5" t="s">
        <v>20</v>
      </c>
      <c r="I1351" s="5" t="s">
        <v>3292</v>
      </c>
      <c r="J1351" s="12" t="str">
        <f>HYPERLINK("https://www.boe.es/gazeta/dias/1806/10/17/pdfs/GMD-1806-85.pdf#page=11","Abrir facsímil")</f>
        <v>Abrir facsímil</v>
      </c>
      <c r="K1351" s="15" t="s">
        <v>22</v>
      </c>
    </row>
    <row r="1352" spans="1:11" ht="42" customHeight="1">
      <c r="A1352" s="4" t="s">
        <v>3293</v>
      </c>
      <c r="B1352" s="5" t="s">
        <v>3294</v>
      </c>
      <c r="C1352" s="5" t="s">
        <v>17</v>
      </c>
      <c r="D1352" s="5" t="s">
        <v>18</v>
      </c>
      <c r="E1352" s="5" t="s">
        <v>279</v>
      </c>
      <c r="F1352" s="9">
        <v>52</v>
      </c>
      <c r="G1352" s="9">
        <v>544</v>
      </c>
      <c r="H1352" s="5" t="s">
        <v>20</v>
      </c>
      <c r="I1352" s="5" t="s">
        <v>3295</v>
      </c>
      <c r="J1352" s="12" t="str">
        <f>HYPERLINK("https://www.boe.es/gazeta/dias/1806/06/24/pdfs/GMD-1806-52.pdf#page=12","Abrir facsímil")</f>
        <v>Abrir facsímil</v>
      </c>
      <c r="K1352" s="15" t="s">
        <v>22</v>
      </c>
    </row>
    <row r="1353" spans="1:11" ht="42" customHeight="1">
      <c r="A1353" s="4" t="s">
        <v>3293</v>
      </c>
      <c r="B1353" s="5" t="s">
        <v>3294</v>
      </c>
      <c r="C1353" s="5" t="s">
        <v>17</v>
      </c>
      <c r="D1353" s="5" t="s">
        <v>18</v>
      </c>
      <c r="E1353" s="5" t="s">
        <v>306</v>
      </c>
      <c r="F1353" s="9">
        <v>59</v>
      </c>
      <c r="G1353" s="9">
        <v>613</v>
      </c>
      <c r="H1353" s="5" t="s">
        <v>20</v>
      </c>
      <c r="I1353" s="5" t="s">
        <v>3296</v>
      </c>
      <c r="J1353" s="12" t="str">
        <f>HYPERLINK("https://www.boe.es/gazeta/dias/1806/07/18/pdfs/GMD-1806-59.pdf#page=9","Abrir facsímil")</f>
        <v>Abrir facsímil</v>
      </c>
      <c r="K1353" s="15" t="s">
        <v>22</v>
      </c>
    </row>
    <row r="1354" spans="1:11" ht="42" customHeight="1">
      <c r="A1354" s="4" t="s">
        <v>3297</v>
      </c>
      <c r="B1354" s="5" t="s">
        <v>3298</v>
      </c>
      <c r="C1354" s="5" t="s">
        <v>17</v>
      </c>
      <c r="D1354" s="5" t="s">
        <v>18</v>
      </c>
      <c r="E1354" s="5" t="s">
        <v>213</v>
      </c>
      <c r="F1354" s="9">
        <v>73</v>
      </c>
      <c r="G1354" s="9">
        <v>757</v>
      </c>
      <c r="H1354" s="5" t="s">
        <v>20</v>
      </c>
      <c r="I1354" s="5" t="s">
        <v>3299</v>
      </c>
      <c r="J1354" s="12" t="str">
        <f>HYPERLINK("https://www.boe.es/gazeta/dias/1806/09/05/pdfs/GMD-1806-73.pdf#page=5","Abrir facsímil")</f>
        <v>Abrir facsímil</v>
      </c>
      <c r="K1354" s="15" t="s">
        <v>22</v>
      </c>
    </row>
    <row r="1355" spans="1:11" ht="42" customHeight="1">
      <c r="A1355" s="4" t="s">
        <v>3300</v>
      </c>
      <c r="B1355" s="5" t="s">
        <v>3301</v>
      </c>
      <c r="C1355" s="5" t="s">
        <v>31</v>
      </c>
      <c r="D1355" s="5" t="s">
        <v>32</v>
      </c>
      <c r="E1355" s="5" t="s">
        <v>285</v>
      </c>
      <c r="F1355" s="9">
        <v>13</v>
      </c>
      <c r="G1355" s="9">
        <v>115</v>
      </c>
      <c r="H1355" s="5" t="s">
        <v>20</v>
      </c>
      <c r="I1355" s="5" t="s">
        <v>3302</v>
      </c>
      <c r="J1355" s="12" t="str">
        <f>HYPERLINK("https://www.boe.es/gazeta/dias/1806/02/07/pdfs/GMD-1806-13.pdf#page=7","Abrir facsímil")</f>
        <v>Abrir facsímil</v>
      </c>
      <c r="K1355" s="15" t="s">
        <v>22</v>
      </c>
    </row>
    <row r="1356" spans="1:11" ht="42" customHeight="1">
      <c r="A1356" s="4" t="s">
        <v>3303</v>
      </c>
      <c r="B1356" s="5" t="s">
        <v>3304</v>
      </c>
      <c r="C1356" s="5" t="s">
        <v>31</v>
      </c>
      <c r="D1356" s="5" t="s">
        <v>32</v>
      </c>
      <c r="E1356" s="5" t="s">
        <v>383</v>
      </c>
      <c r="F1356" s="9">
        <v>54</v>
      </c>
      <c r="G1356" s="9">
        <v>562</v>
      </c>
      <c r="H1356" s="5" t="s">
        <v>20</v>
      </c>
      <c r="I1356" s="5" t="s">
        <v>3305</v>
      </c>
      <c r="J1356" s="12" t="str">
        <f>HYPERLINK("https://www.boe.es/gazeta/dias/1806/07/01/pdfs/GMD-1806-54.pdf#page=6","Abrir facsímil")</f>
        <v>Abrir facsímil</v>
      </c>
      <c r="K1356" s="15" t="s">
        <v>22</v>
      </c>
    </row>
    <row r="1357" spans="1:11" ht="42" customHeight="1">
      <c r="A1357" s="4" t="s">
        <v>3306</v>
      </c>
      <c r="B1357" s="5" t="s">
        <v>3307</v>
      </c>
      <c r="C1357" s="5" t="s">
        <v>42</v>
      </c>
      <c r="D1357" s="5" t="s">
        <v>43</v>
      </c>
      <c r="E1357" s="5" t="s">
        <v>28</v>
      </c>
      <c r="F1357" s="9">
        <v>102</v>
      </c>
      <c r="G1357" s="9">
        <v>1087</v>
      </c>
      <c r="H1357" s="5" t="s">
        <v>20</v>
      </c>
      <c r="I1357" s="5" t="s">
        <v>3308</v>
      </c>
      <c r="J1357" s="12" t="str">
        <f>HYPERLINK("https://www.boe.es/gazeta/dias/1806/12/16/pdfs/GMD-1806-102.pdf#page=11","Abrir facsímil")</f>
        <v>Abrir facsímil</v>
      </c>
      <c r="K1357" s="15" t="s">
        <v>22</v>
      </c>
    </row>
    <row r="1358" spans="1:11" ht="42" customHeight="1">
      <c r="A1358" s="4" t="s">
        <v>3309</v>
      </c>
      <c r="B1358" s="5" t="s">
        <v>3310</v>
      </c>
      <c r="C1358" s="5" t="s">
        <v>42</v>
      </c>
      <c r="D1358" s="5" t="s">
        <v>43</v>
      </c>
      <c r="E1358" s="5" t="s">
        <v>93</v>
      </c>
      <c r="F1358" s="9">
        <v>72</v>
      </c>
      <c r="G1358" s="9">
        <v>749</v>
      </c>
      <c r="H1358" s="5" t="s">
        <v>20</v>
      </c>
      <c r="I1358" s="5" t="s">
        <v>3311</v>
      </c>
      <c r="J1358" s="12" t="str">
        <f>HYPERLINK("https://www.boe.es/gazeta/dias/1806/09/02/pdfs/GMD-1806-72.pdf#page=9","Abrir facsímil")</f>
        <v>Abrir facsímil</v>
      </c>
      <c r="K1358" s="15" t="s">
        <v>22</v>
      </c>
    </row>
    <row r="1359" spans="1:11" ht="42" customHeight="1">
      <c r="A1359" s="4" t="s">
        <v>3312</v>
      </c>
      <c r="B1359" s="5" t="s">
        <v>3313</v>
      </c>
      <c r="C1359" s="5" t="s">
        <v>42</v>
      </c>
      <c r="D1359" s="5" t="s">
        <v>43</v>
      </c>
      <c r="E1359" s="5" t="s">
        <v>340</v>
      </c>
      <c r="F1359" s="9">
        <v>31</v>
      </c>
      <c r="G1359" s="9">
        <v>305</v>
      </c>
      <c r="H1359" s="5" t="s">
        <v>20</v>
      </c>
      <c r="I1359" s="5" t="s">
        <v>3314</v>
      </c>
      <c r="J1359" s="12" t="str">
        <f>HYPERLINK("https://www.boe.es/gazeta/dias/1806/04/11/pdfs/GMD-1806-31.pdf#page=9","Abrir facsímil")</f>
        <v>Abrir facsímil</v>
      </c>
      <c r="K1359" s="15" t="s">
        <v>22</v>
      </c>
    </row>
    <row r="1360" spans="1:11" ht="42" customHeight="1">
      <c r="A1360" s="4" t="s">
        <v>3315</v>
      </c>
      <c r="B1360" s="5" t="s">
        <v>3316</v>
      </c>
      <c r="C1360" s="5" t="s">
        <v>17</v>
      </c>
      <c r="D1360" s="5" t="s">
        <v>18</v>
      </c>
      <c r="E1360" s="5" t="s">
        <v>103</v>
      </c>
      <c r="F1360" s="9">
        <v>61</v>
      </c>
      <c r="G1360" s="9">
        <v>639</v>
      </c>
      <c r="H1360" s="5" t="s">
        <v>20</v>
      </c>
      <c r="I1360" s="5" t="s">
        <v>3317</v>
      </c>
      <c r="J1360" s="12" t="str">
        <f>HYPERLINK("https://www.boe.es/gazeta/dias/1806/07/25/pdfs/GMD-1806-61.pdf#page=11","Abrir facsímil")</f>
        <v>Abrir facsímil</v>
      </c>
      <c r="K1360" s="15" t="s">
        <v>22</v>
      </c>
    </row>
    <row r="1361" spans="1:11" ht="42" customHeight="1">
      <c r="A1361" s="4" t="s">
        <v>3318</v>
      </c>
      <c r="B1361" s="5" t="s">
        <v>3319</v>
      </c>
      <c r="C1361" s="5" t="s">
        <v>31</v>
      </c>
      <c r="D1361" s="5" t="s">
        <v>32</v>
      </c>
      <c r="E1361" s="5" t="s">
        <v>118</v>
      </c>
      <c r="F1361" s="9">
        <v>15</v>
      </c>
      <c r="G1361" s="9">
        <v>134</v>
      </c>
      <c r="H1361" s="5" t="s">
        <v>20</v>
      </c>
      <c r="I1361" s="5" t="s">
        <v>3320</v>
      </c>
      <c r="J1361" s="12" t="str">
        <f>HYPERLINK("https://www.boe.es/gazeta/dias/1806/02/14/pdfs/GMD-1806-15.pdf#page=10","Abrir facsímil")</f>
        <v>Abrir facsímil</v>
      </c>
      <c r="K1361" s="15" t="s">
        <v>22</v>
      </c>
    </row>
    <row r="1362" spans="1:11" ht="42" customHeight="1">
      <c r="A1362" s="4" t="s">
        <v>3321</v>
      </c>
      <c r="B1362" s="5" t="s">
        <v>3322</v>
      </c>
      <c r="C1362" s="5" t="s">
        <v>31</v>
      </c>
      <c r="D1362" s="5" t="s">
        <v>32</v>
      </c>
      <c r="E1362" s="5" t="s">
        <v>76</v>
      </c>
      <c r="F1362" s="9">
        <v>98</v>
      </c>
      <c r="G1362" s="9">
        <v>1043</v>
      </c>
      <c r="H1362" s="5" t="s">
        <v>20</v>
      </c>
      <c r="I1362" s="5" t="s">
        <v>3323</v>
      </c>
      <c r="J1362" s="12" t="str">
        <f>HYPERLINK("https://www.boe.es/gazeta/dias/1806/12/02/pdfs/GMD-1806-98.pdf#page=11","Abrir facsímil")</f>
        <v>Abrir facsímil</v>
      </c>
      <c r="K1362" s="15" t="s">
        <v>22</v>
      </c>
    </row>
    <row r="1363" spans="1:11" ht="42" customHeight="1">
      <c r="A1363" s="4" t="s">
        <v>3324</v>
      </c>
      <c r="B1363" s="5" t="s">
        <v>3325</v>
      </c>
      <c r="C1363" s="5" t="s">
        <v>31</v>
      </c>
      <c r="D1363" s="5" t="s">
        <v>32</v>
      </c>
      <c r="E1363" s="5" t="s">
        <v>205</v>
      </c>
      <c r="F1363" s="9">
        <v>57</v>
      </c>
      <c r="G1363" s="9">
        <v>596</v>
      </c>
      <c r="H1363" s="5" t="s">
        <v>20</v>
      </c>
      <c r="I1363" s="5" t="s">
        <v>3326</v>
      </c>
      <c r="J1363" s="12" t="str">
        <f>HYPERLINK("https://www.boe.es/gazeta/dias/1806/07/11/pdfs/GMD-1806-57.pdf#page=8","Abrir facsímil")</f>
        <v>Abrir facsímil</v>
      </c>
      <c r="K1363" s="15" t="s">
        <v>22</v>
      </c>
    </row>
    <row r="1364" spans="1:11" ht="42" customHeight="1">
      <c r="A1364" s="4" t="s">
        <v>3327</v>
      </c>
      <c r="B1364" s="5" t="s">
        <v>3328</v>
      </c>
      <c r="C1364" s="5" t="s">
        <v>31</v>
      </c>
      <c r="D1364" s="5" t="s">
        <v>32</v>
      </c>
      <c r="E1364" s="5" t="s">
        <v>1778</v>
      </c>
      <c r="F1364" s="9">
        <v>16</v>
      </c>
      <c r="G1364" s="9">
        <v>144</v>
      </c>
      <c r="H1364" s="5" t="s">
        <v>20</v>
      </c>
      <c r="I1364" s="5" t="s">
        <v>3329</v>
      </c>
      <c r="J1364" s="12" t="str">
        <f>HYPERLINK("https://www.boe.es/gazeta/dias/1806/02/18/pdfs/GMD-1806-16.pdf#page=8","Abrir facsímil")</f>
        <v>Abrir facsímil</v>
      </c>
      <c r="K1364" s="15" t="s">
        <v>22</v>
      </c>
    </row>
    <row r="1365" spans="1:11" ht="42" customHeight="1">
      <c r="A1365" s="4" t="s">
        <v>3330</v>
      </c>
      <c r="B1365" s="5" t="s">
        <v>3331</v>
      </c>
      <c r="C1365" s="5" t="s">
        <v>31</v>
      </c>
      <c r="D1365" s="5" t="s">
        <v>32</v>
      </c>
      <c r="E1365" s="5" t="s">
        <v>474</v>
      </c>
      <c r="F1365" s="9">
        <v>10</v>
      </c>
      <c r="G1365" s="9">
        <v>91</v>
      </c>
      <c r="H1365" s="5" t="s">
        <v>20</v>
      </c>
      <c r="I1365" s="5" t="s">
        <v>3332</v>
      </c>
      <c r="J1365" s="12" t="str">
        <f>HYPERLINK("https://www.boe.es/gazeta/dias/1806/01/28/pdfs/GMD-1806-10.pdf#page=7","Abrir facsímil")</f>
        <v>Abrir facsímil</v>
      </c>
      <c r="K1365" s="15" t="s">
        <v>22</v>
      </c>
    </row>
    <row r="1366" spans="1:11" ht="42" customHeight="1">
      <c r="A1366" s="4" t="s">
        <v>3330</v>
      </c>
      <c r="B1366" s="5" t="s">
        <v>3331</v>
      </c>
      <c r="C1366" s="5" t="s">
        <v>31</v>
      </c>
      <c r="D1366" s="5" t="s">
        <v>32</v>
      </c>
      <c r="E1366" s="5" t="s">
        <v>669</v>
      </c>
      <c r="F1366" s="9">
        <v>14</v>
      </c>
      <c r="G1366" s="9">
        <v>123</v>
      </c>
      <c r="H1366" s="5" t="s">
        <v>20</v>
      </c>
      <c r="I1366" s="5" t="s">
        <v>3333</v>
      </c>
      <c r="J1366" s="12" t="str">
        <f>HYPERLINK("https://www.boe.es/gazeta/dias/1806/02/11/pdfs/GMD-1806-14.pdf#page=7","Abrir facsímil")</f>
        <v>Abrir facsímil</v>
      </c>
      <c r="K1366" s="15" t="s">
        <v>22</v>
      </c>
    </row>
    <row r="1367" spans="1:11" ht="42" customHeight="1">
      <c r="A1367" s="4" t="s">
        <v>3330</v>
      </c>
      <c r="B1367" s="5" t="s">
        <v>3331</v>
      </c>
      <c r="C1367" s="5" t="s">
        <v>31</v>
      </c>
      <c r="D1367" s="5" t="s">
        <v>32</v>
      </c>
      <c r="E1367" s="5" t="s">
        <v>121</v>
      </c>
      <c r="F1367" s="9">
        <v>19</v>
      </c>
      <c r="G1367" s="9">
        <v>173</v>
      </c>
      <c r="H1367" s="5" t="s">
        <v>20</v>
      </c>
      <c r="I1367" s="5" t="s">
        <v>3334</v>
      </c>
      <c r="J1367" s="12" t="str">
        <f>HYPERLINK("https://www.boe.es/gazeta/dias/1806/02/28/pdfs/GMD-1806-19.pdf#page=9","Abrir facsímil")</f>
        <v>Abrir facsímil</v>
      </c>
      <c r="K1367" s="15" t="s">
        <v>22</v>
      </c>
    </row>
    <row r="1368" spans="1:11" ht="42" customHeight="1">
      <c r="A1368" s="4" t="s">
        <v>3330</v>
      </c>
      <c r="B1368" s="5" t="s">
        <v>3331</v>
      </c>
      <c r="C1368" s="5" t="s">
        <v>31</v>
      </c>
      <c r="D1368" s="5" t="s">
        <v>32</v>
      </c>
      <c r="E1368" s="5" t="s">
        <v>580</v>
      </c>
      <c r="F1368" s="9">
        <v>23</v>
      </c>
      <c r="G1368" s="9">
        <v>223</v>
      </c>
      <c r="H1368" s="5" t="s">
        <v>20</v>
      </c>
      <c r="I1368" s="5" t="s">
        <v>3335</v>
      </c>
      <c r="J1368" s="12" t="str">
        <f>HYPERLINK("https://www.boe.es/gazeta/dias/1806/03/14/pdfs/GMD-1806-23.pdf#page=11","Abrir facsímil")</f>
        <v>Abrir facsímil</v>
      </c>
      <c r="K1368" s="15" t="s">
        <v>22</v>
      </c>
    </row>
    <row r="1369" spans="1:11" ht="42" customHeight="1">
      <c r="A1369" s="4" t="s">
        <v>3330</v>
      </c>
      <c r="B1369" s="5" t="s">
        <v>3331</v>
      </c>
      <c r="C1369" s="5" t="s">
        <v>31</v>
      </c>
      <c r="D1369" s="5" t="s">
        <v>32</v>
      </c>
      <c r="E1369" s="5" t="s">
        <v>837</v>
      </c>
      <c r="F1369" s="9">
        <v>26</v>
      </c>
      <c r="G1369" s="9">
        <v>258</v>
      </c>
      <c r="H1369" s="5" t="s">
        <v>20</v>
      </c>
      <c r="I1369" s="5" t="s">
        <v>3336</v>
      </c>
      <c r="J1369" s="12" t="str">
        <f>HYPERLINK("https://www.boe.es/gazeta/dias/1806/03/25/pdfs/GMD-1806-26.pdf#page=10","Abrir facsímil")</f>
        <v>Abrir facsímil</v>
      </c>
      <c r="K1369" s="15" t="s">
        <v>22</v>
      </c>
    </row>
    <row r="1370" spans="1:11" ht="42" customHeight="1">
      <c r="A1370" s="4" t="s">
        <v>3330</v>
      </c>
      <c r="B1370" s="5" t="s">
        <v>3331</v>
      </c>
      <c r="C1370" s="5" t="s">
        <v>31</v>
      </c>
      <c r="D1370" s="5" t="s">
        <v>32</v>
      </c>
      <c r="E1370" s="5" t="s">
        <v>227</v>
      </c>
      <c r="F1370" s="9">
        <v>27</v>
      </c>
      <c r="G1370" s="9">
        <v>270</v>
      </c>
      <c r="H1370" s="5" t="s">
        <v>20</v>
      </c>
      <c r="I1370" s="5" t="s">
        <v>3337</v>
      </c>
      <c r="J1370" s="12" t="str">
        <f>HYPERLINK("https://www.boe.es/gazeta/dias/1806/03/28/pdfs/GMD-1806-27.pdf#page=10","Abrir facsímil")</f>
        <v>Abrir facsímil</v>
      </c>
      <c r="K1370" s="15" t="s">
        <v>22</v>
      </c>
    </row>
    <row r="1371" spans="1:11" ht="42" customHeight="1">
      <c r="A1371" s="4" t="s">
        <v>3330</v>
      </c>
      <c r="B1371" s="5" t="s">
        <v>3331</v>
      </c>
      <c r="C1371" s="5" t="s">
        <v>31</v>
      </c>
      <c r="D1371" s="5" t="s">
        <v>32</v>
      </c>
      <c r="E1371" s="5" t="s">
        <v>24</v>
      </c>
      <c r="F1371" s="9">
        <v>32</v>
      </c>
      <c r="G1371" s="9">
        <v>317</v>
      </c>
      <c r="H1371" s="5" t="s">
        <v>20</v>
      </c>
      <c r="I1371" s="5" t="s">
        <v>3338</v>
      </c>
      <c r="J1371" s="12" t="str">
        <f>HYPERLINK("https://www.boe.es/gazeta/dias/1806/04/15/pdfs/GMD-1806-32.pdf#page=9","Abrir facsímil")</f>
        <v>Abrir facsímil</v>
      </c>
      <c r="K1371" s="15" t="s">
        <v>22</v>
      </c>
    </row>
    <row r="1372" spans="1:11" ht="42" customHeight="1">
      <c r="A1372" s="4" t="s">
        <v>3330</v>
      </c>
      <c r="B1372" s="5" t="s">
        <v>3331</v>
      </c>
      <c r="C1372" s="5" t="s">
        <v>31</v>
      </c>
      <c r="D1372" s="5" t="s">
        <v>32</v>
      </c>
      <c r="E1372" s="5" t="s">
        <v>62</v>
      </c>
      <c r="F1372" s="9">
        <v>45</v>
      </c>
      <c r="G1372" s="9">
        <v>458</v>
      </c>
      <c r="H1372" s="5" t="s">
        <v>20</v>
      </c>
      <c r="I1372" s="5" t="s">
        <v>3339</v>
      </c>
      <c r="J1372" s="12" t="str">
        <f>HYPERLINK("https://www.boe.es/gazeta/dias/1806/05/30/pdfs/GMD-1806-45.pdf#page=10","Abrir facsímil")</f>
        <v>Abrir facsímil</v>
      </c>
      <c r="K1372" s="15" t="s">
        <v>22</v>
      </c>
    </row>
    <row r="1373" spans="1:11" ht="42" customHeight="1">
      <c r="A1373" s="4" t="s">
        <v>3330</v>
      </c>
      <c r="B1373" s="5" t="s">
        <v>3331</v>
      </c>
      <c r="C1373" s="5" t="s">
        <v>31</v>
      </c>
      <c r="D1373" s="5" t="s">
        <v>32</v>
      </c>
      <c r="E1373" s="5" t="s">
        <v>130</v>
      </c>
      <c r="F1373" s="9">
        <v>66</v>
      </c>
      <c r="G1373" s="9">
        <v>691</v>
      </c>
      <c r="H1373" s="5" t="s">
        <v>20</v>
      </c>
      <c r="I1373" s="5" t="s">
        <v>3340</v>
      </c>
      <c r="J1373" s="12" t="str">
        <f>HYPERLINK("https://www.boe.es/gazeta/dias/1806/08/12/pdfs/GMD-1806-66.pdf#page=7","Abrir facsímil")</f>
        <v>Abrir facsímil</v>
      </c>
      <c r="K1373" s="15" t="s">
        <v>22</v>
      </c>
    </row>
    <row r="1374" spans="1:11" ht="42" customHeight="1">
      <c r="A1374" s="4" t="s">
        <v>3330</v>
      </c>
      <c r="B1374" s="5" t="s">
        <v>3331</v>
      </c>
      <c r="C1374" s="5" t="s">
        <v>36</v>
      </c>
      <c r="D1374" s="5" t="s">
        <v>37</v>
      </c>
      <c r="E1374" s="5" t="s">
        <v>165</v>
      </c>
      <c r="F1374" s="9">
        <v>101</v>
      </c>
      <c r="G1374" s="9">
        <v>1075</v>
      </c>
      <c r="H1374" s="5" t="s">
        <v>20</v>
      </c>
      <c r="I1374" s="5" t="s">
        <v>3341</v>
      </c>
      <c r="J1374" s="12" t="str">
        <f>HYPERLINK("https://www.boe.es/gazeta/dias/1806/12/12/pdfs/GMD-1806-101.pdf#page=7","Abrir facsímil")</f>
        <v>Abrir facsímil</v>
      </c>
      <c r="K1374" s="15" t="s">
        <v>22</v>
      </c>
    </row>
    <row r="1375" spans="1:11" ht="42" customHeight="1">
      <c r="A1375" s="4" t="s">
        <v>3342</v>
      </c>
      <c r="B1375" s="5" t="s">
        <v>3343</v>
      </c>
      <c r="C1375" s="5" t="s">
        <v>42</v>
      </c>
      <c r="D1375" s="5" t="s">
        <v>43</v>
      </c>
      <c r="E1375" s="5" t="s">
        <v>540</v>
      </c>
      <c r="F1375" s="9">
        <v>51</v>
      </c>
      <c r="G1375" s="9">
        <v>532</v>
      </c>
      <c r="H1375" s="5" t="s">
        <v>20</v>
      </c>
      <c r="I1375" s="5" t="s">
        <v>3344</v>
      </c>
      <c r="J1375" s="12" t="str">
        <f>HYPERLINK("https://www.boe.es/gazeta/dias/1806/06/20/pdfs/GMD-1806-51.pdf#page=12","Abrir facsímil")</f>
        <v>Abrir facsímil</v>
      </c>
      <c r="K1375" s="15" t="s">
        <v>22</v>
      </c>
    </row>
    <row r="1376" spans="1:11" ht="42" customHeight="1">
      <c r="A1376" s="4" t="s">
        <v>3345</v>
      </c>
      <c r="B1376" s="5" t="s">
        <v>3346</v>
      </c>
      <c r="C1376" s="5" t="s">
        <v>75</v>
      </c>
      <c r="D1376" s="5" t="s">
        <v>43</v>
      </c>
      <c r="E1376" s="5" t="s">
        <v>312</v>
      </c>
      <c r="F1376" s="9">
        <v>100</v>
      </c>
      <c r="G1376" s="9">
        <v>1067</v>
      </c>
      <c r="H1376" s="5" t="s">
        <v>20</v>
      </c>
      <c r="I1376" s="5" t="s">
        <v>3347</v>
      </c>
      <c r="J1376" s="12" t="str">
        <f>HYPERLINK("https://www.boe.es/gazeta/dias/1806/12/09/pdfs/GMD-1806-100.pdf#page=11","Abrir facsímil")</f>
        <v>Abrir facsímil</v>
      </c>
      <c r="K1376" s="15" t="s">
        <v>22</v>
      </c>
    </row>
    <row r="1377" spans="1:11" ht="42" customHeight="1">
      <c r="A1377" s="4" t="s">
        <v>3348</v>
      </c>
      <c r="B1377" s="5" t="s">
        <v>3349</v>
      </c>
      <c r="C1377" s="5" t="s">
        <v>36</v>
      </c>
      <c r="D1377" s="5" t="s">
        <v>37</v>
      </c>
      <c r="E1377" s="5" t="s">
        <v>130</v>
      </c>
      <c r="F1377" s="9">
        <v>66</v>
      </c>
      <c r="G1377" s="9">
        <v>692</v>
      </c>
      <c r="H1377" s="5" t="s">
        <v>20</v>
      </c>
      <c r="I1377" s="5" t="s">
        <v>3350</v>
      </c>
      <c r="J1377" s="12" t="str">
        <f>HYPERLINK("https://www.boe.es/gazeta/dias/1806/08/12/pdfs/GMD-1806-66.pdf#page=8","Abrir facsímil")</f>
        <v>Abrir facsímil</v>
      </c>
      <c r="K1377" s="15" t="s">
        <v>22</v>
      </c>
    </row>
    <row r="1378" spans="1:11" ht="42" customHeight="1">
      <c r="A1378" s="4" t="s">
        <v>3351</v>
      </c>
      <c r="B1378" s="5" t="s">
        <v>3352</v>
      </c>
      <c r="C1378" s="5" t="s">
        <v>36</v>
      </c>
      <c r="D1378" s="5" t="s">
        <v>37</v>
      </c>
      <c r="E1378" s="5" t="s">
        <v>130</v>
      </c>
      <c r="F1378" s="9">
        <v>66</v>
      </c>
      <c r="G1378" s="9">
        <v>692</v>
      </c>
      <c r="H1378" s="5" t="s">
        <v>20</v>
      </c>
      <c r="I1378" s="5" t="s">
        <v>3353</v>
      </c>
      <c r="J1378" s="12" t="str">
        <f>HYPERLINK("https://www.boe.es/gazeta/dias/1806/08/12/pdfs/GMD-1806-66.pdf#page=8","Abrir facsímil")</f>
        <v>Abrir facsímil</v>
      </c>
      <c r="K1378" s="15" t="s">
        <v>22</v>
      </c>
    </row>
    <row r="1379" spans="1:11" ht="42" customHeight="1">
      <c r="A1379" s="4" t="s">
        <v>3354</v>
      </c>
      <c r="B1379" s="5" t="s">
        <v>3355</v>
      </c>
      <c r="C1379" s="5" t="s">
        <v>75</v>
      </c>
      <c r="D1379" s="5" t="s">
        <v>43</v>
      </c>
      <c r="E1379" s="5" t="s">
        <v>86</v>
      </c>
      <c r="F1379" s="9">
        <v>53</v>
      </c>
      <c r="G1379" s="9">
        <v>553</v>
      </c>
      <c r="H1379" s="5" t="s">
        <v>20</v>
      </c>
      <c r="I1379" s="5" t="s">
        <v>3356</v>
      </c>
      <c r="J1379" s="12" t="str">
        <f>HYPERLINK("https://www.boe.es/gazeta/dias/1806/06/27/pdfs/GMD-1806-53.pdf#page=9","Abrir facsímil")</f>
        <v>Abrir facsímil</v>
      </c>
      <c r="K1379" s="15" t="s">
        <v>22</v>
      </c>
    </row>
    <row r="1380" spans="1:11" ht="42" customHeight="1">
      <c r="A1380" s="4" t="s">
        <v>3354</v>
      </c>
      <c r="B1380" s="5" t="s">
        <v>3355</v>
      </c>
      <c r="C1380" s="5" t="s">
        <v>17</v>
      </c>
      <c r="D1380" s="5" t="s">
        <v>18</v>
      </c>
      <c r="E1380" s="5" t="s">
        <v>165</v>
      </c>
      <c r="F1380" s="9">
        <v>101</v>
      </c>
      <c r="G1380" s="9">
        <v>1074</v>
      </c>
      <c r="H1380" s="5" t="s">
        <v>20</v>
      </c>
      <c r="I1380" s="5" t="s">
        <v>3357</v>
      </c>
      <c r="J1380" s="12" t="str">
        <f>HYPERLINK("https://www.boe.es/gazeta/dias/1806/12/12/pdfs/GMD-1806-101.pdf#page=6","Abrir facsímil")</f>
        <v>Abrir facsímil</v>
      </c>
      <c r="K1380" s="15" t="s">
        <v>22</v>
      </c>
    </row>
    <row r="1381" spans="1:11" ht="42" customHeight="1">
      <c r="A1381" s="4" t="s">
        <v>3358</v>
      </c>
      <c r="B1381" s="5" t="s">
        <v>3359</v>
      </c>
      <c r="C1381" s="5" t="s">
        <v>31</v>
      </c>
      <c r="D1381" s="5" t="s">
        <v>32</v>
      </c>
      <c r="E1381" s="5" t="s">
        <v>205</v>
      </c>
      <c r="F1381" s="9">
        <v>57</v>
      </c>
      <c r="G1381" s="9">
        <v>596</v>
      </c>
      <c r="H1381" s="5" t="s">
        <v>20</v>
      </c>
      <c r="I1381" s="5" t="s">
        <v>3360</v>
      </c>
      <c r="J1381" s="12" t="str">
        <f>HYPERLINK("https://www.boe.es/gazeta/dias/1806/07/11/pdfs/GMD-1806-57.pdf#page=8","Abrir facsímil")</f>
        <v>Abrir facsímil</v>
      </c>
      <c r="K1381" s="15" t="s">
        <v>22</v>
      </c>
    </row>
    <row r="1382" spans="1:11" ht="42" customHeight="1">
      <c r="A1382" s="4" t="s">
        <v>3361</v>
      </c>
      <c r="B1382" s="5" t="s">
        <v>3362</v>
      </c>
      <c r="C1382" s="5" t="s">
        <v>75</v>
      </c>
      <c r="D1382" s="5" t="s">
        <v>43</v>
      </c>
      <c r="E1382" s="5" t="s">
        <v>19</v>
      </c>
      <c r="F1382" s="9">
        <v>3</v>
      </c>
      <c r="G1382" s="9">
        <v>27</v>
      </c>
      <c r="H1382" s="5" t="s">
        <v>20</v>
      </c>
      <c r="I1382" s="5" t="s">
        <v>3363</v>
      </c>
      <c r="J1382" s="12" t="str">
        <f>HYPERLINK("https://www.boe.es/gazeta/dias/1806/01/10/pdfs/GMD-1806-3.pdf#page=7","Abrir facsímil")</f>
        <v>Abrir facsímil</v>
      </c>
      <c r="K1382" s="15" t="s">
        <v>22</v>
      </c>
    </row>
    <row r="1383" spans="1:11" ht="42" customHeight="1">
      <c r="A1383" s="4" t="s">
        <v>3364</v>
      </c>
      <c r="B1383" s="5" t="s">
        <v>3365</v>
      </c>
      <c r="C1383" s="5" t="s">
        <v>75</v>
      </c>
      <c r="D1383" s="5" t="s">
        <v>43</v>
      </c>
      <c r="E1383" s="5" t="s">
        <v>438</v>
      </c>
      <c r="F1383" s="9">
        <v>70</v>
      </c>
      <c r="G1383" s="9">
        <v>730</v>
      </c>
      <c r="H1383" s="5" t="s">
        <v>20</v>
      </c>
      <c r="I1383" s="5" t="s">
        <v>3366</v>
      </c>
      <c r="J1383" s="12" t="str">
        <f>HYPERLINK("https://www.boe.es/gazeta/dias/1806/08/26/pdfs/GMD-1806-70.pdf#page=6","Abrir facsímil")</f>
        <v>Abrir facsímil</v>
      </c>
      <c r="K1383" s="15" t="s">
        <v>22</v>
      </c>
    </row>
    <row r="1384" spans="1:11" ht="42" customHeight="1">
      <c r="A1384" s="4" t="s">
        <v>3367</v>
      </c>
      <c r="B1384" s="5" t="s">
        <v>3368</v>
      </c>
      <c r="C1384" s="5" t="s">
        <v>17</v>
      </c>
      <c r="D1384" s="5" t="s">
        <v>18</v>
      </c>
      <c r="E1384" s="5" t="s">
        <v>195</v>
      </c>
      <c r="F1384" s="9">
        <v>4</v>
      </c>
      <c r="G1384" s="9">
        <v>35</v>
      </c>
      <c r="H1384" s="5" t="s">
        <v>20</v>
      </c>
      <c r="I1384" s="5" t="s">
        <v>3369</v>
      </c>
      <c r="J1384" s="12" t="str">
        <f>HYPERLINK("https://www.boe.es/gazeta/dias/1806/01/14/pdfs/GMD-1806-4.pdf#page=7","Abrir facsímil")</f>
        <v>Abrir facsímil</v>
      </c>
      <c r="K1384" s="15" t="s">
        <v>22</v>
      </c>
    </row>
    <row r="1385" spans="1:11" ht="42" customHeight="1">
      <c r="A1385" s="4" t="s">
        <v>3370</v>
      </c>
      <c r="B1385" s="5" t="s">
        <v>3371</v>
      </c>
      <c r="C1385" s="5" t="s">
        <v>75</v>
      </c>
      <c r="D1385" s="5" t="s">
        <v>43</v>
      </c>
      <c r="E1385" s="5" t="s">
        <v>661</v>
      </c>
      <c r="F1385" s="9">
        <v>38</v>
      </c>
      <c r="G1385" s="9">
        <v>374</v>
      </c>
      <c r="H1385" s="5" t="s">
        <v>20</v>
      </c>
      <c r="I1385" s="5" t="s">
        <v>3372</v>
      </c>
      <c r="J1385" s="12" t="str">
        <f>HYPERLINK("https://www.boe.es/gazeta/dias/1806/05/06/pdfs/GMD-1806-38.pdf#page=10","Abrir facsímil")</f>
        <v>Abrir facsímil</v>
      </c>
      <c r="K1385" s="15" t="s">
        <v>22</v>
      </c>
    </row>
    <row r="1386" spans="1:11" ht="42" customHeight="1">
      <c r="A1386" s="4" t="s">
        <v>3373</v>
      </c>
      <c r="B1386" s="5" t="s">
        <v>3374</v>
      </c>
      <c r="C1386" s="5" t="s">
        <v>17</v>
      </c>
      <c r="D1386" s="5" t="s">
        <v>18</v>
      </c>
      <c r="E1386" s="5" t="s">
        <v>55</v>
      </c>
      <c r="F1386" s="9">
        <v>20</v>
      </c>
      <c r="G1386" s="9">
        <v>183</v>
      </c>
      <c r="H1386" s="5" t="s">
        <v>20</v>
      </c>
      <c r="I1386" s="5" t="s">
        <v>3375</v>
      </c>
      <c r="J1386" s="12" t="str">
        <f>HYPERLINK("https://www.boe.es/gazeta/dias/1806/03/04/pdfs/GMD-1806-20.pdf#page=7","Abrir facsímil")</f>
        <v>Abrir facsímil</v>
      </c>
      <c r="K1386" s="15" t="s">
        <v>22</v>
      </c>
    </row>
    <row r="1387" spans="1:11" ht="42" customHeight="1">
      <c r="A1387" s="4" t="s">
        <v>3376</v>
      </c>
      <c r="B1387" s="5" t="s">
        <v>3377</v>
      </c>
      <c r="C1387" s="5" t="s">
        <v>31</v>
      </c>
      <c r="D1387" s="5" t="s">
        <v>32</v>
      </c>
      <c r="E1387" s="5" t="s">
        <v>946</v>
      </c>
      <c r="F1387" s="9" t="s">
        <v>947</v>
      </c>
      <c r="G1387" s="9">
        <v>1115</v>
      </c>
      <c r="H1387" s="5" t="s">
        <v>20</v>
      </c>
      <c r="I1387" s="5" t="s">
        <v>3378</v>
      </c>
      <c r="J1387" s="12" t="str">
        <f>HYPERLINK("https://www.boe.es/gazeta/dias/1806/12/24/pdfs/GMD-1806-105E.pdf#page=3","Abrir facsímil")</f>
        <v>Abrir facsímil</v>
      </c>
      <c r="K1387" s="15" t="s">
        <v>22</v>
      </c>
    </row>
    <row r="1388" spans="1:11" ht="42" customHeight="1">
      <c r="A1388" s="4" t="s">
        <v>3379</v>
      </c>
      <c r="B1388" s="5" t="s">
        <v>3380</v>
      </c>
      <c r="C1388" s="5" t="s">
        <v>42</v>
      </c>
      <c r="D1388" s="5" t="s">
        <v>43</v>
      </c>
      <c r="E1388" s="5" t="s">
        <v>191</v>
      </c>
      <c r="F1388" s="9">
        <v>103</v>
      </c>
      <c r="G1388" s="9">
        <v>1098</v>
      </c>
      <c r="H1388" s="5" t="s">
        <v>20</v>
      </c>
      <c r="I1388" s="5" t="s">
        <v>3381</v>
      </c>
      <c r="J1388" s="12" t="str">
        <f>HYPERLINK("https://www.boe.es/gazeta/dias/1806/12/19/pdfs/GMD-1806-103.pdf#page=10","Abrir facsímil")</f>
        <v>Abrir facsímil</v>
      </c>
      <c r="K1388" s="15" t="s">
        <v>22</v>
      </c>
    </row>
    <row r="1389" spans="1:11" ht="42" customHeight="1">
      <c r="A1389" s="4" t="s">
        <v>3382</v>
      </c>
      <c r="B1389" s="5" t="s">
        <v>3383</v>
      </c>
      <c r="C1389" s="5" t="s">
        <v>31</v>
      </c>
      <c r="D1389" s="5" t="s">
        <v>32</v>
      </c>
      <c r="E1389" s="5" t="s">
        <v>121</v>
      </c>
      <c r="F1389" s="9">
        <v>19</v>
      </c>
      <c r="G1389" s="9">
        <v>173</v>
      </c>
      <c r="H1389" s="5" t="s">
        <v>20</v>
      </c>
      <c r="I1389" s="5" t="s">
        <v>3384</v>
      </c>
      <c r="J1389" s="12" t="str">
        <f>HYPERLINK("https://www.boe.es/gazeta/dias/1806/02/28/pdfs/GMD-1806-19.pdf#page=9","Abrir facsímil")</f>
        <v>Abrir facsímil</v>
      </c>
      <c r="K1389" s="15" t="s">
        <v>22</v>
      </c>
    </row>
    <row r="1390" spans="1:11" ht="42" customHeight="1">
      <c r="A1390" s="4" t="s">
        <v>3385</v>
      </c>
      <c r="B1390" s="5" t="s">
        <v>3386</v>
      </c>
      <c r="C1390" s="5" t="s">
        <v>17</v>
      </c>
      <c r="D1390" s="5" t="s">
        <v>18</v>
      </c>
      <c r="E1390" s="5" t="s">
        <v>110</v>
      </c>
      <c r="F1390" s="9">
        <v>55</v>
      </c>
      <c r="G1390" s="9">
        <v>575</v>
      </c>
      <c r="H1390" s="5" t="s">
        <v>20</v>
      </c>
      <c r="I1390" s="5" t="s">
        <v>3387</v>
      </c>
      <c r="J1390" s="12" t="str">
        <f>HYPERLINK("https://www.boe.es/gazeta/dias/1806/07/04/pdfs/GMD-1806-55.pdf#page=11","Abrir facsímil")</f>
        <v>Abrir facsímil</v>
      </c>
      <c r="K1390" s="15" t="s">
        <v>22</v>
      </c>
    </row>
    <row r="1391" spans="1:11" ht="42" customHeight="1">
      <c r="A1391" s="4" t="s">
        <v>3388</v>
      </c>
      <c r="B1391" s="5" t="s">
        <v>3389</v>
      </c>
      <c r="C1391" s="5" t="s">
        <v>17</v>
      </c>
      <c r="D1391" s="5" t="s">
        <v>18</v>
      </c>
      <c r="E1391" s="5" t="s">
        <v>238</v>
      </c>
      <c r="F1391" s="9">
        <v>18</v>
      </c>
      <c r="G1391" s="9">
        <v>161</v>
      </c>
      <c r="H1391" s="5" t="s">
        <v>20</v>
      </c>
      <c r="I1391" s="5" t="s">
        <v>3390</v>
      </c>
      <c r="J1391" s="12" t="str">
        <f>HYPERLINK("https://www.boe.es/gazeta/dias/1806/02/25/pdfs/GMD-1806-18.pdf#page=9","Abrir facsímil")</f>
        <v>Abrir facsímil</v>
      </c>
      <c r="K1391" s="15" t="s">
        <v>22</v>
      </c>
    </row>
    <row r="1392" spans="1:11" ht="42" customHeight="1">
      <c r="A1392" s="4" t="s">
        <v>3391</v>
      </c>
      <c r="B1392" s="5" t="s">
        <v>3392</v>
      </c>
      <c r="C1392" s="5" t="s">
        <v>42</v>
      </c>
      <c r="D1392" s="5" t="s">
        <v>43</v>
      </c>
      <c r="E1392" s="5" t="s">
        <v>44</v>
      </c>
      <c r="F1392" s="9">
        <v>42</v>
      </c>
      <c r="G1392" s="9">
        <v>421</v>
      </c>
      <c r="H1392" s="5" t="s">
        <v>20</v>
      </c>
      <c r="I1392" s="5" t="s">
        <v>3393</v>
      </c>
      <c r="J1392" s="12" t="str">
        <f>HYPERLINK("https://www.boe.es/gazeta/dias/1806/05/20/pdfs/GMD-1806-42.pdf#page=9","Abrir facsímil")</f>
        <v>Abrir facsímil</v>
      </c>
      <c r="K1392" s="15" t="s">
        <v>22</v>
      </c>
    </row>
    <row r="1393" spans="1:11" ht="42" customHeight="1">
      <c r="A1393" s="4" t="s">
        <v>3394</v>
      </c>
      <c r="B1393" s="5" t="s">
        <v>3395</v>
      </c>
      <c r="C1393" s="5" t="s">
        <v>17</v>
      </c>
      <c r="D1393" s="5" t="s">
        <v>18</v>
      </c>
      <c r="E1393" s="5" t="s">
        <v>290</v>
      </c>
      <c r="F1393" s="9">
        <v>1</v>
      </c>
      <c r="G1393" s="9">
        <v>7</v>
      </c>
      <c r="H1393" s="5" t="s">
        <v>20</v>
      </c>
      <c r="I1393" s="5" t="s">
        <v>3396</v>
      </c>
      <c r="J1393" s="12" t="str">
        <f>HYPERLINK("https://www.boe.es/gazeta/dias/1806/01/03/pdfs/GMD-1806-1.pdf#page=7","Abrir facsímil")</f>
        <v>Abrir facsímil</v>
      </c>
      <c r="K1393" s="15" t="s">
        <v>22</v>
      </c>
    </row>
    <row r="1394" spans="1:11" ht="42" customHeight="1">
      <c r="A1394" s="4" t="s">
        <v>3397</v>
      </c>
      <c r="B1394" s="5" t="s">
        <v>3398</v>
      </c>
      <c r="C1394" s="5" t="s">
        <v>31</v>
      </c>
      <c r="D1394" s="5" t="s">
        <v>32</v>
      </c>
      <c r="E1394" s="5" t="s">
        <v>285</v>
      </c>
      <c r="F1394" s="9">
        <v>13</v>
      </c>
      <c r="G1394" s="9">
        <v>114</v>
      </c>
      <c r="H1394" s="5" t="s">
        <v>20</v>
      </c>
      <c r="I1394" s="5" t="s">
        <v>3399</v>
      </c>
      <c r="J1394" s="12" t="str">
        <f>HYPERLINK("https://www.boe.es/gazeta/dias/1806/02/07/pdfs/GMD-1806-13.pdf#page=6","Abrir facsímil")</f>
        <v>Abrir facsímil</v>
      </c>
      <c r="K1394" s="15" t="s">
        <v>22</v>
      </c>
    </row>
    <row r="1395" spans="1:11" ht="42" customHeight="1">
      <c r="A1395" s="4" t="s">
        <v>3400</v>
      </c>
      <c r="B1395" s="5" t="s">
        <v>3401</v>
      </c>
      <c r="C1395" s="5" t="s">
        <v>31</v>
      </c>
      <c r="D1395" s="5" t="s">
        <v>32</v>
      </c>
      <c r="E1395" s="5" t="s">
        <v>285</v>
      </c>
      <c r="F1395" s="9">
        <v>13</v>
      </c>
      <c r="G1395" s="9">
        <v>115</v>
      </c>
      <c r="H1395" s="5" t="s">
        <v>20</v>
      </c>
      <c r="I1395" s="5" t="s">
        <v>3402</v>
      </c>
      <c r="J1395" s="12" t="str">
        <f>HYPERLINK("https://www.boe.es/gazeta/dias/1806/02/07/pdfs/GMD-1806-13.pdf#page=7","Abrir facsímil")</f>
        <v>Abrir facsímil</v>
      </c>
      <c r="K1395" s="15" t="s">
        <v>22</v>
      </c>
    </row>
    <row r="1396" spans="1:11" ht="42" customHeight="1">
      <c r="A1396" s="4" t="s">
        <v>3403</v>
      </c>
      <c r="B1396" s="5" t="s">
        <v>3404</v>
      </c>
      <c r="C1396" s="5" t="s">
        <v>69</v>
      </c>
      <c r="D1396" s="5" t="s">
        <v>70</v>
      </c>
      <c r="E1396" s="5" t="s">
        <v>71</v>
      </c>
      <c r="F1396" s="9">
        <v>29</v>
      </c>
      <c r="G1396" s="9">
        <v>286</v>
      </c>
      <c r="H1396" s="5" t="s">
        <v>20</v>
      </c>
      <c r="I1396" s="5" t="s">
        <v>3405</v>
      </c>
      <c r="J1396" s="12" t="str">
        <f>HYPERLINK("https://www.boe.es/gazeta/dias/1806/04/04/pdfs/GMD-1806-29.pdf#page=6","Abrir facsímil")</f>
        <v>Abrir facsímil</v>
      </c>
      <c r="K1396" s="15" t="s">
        <v>22</v>
      </c>
    </row>
    <row r="1397" spans="1:11" ht="42" customHeight="1">
      <c r="A1397" s="4" t="s">
        <v>3406</v>
      </c>
      <c r="B1397" s="5" t="s">
        <v>3407</v>
      </c>
      <c r="C1397" s="5" t="s">
        <v>36</v>
      </c>
      <c r="D1397" s="5" t="s">
        <v>37</v>
      </c>
      <c r="E1397" s="5" t="s">
        <v>96</v>
      </c>
      <c r="F1397" s="9">
        <v>62</v>
      </c>
      <c r="G1397" s="9">
        <v>648</v>
      </c>
      <c r="H1397" s="5" t="s">
        <v>20</v>
      </c>
      <c r="I1397" s="5" t="s">
        <v>3408</v>
      </c>
      <c r="J1397" s="12" t="str">
        <f>HYPERLINK("https://www.boe.es/gazeta/dias/1806/07/29/pdfs/GMD-1806-62.pdf#page=8","Abrir facsímil")</f>
        <v>Abrir facsímil</v>
      </c>
      <c r="K1397" s="15" t="s">
        <v>22</v>
      </c>
    </row>
    <row r="1398" spans="1:11" ht="42" customHeight="1">
      <c r="A1398" s="4" t="s">
        <v>3409</v>
      </c>
      <c r="B1398" s="5" t="s">
        <v>3410</v>
      </c>
      <c r="C1398" s="5" t="s">
        <v>17</v>
      </c>
      <c r="D1398" s="5" t="s">
        <v>18</v>
      </c>
      <c r="E1398" s="5" t="s">
        <v>396</v>
      </c>
      <c r="F1398" s="9">
        <v>91</v>
      </c>
      <c r="G1398" s="9">
        <v>946</v>
      </c>
      <c r="H1398" s="5" t="s">
        <v>20</v>
      </c>
      <c r="I1398" s="5" t="s">
        <v>3411</v>
      </c>
      <c r="J1398" s="12" t="str">
        <f>HYPERLINK("https://www.boe.es/gazeta/dias/1806/11/07/pdfs/GMD-1806-91.pdf#page=10","Abrir facsímil")</f>
        <v>Abrir facsímil</v>
      </c>
      <c r="K1398" s="15" t="s">
        <v>22</v>
      </c>
    </row>
    <row r="1399" spans="1:11" ht="42" customHeight="1">
      <c r="A1399" s="4" t="s">
        <v>3412</v>
      </c>
      <c r="B1399" s="5" t="s">
        <v>3413</v>
      </c>
      <c r="C1399" s="5" t="s">
        <v>42</v>
      </c>
      <c r="D1399" s="5" t="s">
        <v>43</v>
      </c>
      <c r="E1399" s="5" t="s">
        <v>400</v>
      </c>
      <c r="F1399" s="9">
        <v>22</v>
      </c>
      <c r="G1399" s="9">
        <v>207</v>
      </c>
      <c r="H1399" s="5" t="s">
        <v>20</v>
      </c>
      <c r="I1399" s="5" t="s">
        <v>3414</v>
      </c>
      <c r="J1399" s="12" t="str">
        <f>HYPERLINK("https://www.boe.es/gazeta/dias/1806/03/11/pdfs/GMD-1806-22.pdf#page=7","Abrir facsímil")</f>
        <v>Abrir facsímil</v>
      </c>
      <c r="K1399" s="15" t="s">
        <v>22</v>
      </c>
    </row>
    <row r="1400" spans="1:11" ht="42" customHeight="1">
      <c r="A1400" s="4" t="s">
        <v>3415</v>
      </c>
      <c r="B1400" s="5" t="s">
        <v>3416</v>
      </c>
      <c r="C1400" s="5" t="s">
        <v>17</v>
      </c>
      <c r="D1400" s="5" t="s">
        <v>18</v>
      </c>
      <c r="E1400" s="5" t="s">
        <v>1031</v>
      </c>
      <c r="F1400" s="9">
        <v>107</v>
      </c>
      <c r="G1400" s="9">
        <v>1131</v>
      </c>
      <c r="H1400" s="5" t="s">
        <v>20</v>
      </c>
      <c r="I1400" s="5" t="s">
        <v>3417</v>
      </c>
      <c r="J1400" s="12" t="str">
        <f>HYPERLINK("https://www.boe.es/gazeta/dias/1806/12/30/pdfs/GMD-1806-107.pdf#page=7","Abrir facsímil")</f>
        <v>Abrir facsímil</v>
      </c>
      <c r="K1400" s="15" t="s">
        <v>22</v>
      </c>
    </row>
    <row r="1401" spans="1:11" ht="42" customHeight="1">
      <c r="A1401" s="4" t="s">
        <v>3418</v>
      </c>
      <c r="B1401" s="5" t="s">
        <v>3419</v>
      </c>
      <c r="C1401" s="5" t="s">
        <v>17</v>
      </c>
      <c r="D1401" s="5" t="s">
        <v>18</v>
      </c>
      <c r="E1401" s="5" t="s">
        <v>55</v>
      </c>
      <c r="F1401" s="9">
        <v>20</v>
      </c>
      <c r="G1401" s="9">
        <v>184</v>
      </c>
      <c r="H1401" s="5" t="s">
        <v>20</v>
      </c>
      <c r="I1401" s="5" t="s">
        <v>3420</v>
      </c>
      <c r="J1401" s="12" t="str">
        <f>HYPERLINK("https://www.boe.es/gazeta/dias/1806/03/04/pdfs/GMD-1806-20.pdf#page=8","Abrir facsímil")</f>
        <v>Abrir facsímil</v>
      </c>
      <c r="K1401" s="15" t="s">
        <v>22</v>
      </c>
    </row>
    <row r="1402" spans="1:11" ht="42" customHeight="1">
      <c r="A1402" s="4" t="s">
        <v>3421</v>
      </c>
      <c r="B1402" s="5" t="s">
        <v>3422</v>
      </c>
      <c r="C1402" s="5" t="s">
        <v>31</v>
      </c>
      <c r="D1402" s="5" t="s">
        <v>32</v>
      </c>
      <c r="E1402" s="5" t="s">
        <v>24</v>
      </c>
      <c r="F1402" s="9">
        <v>32</v>
      </c>
      <c r="G1402" s="9">
        <v>316</v>
      </c>
      <c r="H1402" s="5" t="s">
        <v>20</v>
      </c>
      <c r="I1402" s="5" t="s">
        <v>3423</v>
      </c>
      <c r="J1402" s="12" t="str">
        <f>HYPERLINK("https://www.boe.es/gazeta/dias/1806/04/15/pdfs/GMD-1806-32.pdf#page=8","Abrir facsímil")</f>
        <v>Abrir facsímil</v>
      </c>
      <c r="K1402" s="15" t="s">
        <v>22</v>
      </c>
    </row>
    <row r="1403" spans="1:11" ht="42" customHeight="1">
      <c r="A1403" s="4" t="s">
        <v>3424</v>
      </c>
      <c r="B1403" s="5" t="s">
        <v>3425</v>
      </c>
      <c r="C1403" s="5" t="s">
        <v>17</v>
      </c>
      <c r="D1403" s="5" t="s">
        <v>18</v>
      </c>
      <c r="E1403" s="5" t="s">
        <v>810</v>
      </c>
      <c r="F1403" s="9">
        <v>71</v>
      </c>
      <c r="G1403" s="9">
        <v>740</v>
      </c>
      <c r="H1403" s="5" t="s">
        <v>20</v>
      </c>
      <c r="I1403" s="5" t="s">
        <v>3426</v>
      </c>
      <c r="J1403" s="12" t="str">
        <f>HYPERLINK("https://www.boe.es/gazeta/dias/1806/08/29/pdfs/GMD-1806-71.pdf#page=8","Abrir facsímil")</f>
        <v>Abrir facsímil</v>
      </c>
      <c r="K1403" s="15" t="s">
        <v>22</v>
      </c>
    </row>
    <row r="1404" spans="1:11" ht="42" customHeight="1">
      <c r="A1404" s="4" t="s">
        <v>3427</v>
      </c>
      <c r="B1404" s="5" t="s">
        <v>3428</v>
      </c>
      <c r="C1404" s="5" t="s">
        <v>31</v>
      </c>
      <c r="D1404" s="5" t="s">
        <v>32</v>
      </c>
      <c r="E1404" s="5" t="s">
        <v>661</v>
      </c>
      <c r="F1404" s="9">
        <v>38</v>
      </c>
      <c r="G1404" s="9">
        <v>373</v>
      </c>
      <c r="H1404" s="5" t="s">
        <v>20</v>
      </c>
      <c r="I1404" s="5" t="s">
        <v>3429</v>
      </c>
      <c r="J1404" s="12" t="str">
        <f>HYPERLINK("https://www.boe.es/gazeta/dias/1806/05/06/pdfs/GMD-1806-38.pdf#page=9","Abrir facsímil")</f>
        <v>Abrir facsímil</v>
      </c>
      <c r="K1404" s="15" t="s">
        <v>22</v>
      </c>
    </row>
    <row r="1405" spans="1:11" ht="42" customHeight="1">
      <c r="A1405" s="4" t="s">
        <v>3430</v>
      </c>
      <c r="B1405" s="5" t="s">
        <v>3431</v>
      </c>
      <c r="C1405" s="5" t="s">
        <v>31</v>
      </c>
      <c r="D1405" s="5" t="s">
        <v>32</v>
      </c>
      <c r="E1405" s="5" t="s">
        <v>121</v>
      </c>
      <c r="F1405" s="9">
        <v>19</v>
      </c>
      <c r="G1405" s="9">
        <v>172</v>
      </c>
      <c r="H1405" s="5" t="s">
        <v>20</v>
      </c>
      <c r="I1405" s="5" t="s">
        <v>3432</v>
      </c>
      <c r="J1405" s="12" t="str">
        <f>HYPERLINK("https://www.boe.es/gazeta/dias/1806/02/28/pdfs/GMD-1806-19.pdf#page=8","Abrir facsímil")</f>
        <v>Abrir facsímil</v>
      </c>
      <c r="K1405" s="15" t="s">
        <v>22</v>
      </c>
    </row>
    <row r="1406" spans="1:11" ht="42" customHeight="1">
      <c r="A1406" s="4" t="s">
        <v>3433</v>
      </c>
      <c r="B1406" s="5" t="s">
        <v>3434</v>
      </c>
      <c r="C1406" s="5" t="s">
        <v>42</v>
      </c>
      <c r="D1406" s="5" t="s">
        <v>43</v>
      </c>
      <c r="E1406" s="5" t="s">
        <v>383</v>
      </c>
      <c r="F1406" s="9">
        <v>54</v>
      </c>
      <c r="G1406" s="9">
        <v>562</v>
      </c>
      <c r="H1406" s="5" t="s">
        <v>20</v>
      </c>
      <c r="I1406" s="5" t="s">
        <v>3435</v>
      </c>
      <c r="J1406" s="12" t="str">
        <f>HYPERLINK("https://www.boe.es/gazeta/dias/1806/07/01/pdfs/GMD-1806-54.pdf#page=6","Abrir facsímil")</f>
        <v>Abrir facsímil</v>
      </c>
      <c r="K1406" s="15" t="s">
        <v>22</v>
      </c>
    </row>
    <row r="1407" spans="1:11" ht="42" customHeight="1">
      <c r="A1407" s="4" t="s">
        <v>3436</v>
      </c>
      <c r="B1407" s="5" t="s">
        <v>3437</v>
      </c>
      <c r="C1407" s="5" t="s">
        <v>17</v>
      </c>
      <c r="D1407" s="5" t="s">
        <v>18</v>
      </c>
      <c r="E1407" s="5" t="s">
        <v>130</v>
      </c>
      <c r="F1407" s="9">
        <v>66</v>
      </c>
      <c r="G1407" s="9">
        <v>690</v>
      </c>
      <c r="H1407" s="5" t="s">
        <v>20</v>
      </c>
      <c r="I1407" s="5" t="s">
        <v>3438</v>
      </c>
      <c r="J1407" s="12" t="str">
        <f>HYPERLINK("https://www.boe.es/gazeta/dias/1806/08/12/pdfs/GMD-1806-66.pdf#page=6","Abrir facsímil")</f>
        <v>Abrir facsímil</v>
      </c>
      <c r="K1407" s="15" t="s">
        <v>22</v>
      </c>
    </row>
    <row r="1408" spans="1:11" ht="42" customHeight="1">
      <c r="A1408" s="4" t="s">
        <v>3439</v>
      </c>
      <c r="B1408" s="5" t="s">
        <v>3440</v>
      </c>
      <c r="C1408" s="5" t="s">
        <v>75</v>
      </c>
      <c r="D1408" s="5" t="s">
        <v>43</v>
      </c>
      <c r="E1408" s="5" t="s">
        <v>90</v>
      </c>
      <c r="F1408" s="9">
        <v>60</v>
      </c>
      <c r="G1408" s="9">
        <v>626</v>
      </c>
      <c r="H1408" s="5" t="s">
        <v>20</v>
      </c>
      <c r="I1408" s="5" t="s">
        <v>3441</v>
      </c>
      <c r="J1408" s="12" t="str">
        <f>HYPERLINK("https://www.boe.es/gazeta/dias/1806/07/22/pdfs/GMD-1806-60.pdf#page=10","Abrir facsímil")</f>
        <v>Abrir facsímil</v>
      </c>
      <c r="K1408" s="15" t="s">
        <v>22</v>
      </c>
    </row>
    <row r="1409" spans="1:11" ht="42" customHeight="1">
      <c r="A1409" s="4" t="s">
        <v>3442</v>
      </c>
      <c r="B1409" s="5" t="s">
        <v>3443</v>
      </c>
      <c r="C1409" s="5" t="s">
        <v>31</v>
      </c>
      <c r="D1409" s="5" t="s">
        <v>32</v>
      </c>
      <c r="E1409" s="5" t="s">
        <v>103</v>
      </c>
      <c r="F1409" s="9">
        <v>61</v>
      </c>
      <c r="G1409" s="9">
        <v>635</v>
      </c>
      <c r="H1409" s="5" t="s">
        <v>20</v>
      </c>
      <c r="I1409" s="5" t="s">
        <v>3444</v>
      </c>
      <c r="J1409" s="12" t="str">
        <f>HYPERLINK("https://www.boe.es/gazeta/dias/1806/07/25/pdfs/GMD-1806-61.pdf#page=7","Abrir facsímil")</f>
        <v>Abrir facsímil</v>
      </c>
      <c r="K1409" s="15" t="s">
        <v>22</v>
      </c>
    </row>
    <row r="1410" spans="1:11" ht="42" customHeight="1">
      <c r="A1410" s="4" t="s">
        <v>3445</v>
      </c>
      <c r="B1410" s="5" t="s">
        <v>3446</v>
      </c>
      <c r="C1410" s="5" t="s">
        <v>31</v>
      </c>
      <c r="D1410" s="5" t="s">
        <v>32</v>
      </c>
      <c r="E1410" s="5" t="s">
        <v>304</v>
      </c>
      <c r="F1410" s="9">
        <v>47</v>
      </c>
      <c r="G1410" s="9">
        <v>483</v>
      </c>
      <c r="H1410" s="5" t="s">
        <v>20</v>
      </c>
      <c r="I1410" s="5" t="s">
        <v>3447</v>
      </c>
      <c r="J1410" s="12" t="str">
        <f>HYPERLINK("https://www.boe.es/gazeta/dias/1806/06/06/pdfs/GMD-C-1806-47.pdf#page=3","Abrir facsímil")</f>
        <v>Abrir facsímil</v>
      </c>
      <c r="K1410" s="15" t="s">
        <v>22</v>
      </c>
    </row>
    <row r="1411" spans="1:11" ht="42" customHeight="1">
      <c r="A1411" s="4" t="s">
        <v>3448</v>
      </c>
      <c r="B1411" s="5" t="s">
        <v>3449</v>
      </c>
      <c r="C1411" s="5" t="s">
        <v>17</v>
      </c>
      <c r="D1411" s="5" t="s">
        <v>18</v>
      </c>
      <c r="E1411" s="5" t="s">
        <v>136</v>
      </c>
      <c r="F1411" s="9">
        <v>50</v>
      </c>
      <c r="G1411" s="9">
        <v>514</v>
      </c>
      <c r="H1411" s="5" t="s">
        <v>20</v>
      </c>
      <c r="I1411" s="5" t="s">
        <v>3450</v>
      </c>
      <c r="J1411" s="12" t="str">
        <f>HYPERLINK("https://www.boe.es/gazeta/dias/1806/06/17/pdfs/GMD-1806-50.pdf#page=6","Abrir facsímil")</f>
        <v>Abrir facsímil</v>
      </c>
      <c r="K1411" s="15" t="s">
        <v>22</v>
      </c>
    </row>
    <row r="1412" spans="1:11" ht="42" customHeight="1">
      <c r="A1412" s="4" t="s">
        <v>3451</v>
      </c>
      <c r="B1412" s="5" t="s">
        <v>3452</v>
      </c>
      <c r="C1412" s="5" t="s">
        <v>447</v>
      </c>
      <c r="D1412" s="5" t="s">
        <v>448</v>
      </c>
      <c r="E1412" s="5" t="s">
        <v>304</v>
      </c>
      <c r="F1412" s="9">
        <v>47</v>
      </c>
      <c r="G1412" s="9">
        <v>483</v>
      </c>
      <c r="H1412" s="5" t="s">
        <v>20</v>
      </c>
      <c r="I1412" s="5" t="s">
        <v>3453</v>
      </c>
      <c r="J1412" s="12" t="str">
        <f>HYPERLINK("https://www.boe.es/gazeta/dias/1806/06/06/pdfs/GMD-C-1806-47.pdf#page=3","Abrir facsímil")</f>
        <v>Abrir facsímil</v>
      </c>
      <c r="K1412" s="15" t="s">
        <v>22</v>
      </c>
    </row>
    <row r="1413" spans="1:11" ht="42" customHeight="1">
      <c r="A1413" s="4" t="s">
        <v>3454</v>
      </c>
      <c r="B1413" s="5" t="s">
        <v>3455</v>
      </c>
      <c r="C1413" s="5" t="s">
        <v>31</v>
      </c>
      <c r="D1413" s="5" t="s">
        <v>32</v>
      </c>
      <c r="E1413" s="5" t="s">
        <v>118</v>
      </c>
      <c r="F1413" s="9">
        <v>15</v>
      </c>
      <c r="G1413" s="9">
        <v>134</v>
      </c>
      <c r="H1413" s="5" t="s">
        <v>20</v>
      </c>
      <c r="I1413" s="5" t="s">
        <v>3456</v>
      </c>
      <c r="J1413" s="12" t="str">
        <f>HYPERLINK("https://www.boe.es/gazeta/dias/1806/02/14/pdfs/GMD-1806-15.pdf#page=10","Abrir facsímil")</f>
        <v>Abrir facsímil</v>
      </c>
      <c r="K1413" s="15" t="s">
        <v>22</v>
      </c>
    </row>
    <row r="1414" spans="1:11" ht="42" customHeight="1">
      <c r="A1414" s="4" t="s">
        <v>3457</v>
      </c>
      <c r="B1414" s="5" t="s">
        <v>3458</v>
      </c>
      <c r="C1414" s="5" t="s">
        <v>31</v>
      </c>
      <c r="D1414" s="5" t="s">
        <v>32</v>
      </c>
      <c r="E1414" s="5" t="s">
        <v>24</v>
      </c>
      <c r="F1414" s="9">
        <v>32</v>
      </c>
      <c r="G1414" s="9">
        <v>316</v>
      </c>
      <c r="H1414" s="5" t="s">
        <v>20</v>
      </c>
      <c r="I1414" s="5" t="s">
        <v>3459</v>
      </c>
      <c r="J1414" s="12" t="str">
        <f>HYPERLINK("https://www.boe.es/gazeta/dias/1806/04/15/pdfs/GMD-1806-32.pdf#page=8","Abrir facsímil")</f>
        <v>Abrir facsímil</v>
      </c>
      <c r="K1414" s="15" t="s">
        <v>22</v>
      </c>
    </row>
    <row r="1415" spans="1:11" ht="42" customHeight="1">
      <c r="A1415" s="4" t="s">
        <v>3460</v>
      </c>
      <c r="B1415" s="5" t="s">
        <v>3461</v>
      </c>
      <c r="C1415" s="5" t="s">
        <v>31</v>
      </c>
      <c r="D1415" s="5" t="s">
        <v>32</v>
      </c>
      <c r="E1415" s="5" t="s">
        <v>580</v>
      </c>
      <c r="F1415" s="9">
        <v>23</v>
      </c>
      <c r="G1415" s="9">
        <v>220</v>
      </c>
      <c r="H1415" s="5" t="s">
        <v>20</v>
      </c>
      <c r="I1415" s="5" t="s">
        <v>3462</v>
      </c>
      <c r="J1415" s="12" t="str">
        <f>HYPERLINK("https://www.boe.es/gazeta/dias/1806/03/14/pdfs/GMD-1806-23.pdf#page=8","Abrir facsímil")</f>
        <v>Abrir facsímil</v>
      </c>
      <c r="K1415" s="15" t="s">
        <v>22</v>
      </c>
    </row>
    <row r="1416" spans="1:11" ht="42" customHeight="1">
      <c r="A1416" s="4" t="s">
        <v>3463</v>
      </c>
      <c r="B1416" s="5" t="s">
        <v>3464</v>
      </c>
      <c r="C1416" s="5" t="s">
        <v>31</v>
      </c>
      <c r="D1416" s="5" t="s">
        <v>32</v>
      </c>
      <c r="E1416" s="5" t="s">
        <v>118</v>
      </c>
      <c r="F1416" s="9">
        <v>15</v>
      </c>
      <c r="G1416" s="9">
        <v>134</v>
      </c>
      <c r="H1416" s="5" t="s">
        <v>20</v>
      </c>
      <c r="I1416" s="5" t="s">
        <v>3465</v>
      </c>
      <c r="J1416" s="12" t="str">
        <f>HYPERLINK("https://www.boe.es/gazeta/dias/1806/02/14/pdfs/GMD-1806-15.pdf#page=10","Abrir facsímil")</f>
        <v>Abrir facsímil</v>
      </c>
      <c r="K1416" s="15" t="s">
        <v>22</v>
      </c>
    </row>
    <row r="1417" spans="1:11" ht="42" customHeight="1">
      <c r="A1417" s="4" t="s">
        <v>3466</v>
      </c>
      <c r="B1417" s="5" t="s">
        <v>3467</v>
      </c>
      <c r="C1417" s="5" t="s">
        <v>69</v>
      </c>
      <c r="D1417" s="5" t="s">
        <v>70</v>
      </c>
      <c r="E1417" s="5" t="s">
        <v>175</v>
      </c>
      <c r="F1417" s="9">
        <v>40</v>
      </c>
      <c r="G1417" s="9">
        <v>389</v>
      </c>
      <c r="H1417" s="5" t="s">
        <v>20</v>
      </c>
      <c r="I1417" s="5" t="s">
        <v>3468</v>
      </c>
      <c r="J1417" s="12" t="str">
        <f>HYPERLINK("https://www.boe.es/gazeta/dias/1806/05/13/pdfs/GMD-1806-40.pdf#page=1","Abrir facsímil")</f>
        <v>Abrir facsímil</v>
      </c>
      <c r="K1417" s="15" t="s">
        <v>22</v>
      </c>
    </row>
    <row r="1418" spans="1:11" ht="42" customHeight="1">
      <c r="A1418" s="4" t="s">
        <v>3466</v>
      </c>
      <c r="B1418" s="5" t="s">
        <v>3467</v>
      </c>
      <c r="C1418" s="5" t="s">
        <v>17</v>
      </c>
      <c r="D1418" s="5" t="s">
        <v>18</v>
      </c>
      <c r="E1418" s="5" t="s">
        <v>554</v>
      </c>
      <c r="F1418" s="9">
        <v>90</v>
      </c>
      <c r="G1418" s="9">
        <v>933</v>
      </c>
      <c r="H1418" s="5" t="s">
        <v>20</v>
      </c>
      <c r="I1418" s="5" t="s">
        <v>3469</v>
      </c>
      <c r="J1418" s="12" t="str">
        <f>HYPERLINK("https://www.boe.es/gazeta/dias/1806/11/04/pdfs/GMD-1806-90.pdf#page=9","Abrir facsímil")</f>
        <v>Abrir facsímil</v>
      </c>
      <c r="K1418" s="15" t="s">
        <v>22</v>
      </c>
    </row>
    <row r="1419" spans="1:11" ht="42" customHeight="1">
      <c r="A1419" s="4" t="s">
        <v>3466</v>
      </c>
      <c r="B1419" s="5" t="s">
        <v>3467</v>
      </c>
      <c r="C1419" s="5" t="s">
        <v>69</v>
      </c>
      <c r="D1419" s="5" t="s">
        <v>70</v>
      </c>
      <c r="E1419" s="5" t="s">
        <v>38</v>
      </c>
      <c r="F1419" s="9">
        <v>92</v>
      </c>
      <c r="G1419" s="9">
        <v>953</v>
      </c>
      <c r="H1419" s="5" t="s">
        <v>20</v>
      </c>
      <c r="I1419" s="5" t="s">
        <v>3470</v>
      </c>
      <c r="J1419" s="12" t="str">
        <f>HYPERLINK("https://www.boe.es/gazeta/dias/1806/11/11/pdfs/GMD-1806-92.pdf#page=5","Abrir facsímil")</f>
        <v>Abrir facsímil</v>
      </c>
      <c r="K1419" s="15" t="s">
        <v>22</v>
      </c>
    </row>
    <row r="1420" spans="1:11" ht="42" customHeight="1">
      <c r="A1420" s="4" t="s">
        <v>3471</v>
      </c>
      <c r="B1420" s="5" t="s">
        <v>3472</v>
      </c>
      <c r="C1420" s="5" t="s">
        <v>31</v>
      </c>
      <c r="D1420" s="5" t="s">
        <v>32</v>
      </c>
      <c r="E1420" s="5" t="s">
        <v>554</v>
      </c>
      <c r="F1420" s="9">
        <v>90</v>
      </c>
      <c r="G1420" s="9">
        <v>930</v>
      </c>
      <c r="H1420" s="5" t="s">
        <v>20</v>
      </c>
      <c r="I1420" s="5" t="s">
        <v>3473</v>
      </c>
      <c r="J1420" s="12" t="str">
        <f>HYPERLINK("https://www.boe.es/gazeta/dias/1806/11/04/pdfs/GMD-1806-90.pdf#page=6","Abrir facsímil")</f>
        <v>Abrir facsímil</v>
      </c>
      <c r="K1420" s="15" t="s">
        <v>22</v>
      </c>
    </row>
    <row r="1421" spans="1:11" ht="42" customHeight="1">
      <c r="A1421" s="4" t="s">
        <v>3471</v>
      </c>
      <c r="B1421" s="5" t="s">
        <v>3472</v>
      </c>
      <c r="C1421" s="5" t="s">
        <v>31</v>
      </c>
      <c r="D1421" s="5" t="s">
        <v>32</v>
      </c>
      <c r="E1421" s="5" t="s">
        <v>76</v>
      </c>
      <c r="F1421" s="9">
        <v>98</v>
      </c>
      <c r="G1421" s="9">
        <v>1040</v>
      </c>
      <c r="H1421" s="5" t="s">
        <v>20</v>
      </c>
      <c r="I1421" s="5" t="s">
        <v>3474</v>
      </c>
      <c r="J1421" s="12" t="str">
        <f>HYPERLINK("https://www.boe.es/gazeta/dias/1806/12/02/pdfs/GMD-1806-98.pdf#page=8","Abrir facsímil")</f>
        <v>Abrir facsímil</v>
      </c>
      <c r="K1421" s="15" t="s">
        <v>22</v>
      </c>
    </row>
    <row r="1422" spans="1:11" ht="42" customHeight="1">
      <c r="A1422" s="4" t="s">
        <v>3475</v>
      </c>
      <c r="B1422" s="5" t="s">
        <v>3476</v>
      </c>
      <c r="C1422" s="5" t="s">
        <v>69</v>
      </c>
      <c r="D1422" s="5" t="s">
        <v>70</v>
      </c>
      <c r="E1422" s="5" t="s">
        <v>554</v>
      </c>
      <c r="F1422" s="9">
        <v>90</v>
      </c>
      <c r="G1422" s="9">
        <v>932</v>
      </c>
      <c r="H1422" s="5" t="s">
        <v>20</v>
      </c>
      <c r="I1422" s="5" t="s">
        <v>3477</v>
      </c>
      <c r="J1422" s="12" t="str">
        <f>HYPERLINK("https://www.boe.es/gazeta/dias/1806/11/04/pdfs/GMD-1806-90.pdf#page=8","Abrir facsímil")</f>
        <v>Abrir facsímil</v>
      </c>
      <c r="K1422" s="15" t="s">
        <v>22</v>
      </c>
    </row>
    <row r="1423" spans="1:11" ht="42" customHeight="1">
      <c r="A1423" s="4" t="s">
        <v>3475</v>
      </c>
      <c r="B1423" s="5" t="s">
        <v>3476</v>
      </c>
      <c r="C1423" s="5" t="s">
        <v>69</v>
      </c>
      <c r="D1423" s="5" t="s">
        <v>70</v>
      </c>
      <c r="E1423" s="5" t="s">
        <v>570</v>
      </c>
      <c r="F1423" s="9">
        <v>93</v>
      </c>
      <c r="G1423" s="9">
        <v>967</v>
      </c>
      <c r="H1423" s="5" t="s">
        <v>20</v>
      </c>
      <c r="I1423" s="5" t="s">
        <v>3478</v>
      </c>
      <c r="J1423" s="12" t="str">
        <f>HYPERLINK("https://www.boe.es/gazeta/dias/1806/11/14/pdfs/GMD-1806-93.pdf#page=3","Abrir facsímil")</f>
        <v>Abrir facsímil</v>
      </c>
      <c r="K1423" s="15" t="s">
        <v>22</v>
      </c>
    </row>
    <row r="1424" spans="1:11" ht="42" customHeight="1">
      <c r="A1424" s="4" t="s">
        <v>3479</v>
      </c>
      <c r="B1424" s="5" t="s">
        <v>3480</v>
      </c>
      <c r="C1424" s="5" t="s">
        <v>75</v>
      </c>
      <c r="D1424" s="5" t="s">
        <v>43</v>
      </c>
      <c r="E1424" s="5" t="s">
        <v>430</v>
      </c>
      <c r="F1424" s="9">
        <v>12</v>
      </c>
      <c r="G1424" s="9">
        <v>107</v>
      </c>
      <c r="H1424" s="5" t="s">
        <v>20</v>
      </c>
      <c r="I1424" s="5" t="s">
        <v>3481</v>
      </c>
      <c r="J1424" s="12" t="str">
        <f>HYPERLINK("https://www.boe.es/gazeta/dias/1806/02/04/pdfs/GMD-1806-12.pdf#page=7","Abrir facsímil")</f>
        <v>Abrir facsímil</v>
      </c>
      <c r="K1424" s="15" t="s">
        <v>22</v>
      </c>
    </row>
    <row r="1425" spans="1:11" ht="42" customHeight="1">
      <c r="A1425" s="4" t="s">
        <v>3482</v>
      </c>
      <c r="B1425" s="5" t="s">
        <v>3483</v>
      </c>
      <c r="C1425" s="5" t="s">
        <v>17</v>
      </c>
      <c r="D1425" s="5" t="s">
        <v>18</v>
      </c>
      <c r="E1425" s="5" t="s">
        <v>227</v>
      </c>
      <c r="F1425" s="9">
        <v>27</v>
      </c>
      <c r="G1425" s="9">
        <v>272</v>
      </c>
      <c r="H1425" s="5" t="s">
        <v>20</v>
      </c>
      <c r="I1425" s="5" t="s">
        <v>3484</v>
      </c>
      <c r="J1425" s="12" t="str">
        <f>HYPERLINK("https://www.boe.es/gazeta/dias/1806/03/28/pdfs/GMD-1806-27.pdf#page=12","Abrir facsímil")</f>
        <v>Abrir facsímil</v>
      </c>
      <c r="K1425" s="15" t="s">
        <v>22</v>
      </c>
    </row>
    <row r="1426" spans="1:11" ht="42" customHeight="1">
      <c r="A1426" s="4" t="s">
        <v>3485</v>
      </c>
      <c r="B1426" s="5" t="s">
        <v>3486</v>
      </c>
      <c r="C1426" s="5" t="s">
        <v>17</v>
      </c>
      <c r="D1426" s="5" t="s">
        <v>18</v>
      </c>
      <c r="E1426" s="5" t="s">
        <v>780</v>
      </c>
      <c r="F1426" s="9">
        <v>33</v>
      </c>
      <c r="G1426" s="9">
        <v>328</v>
      </c>
      <c r="H1426" s="5" t="s">
        <v>20</v>
      </c>
      <c r="I1426" s="5" t="s">
        <v>3487</v>
      </c>
      <c r="J1426" s="12" t="str">
        <f>HYPERLINK("https://www.boe.es/gazeta/dias/1806/04/18/pdfs/GMD-1806-33.pdf#page=8","Abrir facsímil")</f>
        <v>Abrir facsímil</v>
      </c>
      <c r="K1426" s="15" t="s">
        <v>22</v>
      </c>
    </row>
    <row r="1427" spans="1:11" ht="42" customHeight="1">
      <c r="A1427" s="4" t="s">
        <v>3488</v>
      </c>
      <c r="B1427" s="5" t="s">
        <v>3489</v>
      </c>
      <c r="C1427" s="5" t="s">
        <v>17</v>
      </c>
      <c r="D1427" s="5" t="s">
        <v>18</v>
      </c>
      <c r="E1427" s="5" t="s">
        <v>780</v>
      </c>
      <c r="F1427" s="9">
        <v>33</v>
      </c>
      <c r="G1427" s="9">
        <v>324</v>
      </c>
      <c r="H1427" s="5" t="s">
        <v>20</v>
      </c>
      <c r="I1427" s="5" t="s">
        <v>3490</v>
      </c>
      <c r="J1427" s="12" t="str">
        <f>HYPERLINK("https://www.boe.es/gazeta/dias/1806/04/18/pdfs/GMD-1806-33.pdf#page=4","Abrir facsímil")</f>
        <v>Abrir facsímil</v>
      </c>
      <c r="K1427" s="15" t="s">
        <v>22</v>
      </c>
    </row>
    <row r="1428" spans="1:11" ht="42" customHeight="1">
      <c r="A1428" s="4" t="s">
        <v>3488</v>
      </c>
      <c r="B1428" s="5" t="s">
        <v>3489</v>
      </c>
      <c r="C1428" s="5" t="s">
        <v>69</v>
      </c>
      <c r="D1428" s="5" t="s">
        <v>70</v>
      </c>
      <c r="E1428" s="5" t="s">
        <v>309</v>
      </c>
      <c r="F1428" s="9">
        <v>41</v>
      </c>
      <c r="G1428" s="9">
        <v>402</v>
      </c>
      <c r="H1428" s="5" t="s">
        <v>20</v>
      </c>
      <c r="I1428" s="5" t="s">
        <v>3491</v>
      </c>
      <c r="J1428" s="12" t="str">
        <f>HYPERLINK("https://www.boe.es/gazeta/dias/1806/05/16/pdfs/GMD-1806-41.pdf#page=2","Abrir facsímil")</f>
        <v>Abrir facsímil</v>
      </c>
      <c r="K1428" s="15" t="s">
        <v>22</v>
      </c>
    </row>
    <row r="1429" spans="1:11" ht="42" customHeight="1">
      <c r="A1429" s="4" t="s">
        <v>3488</v>
      </c>
      <c r="B1429" s="5" t="s">
        <v>3489</v>
      </c>
      <c r="C1429" s="5" t="s">
        <v>69</v>
      </c>
      <c r="D1429" s="5" t="s">
        <v>70</v>
      </c>
      <c r="E1429" s="5" t="s">
        <v>86</v>
      </c>
      <c r="F1429" s="9">
        <v>53</v>
      </c>
      <c r="G1429" s="9">
        <v>548</v>
      </c>
      <c r="H1429" s="5" t="s">
        <v>20</v>
      </c>
      <c r="I1429" s="5" t="s">
        <v>3492</v>
      </c>
      <c r="J1429" s="12" t="str">
        <f>HYPERLINK("https://www.boe.es/gazeta/dias/1806/06/27/pdfs/GMD-1806-53.pdf#page=4","Abrir facsímil")</f>
        <v>Abrir facsímil</v>
      </c>
      <c r="K1429" s="15" t="s">
        <v>22</v>
      </c>
    </row>
    <row r="1430" spans="1:11" ht="42" customHeight="1">
      <c r="A1430" s="4" t="s">
        <v>3493</v>
      </c>
      <c r="B1430" s="5" t="s">
        <v>3494</v>
      </c>
      <c r="C1430" s="5" t="s">
        <v>17</v>
      </c>
      <c r="D1430" s="5" t="s">
        <v>18</v>
      </c>
      <c r="E1430" s="5" t="s">
        <v>178</v>
      </c>
      <c r="F1430" s="9">
        <v>36</v>
      </c>
      <c r="G1430" s="9">
        <v>349</v>
      </c>
      <c r="H1430" s="5" t="s">
        <v>20</v>
      </c>
      <c r="I1430" s="5" t="s">
        <v>3495</v>
      </c>
      <c r="J1430" s="12" t="str">
        <f>HYPERLINK("https://www.boe.es/gazeta/dias/1806/04/29/pdfs/GMD-1806-36.pdf#page=5","Abrir facsímil")</f>
        <v>Abrir facsímil</v>
      </c>
      <c r="K1430" s="15" t="s">
        <v>22</v>
      </c>
    </row>
    <row r="1431" spans="1:11" ht="42" customHeight="1">
      <c r="A1431" s="4" t="s">
        <v>3496</v>
      </c>
      <c r="B1431" s="5" t="s">
        <v>3497</v>
      </c>
      <c r="C1431" s="5" t="s">
        <v>31</v>
      </c>
      <c r="D1431" s="5" t="s">
        <v>32</v>
      </c>
      <c r="E1431" s="5" t="s">
        <v>202</v>
      </c>
      <c r="F1431" s="9">
        <v>30</v>
      </c>
      <c r="G1431" s="9">
        <v>296</v>
      </c>
      <c r="H1431" s="5" t="s">
        <v>20</v>
      </c>
      <c r="I1431" s="5" t="s">
        <v>3498</v>
      </c>
      <c r="J1431" s="12" t="str">
        <f>HYPERLINK("https://www.boe.es/gazeta/dias/1806/04/08/pdfs/GMD-1806-30.pdf#page=8","Abrir facsímil")</f>
        <v>Abrir facsímil</v>
      </c>
      <c r="K1431" s="15" t="s">
        <v>22</v>
      </c>
    </row>
    <row r="1432" spans="1:11" ht="42" customHeight="1">
      <c r="A1432" s="4" t="s">
        <v>3496</v>
      </c>
      <c r="B1432" s="5" t="s">
        <v>3497</v>
      </c>
      <c r="C1432" s="5" t="s">
        <v>31</v>
      </c>
      <c r="D1432" s="5" t="s">
        <v>32</v>
      </c>
      <c r="E1432" s="5" t="s">
        <v>501</v>
      </c>
      <c r="F1432" s="9">
        <v>39</v>
      </c>
      <c r="G1432" s="9">
        <v>386</v>
      </c>
      <c r="H1432" s="5" t="s">
        <v>20</v>
      </c>
      <c r="I1432" s="5" t="s">
        <v>3499</v>
      </c>
      <c r="J1432" s="12" t="str">
        <f>HYPERLINK("https://www.boe.es/gazeta/dias/1806/05/09/pdfs/GMD-1806-39.pdf#page=10","Abrir facsímil")</f>
        <v>Abrir facsímil</v>
      </c>
      <c r="K1432" s="15" t="s">
        <v>22</v>
      </c>
    </row>
    <row r="1433" spans="1:11" ht="42" customHeight="1">
      <c r="A1433" s="4" t="s">
        <v>3496</v>
      </c>
      <c r="B1433" s="5" t="s">
        <v>3497</v>
      </c>
      <c r="C1433" s="5" t="s">
        <v>31</v>
      </c>
      <c r="D1433" s="5" t="s">
        <v>32</v>
      </c>
      <c r="E1433" s="5" t="s">
        <v>716</v>
      </c>
      <c r="F1433" s="9">
        <v>56</v>
      </c>
      <c r="G1433" s="9">
        <v>587</v>
      </c>
      <c r="H1433" s="5" t="s">
        <v>20</v>
      </c>
      <c r="I1433" s="5" t="s">
        <v>3500</v>
      </c>
      <c r="J1433" s="12" t="str">
        <f>HYPERLINK("https://www.boe.es/gazeta/dias/1806/07/08/pdfs/GMD-1806-56.pdf#page=11","Abrir facsímil")</f>
        <v>Abrir facsímil</v>
      </c>
      <c r="K1433" s="15" t="s">
        <v>22</v>
      </c>
    </row>
    <row r="1434" spans="1:11" ht="42" customHeight="1">
      <c r="A1434" s="4" t="s">
        <v>3496</v>
      </c>
      <c r="B1434" s="5" t="s">
        <v>3497</v>
      </c>
      <c r="C1434" s="5" t="s">
        <v>31</v>
      </c>
      <c r="D1434" s="5" t="s">
        <v>32</v>
      </c>
      <c r="E1434" s="5" t="s">
        <v>90</v>
      </c>
      <c r="F1434" s="9">
        <v>60</v>
      </c>
      <c r="G1434" s="9">
        <v>626</v>
      </c>
      <c r="H1434" s="5" t="s">
        <v>20</v>
      </c>
      <c r="I1434" s="5" t="s">
        <v>3501</v>
      </c>
      <c r="J1434" s="12" t="str">
        <f>HYPERLINK("https://www.boe.es/gazeta/dias/1806/07/22/pdfs/GMD-1806-60.pdf#page=10","Abrir facsímil")</f>
        <v>Abrir facsímil</v>
      </c>
      <c r="K1434" s="15" t="s">
        <v>22</v>
      </c>
    </row>
    <row r="1435" spans="1:11" ht="42" customHeight="1">
      <c r="A1435" s="4" t="s">
        <v>3496</v>
      </c>
      <c r="B1435" s="5" t="s">
        <v>3497</v>
      </c>
      <c r="C1435" s="5" t="s">
        <v>31</v>
      </c>
      <c r="D1435" s="5" t="s">
        <v>32</v>
      </c>
      <c r="E1435" s="5" t="s">
        <v>103</v>
      </c>
      <c r="F1435" s="9">
        <v>61</v>
      </c>
      <c r="G1435" s="9">
        <v>639</v>
      </c>
      <c r="H1435" s="5" t="s">
        <v>20</v>
      </c>
      <c r="I1435" s="5" t="s">
        <v>3502</v>
      </c>
      <c r="J1435" s="12" t="str">
        <f>HYPERLINK("https://www.boe.es/gazeta/dias/1806/07/25/pdfs/GMD-1806-61.pdf#page=11","Abrir facsímil")</f>
        <v>Abrir facsímil</v>
      </c>
      <c r="K1435" s="15" t="s">
        <v>22</v>
      </c>
    </row>
    <row r="1436" spans="1:11" ht="42" customHeight="1">
      <c r="A1436" s="4" t="s">
        <v>3496</v>
      </c>
      <c r="B1436" s="5" t="s">
        <v>3497</v>
      </c>
      <c r="C1436" s="5" t="s">
        <v>31</v>
      </c>
      <c r="D1436" s="5" t="s">
        <v>32</v>
      </c>
      <c r="E1436" s="5" t="s">
        <v>96</v>
      </c>
      <c r="F1436" s="9">
        <v>62</v>
      </c>
      <c r="G1436" s="9">
        <v>650</v>
      </c>
      <c r="H1436" s="5" t="s">
        <v>20</v>
      </c>
      <c r="I1436" s="5" t="s">
        <v>3503</v>
      </c>
      <c r="J1436" s="12" t="str">
        <f>HYPERLINK("https://www.boe.es/gazeta/dias/1806/07/29/pdfs/GMD-1806-62.pdf#page=10","Abrir facsímil")</f>
        <v>Abrir facsímil</v>
      </c>
      <c r="K1436" s="15" t="s">
        <v>22</v>
      </c>
    </row>
    <row r="1437" spans="1:11" ht="42" customHeight="1">
      <c r="A1437" s="4" t="s">
        <v>3496</v>
      </c>
      <c r="B1437" s="5" t="s">
        <v>3497</v>
      </c>
      <c r="C1437" s="5" t="s">
        <v>31</v>
      </c>
      <c r="D1437" s="5" t="s">
        <v>32</v>
      </c>
      <c r="E1437" s="5" t="s">
        <v>96</v>
      </c>
      <c r="F1437" s="9">
        <v>62</v>
      </c>
      <c r="G1437" s="9">
        <v>651</v>
      </c>
      <c r="H1437" s="5" t="s">
        <v>20</v>
      </c>
      <c r="I1437" s="5" t="s">
        <v>3504</v>
      </c>
      <c r="J1437" s="12" t="str">
        <f>HYPERLINK("https://www.boe.es/gazeta/dias/1806/07/29/pdfs/GMD-1806-62.pdf#page=11","Abrir facsímil")</f>
        <v>Abrir facsímil</v>
      </c>
      <c r="K1437" s="15" t="s">
        <v>22</v>
      </c>
    </row>
    <row r="1438" spans="1:11" ht="42" customHeight="1">
      <c r="A1438" s="4" t="s">
        <v>3496</v>
      </c>
      <c r="B1438" s="5" t="s">
        <v>3497</v>
      </c>
      <c r="C1438" s="5" t="s">
        <v>31</v>
      </c>
      <c r="D1438" s="5" t="s">
        <v>32</v>
      </c>
      <c r="E1438" s="5" t="s">
        <v>144</v>
      </c>
      <c r="F1438" s="9">
        <v>79</v>
      </c>
      <c r="G1438" s="9">
        <v>819</v>
      </c>
      <c r="H1438" s="5" t="s">
        <v>20</v>
      </c>
      <c r="I1438" s="5" t="s">
        <v>3505</v>
      </c>
      <c r="J1438" s="12" t="str">
        <f>HYPERLINK("https://www.boe.es/gazeta/dias/1806/09/26/pdfs/GMD-1806-79.pdf#page=11","Abrir facsímil")</f>
        <v>Abrir facsímil</v>
      </c>
      <c r="K1438" s="15" t="s">
        <v>22</v>
      </c>
    </row>
    <row r="1439" spans="1:11" ht="42" customHeight="1">
      <c r="A1439" s="4" t="s">
        <v>3496</v>
      </c>
      <c r="B1439" s="5" t="s">
        <v>3497</v>
      </c>
      <c r="C1439" s="5" t="s">
        <v>31</v>
      </c>
      <c r="D1439" s="5" t="s">
        <v>32</v>
      </c>
      <c r="E1439" s="5" t="s">
        <v>680</v>
      </c>
      <c r="F1439" s="9">
        <v>97</v>
      </c>
      <c r="G1439" s="9">
        <v>1032</v>
      </c>
      <c r="H1439" s="5" t="s">
        <v>20</v>
      </c>
      <c r="I1439" s="5" t="s">
        <v>3506</v>
      </c>
      <c r="J1439" s="12" t="str">
        <f>HYPERLINK("https://www.boe.es/gazeta/dias/1806/11/28/pdfs/GMD-1806-97.pdf#page=12","Abrir facsímil")</f>
        <v>Abrir facsímil</v>
      </c>
      <c r="K1439" s="15" t="s">
        <v>22</v>
      </c>
    </row>
    <row r="1440" spans="1:11" ht="42" customHeight="1">
      <c r="A1440" s="4" t="s">
        <v>3507</v>
      </c>
      <c r="B1440" s="5" t="s">
        <v>3508</v>
      </c>
      <c r="C1440" s="5" t="s">
        <v>31</v>
      </c>
      <c r="D1440" s="5" t="s">
        <v>32</v>
      </c>
      <c r="E1440" s="5" t="s">
        <v>124</v>
      </c>
      <c r="F1440" s="9">
        <v>25</v>
      </c>
      <c r="G1440" s="9">
        <v>247</v>
      </c>
      <c r="H1440" s="5" t="s">
        <v>20</v>
      </c>
      <c r="I1440" s="5" t="s">
        <v>3509</v>
      </c>
      <c r="J1440" s="12" t="str">
        <f>HYPERLINK("https://www.boe.es/gazeta/dias/1806/03/21/pdfs/GMD-1806-25.pdf#page=11","Abrir facsímil")</f>
        <v>Abrir facsímil</v>
      </c>
      <c r="K1440" s="15" t="s">
        <v>22</v>
      </c>
    </row>
    <row r="1441" spans="1:11" ht="42" customHeight="1">
      <c r="A1441" s="4" t="s">
        <v>3510</v>
      </c>
      <c r="B1441" s="5" t="s">
        <v>3511</v>
      </c>
      <c r="C1441" s="5" t="s">
        <v>17</v>
      </c>
      <c r="D1441" s="5" t="s">
        <v>18</v>
      </c>
      <c r="E1441" s="5" t="s">
        <v>716</v>
      </c>
      <c r="F1441" s="9">
        <v>56</v>
      </c>
      <c r="G1441" s="9">
        <v>587</v>
      </c>
      <c r="H1441" s="5" t="s">
        <v>20</v>
      </c>
      <c r="I1441" s="5" t="s">
        <v>3512</v>
      </c>
      <c r="J1441" s="12" t="str">
        <f>HYPERLINK("https://www.boe.es/gazeta/dias/1806/07/08/pdfs/GMD-1806-56.pdf#page=11","Abrir facsímil")</f>
        <v>Abrir facsímil</v>
      </c>
      <c r="K1441" s="15" t="s">
        <v>22</v>
      </c>
    </row>
    <row r="1442" spans="1:11" ht="42" customHeight="1">
      <c r="A1442" s="4" t="s">
        <v>3513</v>
      </c>
      <c r="B1442" s="5" t="s">
        <v>3514</v>
      </c>
      <c r="C1442" s="5" t="s">
        <v>31</v>
      </c>
      <c r="D1442" s="5" t="s">
        <v>32</v>
      </c>
      <c r="E1442" s="5" t="s">
        <v>271</v>
      </c>
      <c r="F1442" s="9">
        <v>6</v>
      </c>
      <c r="G1442" s="9">
        <v>54</v>
      </c>
      <c r="H1442" s="5" t="s">
        <v>20</v>
      </c>
      <c r="I1442" s="5" t="s">
        <v>3515</v>
      </c>
      <c r="J1442" s="12" t="str">
        <f>HYPERLINK("https://www.boe.es/gazeta/dias/1806/01/17/pdfs/GMD-1806-6.pdf#page=10","Abrir facsímil")</f>
        <v>Abrir facsímil</v>
      </c>
      <c r="K1442" s="15" t="s">
        <v>22</v>
      </c>
    </row>
    <row r="1443" spans="1:11" ht="42" customHeight="1">
      <c r="A1443" s="4" t="s">
        <v>3516</v>
      </c>
      <c r="B1443" s="5" t="s">
        <v>3517</v>
      </c>
      <c r="C1443" s="5" t="s">
        <v>31</v>
      </c>
      <c r="D1443" s="5" t="s">
        <v>32</v>
      </c>
      <c r="E1443" s="5" t="s">
        <v>195</v>
      </c>
      <c r="F1443" s="9">
        <v>4</v>
      </c>
      <c r="G1443" s="9">
        <v>37</v>
      </c>
      <c r="H1443" s="5" t="s">
        <v>20</v>
      </c>
      <c r="I1443" s="5" t="s">
        <v>3518</v>
      </c>
      <c r="J1443" s="12" t="str">
        <f>HYPERLINK("https://www.boe.es/gazeta/dias/1806/01/14/pdfs/GMD-1806-4.pdf#page=9","Abrir facsímil")</f>
        <v>Abrir facsímil</v>
      </c>
      <c r="K1443" s="15" t="s">
        <v>22</v>
      </c>
    </row>
    <row r="1444" spans="1:11" ht="42" customHeight="1">
      <c r="A1444" s="4" t="s">
        <v>3519</v>
      </c>
      <c r="B1444" s="5" t="s">
        <v>3520</v>
      </c>
      <c r="C1444" s="5" t="s">
        <v>17</v>
      </c>
      <c r="D1444" s="5" t="s">
        <v>18</v>
      </c>
      <c r="E1444" s="5" t="s">
        <v>220</v>
      </c>
      <c r="F1444" s="9">
        <v>24</v>
      </c>
      <c r="G1444" s="9">
        <v>233</v>
      </c>
      <c r="H1444" s="5" t="s">
        <v>20</v>
      </c>
      <c r="I1444" s="5" t="s">
        <v>3521</v>
      </c>
      <c r="J1444" s="12" t="str">
        <f>HYPERLINK("https://www.boe.es/gazeta/dias/1806/03/18/pdfs/GMD-1806-24.pdf#page=9","Abrir facsímil")</f>
        <v>Abrir facsímil</v>
      </c>
      <c r="K1444" s="15" t="s">
        <v>22</v>
      </c>
    </row>
    <row r="1445" spans="1:11" ht="42" customHeight="1">
      <c r="A1445" s="4" t="s">
        <v>3522</v>
      </c>
      <c r="B1445" s="5" t="s">
        <v>3523</v>
      </c>
      <c r="C1445" s="5" t="s">
        <v>75</v>
      </c>
      <c r="D1445" s="5" t="s">
        <v>43</v>
      </c>
      <c r="E1445" s="5" t="s">
        <v>44</v>
      </c>
      <c r="F1445" s="9">
        <v>42</v>
      </c>
      <c r="G1445" s="9">
        <v>423</v>
      </c>
      <c r="H1445" s="5" t="s">
        <v>20</v>
      </c>
      <c r="I1445" s="5" t="s">
        <v>3524</v>
      </c>
      <c r="J1445" s="12" t="str">
        <f>HYPERLINK("https://www.boe.es/gazeta/dias/1806/05/20/pdfs/GMD-1806-42.pdf#page=11","Abrir facsímil")</f>
        <v>Abrir facsímil</v>
      </c>
      <c r="K1445" s="15" t="s">
        <v>22</v>
      </c>
    </row>
    <row r="1446" spans="1:11" ht="42" customHeight="1">
      <c r="A1446" s="4" t="s">
        <v>3525</v>
      </c>
      <c r="B1446" s="5" t="s">
        <v>3526</v>
      </c>
      <c r="C1446" s="5" t="s">
        <v>42</v>
      </c>
      <c r="D1446" s="5" t="s">
        <v>43</v>
      </c>
      <c r="E1446" s="5" t="s">
        <v>309</v>
      </c>
      <c r="F1446" s="9">
        <v>41</v>
      </c>
      <c r="G1446" s="9">
        <v>407</v>
      </c>
      <c r="H1446" s="5" t="s">
        <v>20</v>
      </c>
      <c r="I1446" s="5" t="s">
        <v>3527</v>
      </c>
      <c r="J1446" s="12" t="str">
        <f>HYPERLINK("https://www.boe.es/gazeta/dias/1806/05/16/pdfs/GMD-1806-41.pdf#page=7","Abrir facsímil")</f>
        <v>Abrir facsímil</v>
      </c>
      <c r="K1446" s="15" t="s">
        <v>22</v>
      </c>
    </row>
    <row r="1447" spans="1:11" ht="42" customHeight="1">
      <c r="A1447" s="4" t="s">
        <v>3528</v>
      </c>
      <c r="B1447" s="5" t="s">
        <v>3529</v>
      </c>
      <c r="C1447" s="5" t="s">
        <v>36</v>
      </c>
      <c r="D1447" s="5" t="s">
        <v>37</v>
      </c>
      <c r="E1447" s="5" t="s">
        <v>231</v>
      </c>
      <c r="F1447" s="9">
        <v>89</v>
      </c>
      <c r="G1447" s="9">
        <v>924</v>
      </c>
      <c r="H1447" s="5" t="s">
        <v>20</v>
      </c>
      <c r="I1447" s="5" t="s">
        <v>3530</v>
      </c>
      <c r="J1447" s="12" t="str">
        <f>HYPERLINK("https://www.boe.es/gazeta/dias/1806/10/31/pdfs/GMD-1806-89.pdf#page=12","Abrir facsímil")</f>
        <v>Abrir facsímil</v>
      </c>
      <c r="K1447" s="15" t="s">
        <v>22</v>
      </c>
    </row>
    <row r="1448" spans="1:11" ht="42" customHeight="1">
      <c r="A1448" s="4" t="s">
        <v>3531</v>
      </c>
      <c r="B1448" s="5" t="s">
        <v>3532</v>
      </c>
      <c r="C1448" s="5" t="s">
        <v>17</v>
      </c>
      <c r="D1448" s="5" t="s">
        <v>18</v>
      </c>
      <c r="E1448" s="5" t="s">
        <v>19</v>
      </c>
      <c r="F1448" s="9">
        <v>3</v>
      </c>
      <c r="G1448" s="9">
        <v>25</v>
      </c>
      <c r="H1448" s="5" t="s">
        <v>20</v>
      </c>
      <c r="I1448" s="5" t="s">
        <v>3533</v>
      </c>
      <c r="J1448" s="12" t="str">
        <f>HYPERLINK("https://www.boe.es/gazeta/dias/1806/01/10/pdfs/GMD-1806-3.pdf#page=5","Abrir facsímil")</f>
        <v>Abrir facsímil</v>
      </c>
      <c r="K1448" s="15" t="s">
        <v>22</v>
      </c>
    </row>
    <row r="1449" spans="1:11" ht="42" customHeight="1">
      <c r="A1449" s="4" t="s">
        <v>3534</v>
      </c>
      <c r="B1449" s="5" t="s">
        <v>3535</v>
      </c>
      <c r="C1449" s="5" t="s">
        <v>17</v>
      </c>
      <c r="D1449" s="5" t="s">
        <v>18</v>
      </c>
      <c r="E1449" s="5" t="s">
        <v>238</v>
      </c>
      <c r="F1449" s="9">
        <v>18</v>
      </c>
      <c r="G1449" s="9">
        <v>163</v>
      </c>
      <c r="H1449" s="5" t="s">
        <v>20</v>
      </c>
      <c r="I1449" s="5" t="s">
        <v>3536</v>
      </c>
      <c r="J1449" s="12" t="str">
        <f>HYPERLINK("https://www.boe.es/gazeta/dias/1806/02/25/pdfs/GMD-1806-18.pdf#page=11","Abrir facsímil")</f>
        <v>Abrir facsímil</v>
      </c>
      <c r="K1449" s="15" t="s">
        <v>22</v>
      </c>
    </row>
    <row r="1450" spans="1:11" ht="42" customHeight="1">
      <c r="A1450" s="4" t="s">
        <v>3537</v>
      </c>
      <c r="B1450" s="5" t="s">
        <v>3538</v>
      </c>
      <c r="C1450" s="5" t="s">
        <v>42</v>
      </c>
      <c r="D1450" s="5" t="s">
        <v>43</v>
      </c>
      <c r="E1450" s="5" t="s">
        <v>144</v>
      </c>
      <c r="F1450" s="9">
        <v>79</v>
      </c>
      <c r="G1450" s="9">
        <v>820</v>
      </c>
      <c r="H1450" s="5" t="s">
        <v>20</v>
      </c>
      <c r="I1450" s="5" t="s">
        <v>3539</v>
      </c>
      <c r="J1450" s="12" t="str">
        <f>HYPERLINK("https://www.boe.es/gazeta/dias/1806/09/26/pdfs/GMD-1806-79.pdf#page=12","Abrir facsímil")</f>
        <v>Abrir facsímil</v>
      </c>
      <c r="K1450" s="15" t="s">
        <v>22</v>
      </c>
    </row>
    <row r="1451" spans="1:11" ht="42" customHeight="1">
      <c r="A1451" s="4" t="s">
        <v>3540</v>
      </c>
      <c r="B1451" s="5" t="s">
        <v>3541</v>
      </c>
      <c r="C1451" s="5" t="s">
        <v>31</v>
      </c>
      <c r="D1451" s="5" t="s">
        <v>32</v>
      </c>
      <c r="E1451" s="5" t="s">
        <v>271</v>
      </c>
      <c r="F1451" s="9">
        <v>6</v>
      </c>
      <c r="G1451" s="9">
        <v>56</v>
      </c>
      <c r="H1451" s="5" t="s">
        <v>20</v>
      </c>
      <c r="I1451" s="5" t="s">
        <v>3542</v>
      </c>
      <c r="J1451" s="12" t="str">
        <f>HYPERLINK("https://www.boe.es/gazeta/dias/1806/01/17/pdfs/GMD-1806-6.pdf#page=12","Abrir facsímil")</f>
        <v>Abrir facsímil</v>
      </c>
      <c r="K1451" s="15" t="s">
        <v>22</v>
      </c>
    </row>
    <row r="1452" spans="1:11" ht="42" customHeight="1">
      <c r="A1452" s="4" t="s">
        <v>3543</v>
      </c>
      <c r="B1452" s="5" t="s">
        <v>3544</v>
      </c>
      <c r="C1452" s="5" t="s">
        <v>42</v>
      </c>
      <c r="D1452" s="5" t="s">
        <v>43</v>
      </c>
      <c r="E1452" s="5" t="s">
        <v>124</v>
      </c>
      <c r="F1452" s="9">
        <v>25</v>
      </c>
      <c r="G1452" s="9">
        <v>245</v>
      </c>
      <c r="H1452" s="5" t="s">
        <v>20</v>
      </c>
      <c r="I1452" s="5" t="s">
        <v>3545</v>
      </c>
      <c r="J1452" s="12" t="str">
        <f>HYPERLINK("https://www.boe.es/gazeta/dias/1806/03/21/pdfs/GMD-1806-25.pdf#page=9","Abrir facsímil")</f>
        <v>Abrir facsímil</v>
      </c>
      <c r="K1452" s="15" t="s">
        <v>22</v>
      </c>
    </row>
    <row r="1453" spans="1:11" ht="42" customHeight="1">
      <c r="A1453" s="4" t="s">
        <v>3546</v>
      </c>
      <c r="B1453" s="5" t="s">
        <v>3547</v>
      </c>
      <c r="C1453" s="5" t="s">
        <v>31</v>
      </c>
      <c r="D1453" s="5" t="s">
        <v>32</v>
      </c>
      <c r="E1453" s="5" t="s">
        <v>195</v>
      </c>
      <c r="F1453" s="9">
        <v>4</v>
      </c>
      <c r="G1453" s="9">
        <v>37</v>
      </c>
      <c r="H1453" s="5" t="s">
        <v>20</v>
      </c>
      <c r="I1453" s="5" t="s">
        <v>3548</v>
      </c>
      <c r="J1453" s="12" t="str">
        <f>HYPERLINK("https://www.boe.es/gazeta/dias/1806/01/14/pdfs/GMD-1806-4.pdf#page=9","Abrir facsímil")</f>
        <v>Abrir facsímil</v>
      </c>
      <c r="K1453" s="15" t="s">
        <v>22</v>
      </c>
    </row>
    <row r="1454" spans="1:11" ht="42" customHeight="1">
      <c r="A1454" s="4" t="s">
        <v>3546</v>
      </c>
      <c r="B1454" s="5" t="s">
        <v>3547</v>
      </c>
      <c r="C1454" s="5" t="s">
        <v>31</v>
      </c>
      <c r="D1454" s="5" t="s">
        <v>32</v>
      </c>
      <c r="E1454" s="5" t="s">
        <v>689</v>
      </c>
      <c r="F1454" s="9">
        <v>37</v>
      </c>
      <c r="G1454" s="9">
        <v>363</v>
      </c>
      <c r="H1454" s="5" t="s">
        <v>20</v>
      </c>
      <c r="I1454" s="5" t="s">
        <v>3549</v>
      </c>
      <c r="J1454" s="12" t="str">
        <f>HYPERLINK("https://www.boe.es/gazeta/dias/1806/05/02/pdfs/GMD-1806-37.pdf#page=11","Abrir facsímil")</f>
        <v>Abrir facsímil</v>
      </c>
      <c r="K1454" s="15" t="s">
        <v>22</v>
      </c>
    </row>
    <row r="1455" spans="1:11" ht="42" customHeight="1">
      <c r="A1455" s="4" t="s">
        <v>3546</v>
      </c>
      <c r="B1455" s="5" t="s">
        <v>3547</v>
      </c>
      <c r="C1455" s="5" t="s">
        <v>31</v>
      </c>
      <c r="D1455" s="5" t="s">
        <v>32</v>
      </c>
      <c r="E1455" s="5" t="s">
        <v>1080</v>
      </c>
      <c r="F1455" s="9">
        <v>49</v>
      </c>
      <c r="G1455" s="9">
        <v>507</v>
      </c>
      <c r="H1455" s="5" t="s">
        <v>20</v>
      </c>
      <c r="I1455" s="5" t="s">
        <v>3550</v>
      </c>
      <c r="J1455" s="12" t="str">
        <f>HYPERLINK("https://www.boe.es/gazeta/dias/1806/06/13/pdfs/GMD-1806-49.pdf#page=7","Abrir facsímil")</f>
        <v>Abrir facsímil</v>
      </c>
      <c r="K1455" s="15" t="s">
        <v>22</v>
      </c>
    </row>
    <row r="1456" spans="1:11" ht="42" customHeight="1">
      <c r="A1456" s="4" t="s">
        <v>3546</v>
      </c>
      <c r="B1456" s="5" t="s">
        <v>3547</v>
      </c>
      <c r="C1456" s="5" t="s">
        <v>31</v>
      </c>
      <c r="D1456" s="5" t="s">
        <v>32</v>
      </c>
      <c r="E1456" s="5" t="s">
        <v>306</v>
      </c>
      <c r="F1456" s="9">
        <v>59</v>
      </c>
      <c r="G1456" s="9">
        <v>615</v>
      </c>
      <c r="H1456" s="5" t="s">
        <v>20</v>
      </c>
      <c r="I1456" s="5" t="s">
        <v>3551</v>
      </c>
      <c r="J1456" s="12" t="str">
        <f>HYPERLINK("https://www.boe.es/gazeta/dias/1806/07/18/pdfs/GMD-1806-59.pdf#page=11","Abrir facsímil")</f>
        <v>Abrir facsímil</v>
      </c>
      <c r="K1456" s="15" t="s">
        <v>22</v>
      </c>
    </row>
    <row r="1457" spans="1:11" ht="42" customHeight="1">
      <c r="A1457" s="4" t="s">
        <v>3552</v>
      </c>
      <c r="B1457" s="5" t="s">
        <v>3553</v>
      </c>
      <c r="C1457" s="5" t="s">
        <v>75</v>
      </c>
      <c r="D1457" s="5" t="s">
        <v>43</v>
      </c>
      <c r="E1457" s="5" t="s">
        <v>59</v>
      </c>
      <c r="F1457" s="9">
        <v>21</v>
      </c>
      <c r="G1457" s="9">
        <v>199</v>
      </c>
      <c r="H1457" s="5" t="s">
        <v>20</v>
      </c>
      <c r="I1457" s="5" t="s">
        <v>3554</v>
      </c>
      <c r="J1457" s="12" t="str">
        <f>HYPERLINK("https://www.boe.es/gazeta/dias/1806/03/07/pdfs/GMD-1806-21.pdf#page=11","Abrir facsímil")</f>
        <v>Abrir facsímil</v>
      </c>
      <c r="K1457" s="15" t="s">
        <v>22</v>
      </c>
    </row>
    <row r="1458" spans="1:11" ht="42" customHeight="1">
      <c r="A1458" s="4" t="s">
        <v>3555</v>
      </c>
      <c r="B1458" s="5" t="s">
        <v>3556</v>
      </c>
      <c r="C1458" s="5" t="s">
        <v>42</v>
      </c>
      <c r="D1458" s="5" t="s">
        <v>43</v>
      </c>
      <c r="E1458" s="5" t="s">
        <v>90</v>
      </c>
      <c r="F1458" s="9">
        <v>60</v>
      </c>
      <c r="G1458" s="9">
        <v>623</v>
      </c>
      <c r="H1458" s="5" t="s">
        <v>20</v>
      </c>
      <c r="I1458" s="5" t="s">
        <v>3557</v>
      </c>
      <c r="J1458" s="12" t="str">
        <f>HYPERLINK("https://www.boe.es/gazeta/dias/1806/07/22/pdfs/GMD-1806-60.pdf#page=7","Abrir facsímil")</f>
        <v>Abrir facsímil</v>
      </c>
      <c r="K1458" s="15" t="s">
        <v>22</v>
      </c>
    </row>
    <row r="1459" spans="1:11" ht="42" customHeight="1">
      <c r="A1459" s="4" t="s">
        <v>3558</v>
      </c>
      <c r="B1459" s="5" t="s">
        <v>3559</v>
      </c>
      <c r="C1459" s="5" t="s">
        <v>69</v>
      </c>
      <c r="D1459" s="5" t="s">
        <v>70</v>
      </c>
      <c r="E1459" s="5" t="s">
        <v>51</v>
      </c>
      <c r="F1459" s="9">
        <v>44</v>
      </c>
      <c r="G1459" s="9">
        <v>438</v>
      </c>
      <c r="H1459" s="5" t="s">
        <v>20</v>
      </c>
      <c r="I1459" s="5" t="s">
        <v>3560</v>
      </c>
      <c r="J1459" s="12" t="str">
        <f>HYPERLINK("https://www.boe.es/gazeta/dias/1806/05/27/pdfs/GMD-1806-44.pdf#page=2","Abrir facsímil")</f>
        <v>Abrir facsímil</v>
      </c>
      <c r="K1459" s="15" t="s">
        <v>22</v>
      </c>
    </row>
    <row r="1460" spans="1:11" ht="42" customHeight="1">
      <c r="A1460" s="4" t="s">
        <v>3561</v>
      </c>
      <c r="B1460" s="5" t="s">
        <v>3562</v>
      </c>
      <c r="C1460" s="5" t="s">
        <v>69</v>
      </c>
      <c r="D1460" s="5" t="s">
        <v>70</v>
      </c>
      <c r="E1460" s="5" t="s">
        <v>340</v>
      </c>
      <c r="F1460" s="9">
        <v>31</v>
      </c>
      <c r="G1460" s="9">
        <v>300</v>
      </c>
      <c r="H1460" s="5" t="s">
        <v>20</v>
      </c>
      <c r="I1460" s="5" t="s">
        <v>3563</v>
      </c>
      <c r="J1460" s="12" t="str">
        <f>HYPERLINK("https://www.boe.es/gazeta/dias/1806/04/11/pdfs/GMD-1806-31.pdf#page=4","Abrir facsímil")</f>
        <v>Abrir facsímil</v>
      </c>
      <c r="K1460" s="15" t="s">
        <v>22</v>
      </c>
    </row>
    <row r="1461" spans="1:11" ht="42" customHeight="1">
      <c r="A1461" s="4" t="s">
        <v>3564</v>
      </c>
      <c r="B1461" s="5" t="s">
        <v>3565</v>
      </c>
      <c r="C1461" s="5" t="s">
        <v>17</v>
      </c>
      <c r="D1461" s="5" t="s">
        <v>18</v>
      </c>
      <c r="E1461" s="5" t="s">
        <v>185</v>
      </c>
      <c r="F1461" s="9">
        <v>46</v>
      </c>
      <c r="G1461" s="9">
        <v>470</v>
      </c>
      <c r="H1461" s="5" t="s">
        <v>20</v>
      </c>
      <c r="I1461" s="5" t="s">
        <v>3566</v>
      </c>
      <c r="J1461" s="12" t="str">
        <f>HYPERLINK("https://www.boe.es/gazeta/dias/1806/06/03/pdfs/GMD-1806-46.pdf#page=10","Abrir facsímil")</f>
        <v>Abrir facsímil</v>
      </c>
      <c r="K1461" s="15" t="s">
        <v>22</v>
      </c>
    </row>
    <row r="1462" spans="1:11" ht="42" customHeight="1">
      <c r="A1462" s="4" t="s">
        <v>3567</v>
      </c>
      <c r="B1462" s="5" t="s">
        <v>3568</v>
      </c>
      <c r="C1462" s="5" t="s">
        <v>31</v>
      </c>
      <c r="D1462" s="5" t="s">
        <v>32</v>
      </c>
      <c r="E1462" s="5" t="s">
        <v>110</v>
      </c>
      <c r="F1462" s="9">
        <v>55</v>
      </c>
      <c r="G1462" s="9">
        <v>572</v>
      </c>
      <c r="H1462" s="5" t="s">
        <v>20</v>
      </c>
      <c r="I1462" s="5" t="s">
        <v>3569</v>
      </c>
      <c r="J1462" s="12" t="str">
        <f>HYPERLINK("https://www.boe.es/gazeta/dias/1806/07/04/pdfs/GMD-1806-55.pdf#page=8","Abrir facsímil")</f>
        <v>Abrir facsímil</v>
      </c>
      <c r="K1462" s="15" t="s">
        <v>22</v>
      </c>
    </row>
    <row r="1463" spans="1:11" ht="42" customHeight="1">
      <c r="A1463" s="4" t="s">
        <v>3570</v>
      </c>
      <c r="B1463" s="5" t="s">
        <v>3571</v>
      </c>
      <c r="C1463" s="5" t="s">
        <v>75</v>
      </c>
      <c r="D1463" s="5" t="s">
        <v>43</v>
      </c>
      <c r="E1463" s="5" t="s">
        <v>175</v>
      </c>
      <c r="F1463" s="9">
        <v>40</v>
      </c>
      <c r="G1463" s="9">
        <v>397</v>
      </c>
      <c r="H1463" s="5" t="s">
        <v>20</v>
      </c>
      <c r="I1463" s="5" t="s">
        <v>3572</v>
      </c>
      <c r="J1463" s="12" t="str">
        <f>HYPERLINK("https://www.boe.es/gazeta/dias/1806/05/13/pdfs/GMD-1806-40.pdf#page=9","Abrir facsímil")</f>
        <v>Abrir facsímil</v>
      </c>
      <c r="K1463" s="15" t="s">
        <v>22</v>
      </c>
    </row>
    <row r="1464" spans="1:11" ht="42" customHeight="1">
      <c r="A1464" s="4" t="s">
        <v>3570</v>
      </c>
      <c r="B1464" s="5" t="s">
        <v>3571</v>
      </c>
      <c r="C1464" s="5" t="s">
        <v>36</v>
      </c>
      <c r="D1464" s="5" t="s">
        <v>37</v>
      </c>
      <c r="E1464" s="5" t="s">
        <v>51</v>
      </c>
      <c r="F1464" s="9">
        <v>44</v>
      </c>
      <c r="G1464" s="9">
        <v>446</v>
      </c>
      <c r="H1464" s="5" t="s">
        <v>20</v>
      </c>
      <c r="I1464" s="5" t="s">
        <v>3573</v>
      </c>
      <c r="J1464" s="12" t="str">
        <f>HYPERLINK("https://www.boe.es/gazeta/dias/1806/05/27/pdfs/GMD-1806-44.pdf#page=10","Abrir facsímil")</f>
        <v>Abrir facsímil</v>
      </c>
      <c r="K1464" s="15" t="s">
        <v>22</v>
      </c>
    </row>
    <row r="1465" spans="1:11" ht="42" customHeight="1">
      <c r="A1465" s="4" t="s">
        <v>3570</v>
      </c>
      <c r="B1465" s="5" t="s">
        <v>3571</v>
      </c>
      <c r="C1465" s="5" t="s">
        <v>36</v>
      </c>
      <c r="D1465" s="5" t="s">
        <v>37</v>
      </c>
      <c r="E1465" s="5" t="s">
        <v>48</v>
      </c>
      <c r="F1465" s="9">
        <v>67</v>
      </c>
      <c r="G1465" s="9">
        <v>701</v>
      </c>
      <c r="H1465" s="5" t="s">
        <v>20</v>
      </c>
      <c r="I1465" s="5" t="s">
        <v>3574</v>
      </c>
      <c r="J1465" s="12" t="str">
        <f>HYPERLINK("https://www.boe.es/gazeta/dias/1806/08/15/pdfs/GMD-1806-67.pdf#page=9","Abrir facsímil")</f>
        <v>Abrir facsímil</v>
      </c>
      <c r="K1465" s="15" t="s">
        <v>22</v>
      </c>
    </row>
    <row r="1466" spans="1:11" ht="42" customHeight="1">
      <c r="A1466" s="4" t="s">
        <v>3575</v>
      </c>
      <c r="B1466" s="5" t="s">
        <v>3576</v>
      </c>
      <c r="C1466" s="5" t="s">
        <v>75</v>
      </c>
      <c r="D1466" s="5" t="s">
        <v>43</v>
      </c>
      <c r="E1466" s="5" t="s">
        <v>124</v>
      </c>
      <c r="F1466" s="9">
        <v>25</v>
      </c>
      <c r="G1466" s="9">
        <v>246</v>
      </c>
      <c r="H1466" s="5" t="s">
        <v>20</v>
      </c>
      <c r="I1466" s="5" t="s">
        <v>3577</v>
      </c>
      <c r="J1466" s="12" t="str">
        <f>HYPERLINK("https://www.boe.es/gazeta/dias/1806/03/21/pdfs/GMD-1806-25.pdf#page=10","Abrir facsímil")</f>
        <v>Abrir facsímil</v>
      </c>
      <c r="K1466" s="15" t="s">
        <v>22</v>
      </c>
    </row>
    <row r="1467" spans="1:11" ht="42" customHeight="1">
      <c r="A1467" s="4" t="s">
        <v>3578</v>
      </c>
      <c r="B1467" s="5" t="s">
        <v>3579</v>
      </c>
      <c r="C1467" s="5" t="s">
        <v>31</v>
      </c>
      <c r="D1467" s="5" t="s">
        <v>32</v>
      </c>
      <c r="E1467" s="5" t="s">
        <v>213</v>
      </c>
      <c r="F1467" s="9">
        <v>73</v>
      </c>
      <c r="G1467" s="9">
        <v>758</v>
      </c>
      <c r="H1467" s="5" t="s">
        <v>20</v>
      </c>
      <c r="I1467" s="5" t="s">
        <v>3580</v>
      </c>
      <c r="J1467" s="12" t="str">
        <f>HYPERLINK("https://www.boe.es/gazeta/dias/1806/09/05/pdfs/GMD-1806-73.pdf#page=6","Abrir facsímil")</f>
        <v>Abrir facsímil</v>
      </c>
      <c r="K1467" s="15" t="s">
        <v>22</v>
      </c>
    </row>
    <row r="1468" spans="1:11" ht="42" customHeight="1">
      <c r="A1468" s="4" t="s">
        <v>3581</v>
      </c>
      <c r="B1468" s="5" t="s">
        <v>3582</v>
      </c>
      <c r="C1468" s="5" t="s">
        <v>31</v>
      </c>
      <c r="D1468" s="5" t="s">
        <v>32</v>
      </c>
      <c r="E1468" s="5" t="s">
        <v>304</v>
      </c>
      <c r="F1468" s="9">
        <v>47</v>
      </c>
      <c r="G1468" s="9">
        <v>478</v>
      </c>
      <c r="H1468" s="5" t="s">
        <v>20</v>
      </c>
      <c r="I1468" s="5" t="s">
        <v>3583</v>
      </c>
      <c r="J1468" s="12" t="str">
        <f>HYPERLINK("https://www.boe.es/gazeta/dias/1806/06/06/pdfs/GMD-1806-47.pdf#page=6","Abrir facsímil")</f>
        <v>Abrir facsímil</v>
      </c>
      <c r="K1468" s="15" t="s">
        <v>22</v>
      </c>
    </row>
    <row r="1469" spans="1:11" ht="42" customHeight="1">
      <c r="A1469" s="4" t="s">
        <v>3584</v>
      </c>
      <c r="B1469" s="5" t="s">
        <v>3585</v>
      </c>
      <c r="C1469" s="5" t="s">
        <v>17</v>
      </c>
      <c r="D1469" s="5" t="s">
        <v>18</v>
      </c>
      <c r="E1469" s="5" t="s">
        <v>689</v>
      </c>
      <c r="F1469" s="9">
        <v>37</v>
      </c>
      <c r="G1469" s="9">
        <v>361</v>
      </c>
      <c r="H1469" s="5" t="s">
        <v>20</v>
      </c>
      <c r="I1469" s="5" t="s">
        <v>3586</v>
      </c>
      <c r="J1469" s="12" t="str">
        <f>HYPERLINK("https://www.boe.es/gazeta/dias/1806/05/02/pdfs/GMD-1806-37.pdf#page=9","Abrir facsímil")</f>
        <v>Abrir facsímil</v>
      </c>
      <c r="K1469" s="15" t="s">
        <v>22</v>
      </c>
    </row>
    <row r="1470" spans="1:11" ht="42" customHeight="1">
      <c r="A1470" s="4" t="s">
        <v>3587</v>
      </c>
      <c r="B1470" s="5" t="s">
        <v>3588</v>
      </c>
      <c r="C1470" s="5" t="s">
        <v>69</v>
      </c>
      <c r="D1470" s="5" t="s">
        <v>70</v>
      </c>
      <c r="E1470" s="5" t="s">
        <v>238</v>
      </c>
      <c r="F1470" s="9">
        <v>18</v>
      </c>
      <c r="G1470" s="9">
        <v>157</v>
      </c>
      <c r="H1470" s="5" t="s">
        <v>20</v>
      </c>
      <c r="I1470" s="5" t="s">
        <v>3589</v>
      </c>
      <c r="J1470" s="12" t="str">
        <f>HYPERLINK("https://www.boe.es/gazeta/dias/1806/02/25/pdfs/GMD-1806-18.pdf#page=5","Abrir facsímil")</f>
        <v>Abrir facsímil</v>
      </c>
      <c r="K1470" s="15" t="s">
        <v>22</v>
      </c>
    </row>
    <row r="1471" spans="1:11" ht="42" customHeight="1">
      <c r="A1471" s="4" t="s">
        <v>3590</v>
      </c>
      <c r="B1471" s="5" t="s">
        <v>3591</v>
      </c>
      <c r="C1471" s="5" t="s">
        <v>69</v>
      </c>
      <c r="D1471" s="5" t="s">
        <v>70</v>
      </c>
      <c r="E1471" s="5" t="s">
        <v>474</v>
      </c>
      <c r="F1471" s="9">
        <v>10</v>
      </c>
      <c r="G1471" s="9">
        <v>86</v>
      </c>
      <c r="H1471" s="5" t="s">
        <v>20</v>
      </c>
      <c r="I1471" s="5" t="s">
        <v>3592</v>
      </c>
      <c r="J1471" s="12" t="str">
        <f>HYPERLINK("https://www.boe.es/gazeta/dias/1806/01/28/pdfs/GMD-1806-10.pdf#page=2","Abrir facsímil")</f>
        <v>Abrir facsímil</v>
      </c>
      <c r="K1471" s="15" t="s">
        <v>22</v>
      </c>
    </row>
    <row r="1472" spans="1:11" ht="42" customHeight="1">
      <c r="A1472" s="4" t="s">
        <v>3593</v>
      </c>
      <c r="B1472" s="5" t="s">
        <v>3594</v>
      </c>
      <c r="C1472" s="5" t="s">
        <v>31</v>
      </c>
      <c r="D1472" s="5" t="s">
        <v>32</v>
      </c>
      <c r="E1472" s="5" t="s">
        <v>202</v>
      </c>
      <c r="F1472" s="9">
        <v>30</v>
      </c>
      <c r="G1472" s="9">
        <v>290</v>
      </c>
      <c r="H1472" s="5" t="s">
        <v>20</v>
      </c>
      <c r="I1472" s="5" t="s">
        <v>3595</v>
      </c>
      <c r="J1472" s="12" t="str">
        <f>HYPERLINK("https://www.boe.es/gazeta/dias/1806/04/08/pdfs/GMD-1806-30.pdf#page=2","Abrir facsímil")</f>
        <v>Abrir facsímil</v>
      </c>
      <c r="K1472" s="15" t="s">
        <v>22</v>
      </c>
    </row>
    <row r="1473" spans="1:11" ht="42" customHeight="1">
      <c r="A1473" s="4" t="s">
        <v>3593</v>
      </c>
      <c r="B1473" s="5" t="s">
        <v>3594</v>
      </c>
      <c r="C1473" s="5" t="s">
        <v>31</v>
      </c>
      <c r="D1473" s="5" t="s">
        <v>32</v>
      </c>
      <c r="E1473" s="5" t="s">
        <v>51</v>
      </c>
      <c r="F1473" s="9">
        <v>44</v>
      </c>
      <c r="G1473" s="9">
        <v>438</v>
      </c>
      <c r="H1473" s="5" t="s">
        <v>20</v>
      </c>
      <c r="I1473" s="5" t="s">
        <v>3596</v>
      </c>
      <c r="J1473" s="12" t="str">
        <f>HYPERLINK("https://www.boe.es/gazeta/dias/1806/05/27/pdfs/GMD-1806-44.pdf#page=2","Abrir facsímil")</f>
        <v>Abrir facsímil</v>
      </c>
      <c r="K1473" s="15" t="s">
        <v>22</v>
      </c>
    </row>
    <row r="1474" spans="1:11" ht="42" customHeight="1">
      <c r="A1474" s="4" t="s">
        <v>3593</v>
      </c>
      <c r="B1474" s="5" t="s">
        <v>3594</v>
      </c>
      <c r="C1474" s="5" t="s">
        <v>31</v>
      </c>
      <c r="D1474" s="5" t="s">
        <v>32</v>
      </c>
      <c r="E1474" s="5" t="s">
        <v>33</v>
      </c>
      <c r="F1474" s="9">
        <v>82</v>
      </c>
      <c r="G1474" s="9">
        <v>843</v>
      </c>
      <c r="H1474" s="5" t="s">
        <v>20</v>
      </c>
      <c r="I1474" s="5" t="s">
        <v>3597</v>
      </c>
      <c r="J1474" s="12" t="str">
        <f>HYPERLINK("https://www.boe.es/gazeta/dias/1806/10/07/pdfs/GMD-1806-82.pdf#page=3","Abrir facsímil")</f>
        <v>Abrir facsímil</v>
      </c>
      <c r="K1474" s="15" t="s">
        <v>22</v>
      </c>
    </row>
    <row r="1475" spans="1:11" ht="42" customHeight="1">
      <c r="A1475" s="4" t="s">
        <v>3598</v>
      </c>
      <c r="B1475" s="5" t="s">
        <v>3599</v>
      </c>
      <c r="C1475" s="5" t="s">
        <v>31</v>
      </c>
      <c r="D1475" s="5" t="s">
        <v>32</v>
      </c>
      <c r="E1475" s="5" t="s">
        <v>188</v>
      </c>
      <c r="F1475" s="9">
        <v>2</v>
      </c>
      <c r="G1475" s="9">
        <v>19</v>
      </c>
      <c r="H1475" s="5" t="s">
        <v>20</v>
      </c>
      <c r="I1475" s="5" t="s">
        <v>3600</v>
      </c>
      <c r="J1475" s="12" t="str">
        <f>HYPERLINK("https://www.boe.es/gazeta/dias/1806/01/07/pdfs/GMD-1806-2.pdf#page=7","Abrir facsímil")</f>
        <v>Abrir facsímil</v>
      </c>
      <c r="K1475" s="15" t="s">
        <v>22</v>
      </c>
    </row>
    <row r="1476" spans="1:11" ht="42" customHeight="1">
      <c r="A1476" s="4" t="s">
        <v>3601</v>
      </c>
      <c r="B1476" s="5" t="s">
        <v>3602</v>
      </c>
      <c r="C1476" s="5" t="s">
        <v>31</v>
      </c>
      <c r="D1476" s="5" t="s">
        <v>32</v>
      </c>
      <c r="E1476" s="5" t="s">
        <v>178</v>
      </c>
      <c r="F1476" s="9">
        <v>36</v>
      </c>
      <c r="G1476" s="9">
        <v>350</v>
      </c>
      <c r="H1476" s="5" t="s">
        <v>20</v>
      </c>
      <c r="I1476" s="5" t="s">
        <v>3603</v>
      </c>
      <c r="J1476" s="12" t="str">
        <f>HYPERLINK("https://www.boe.es/gazeta/dias/1806/04/29/pdfs/GMD-1806-36.pdf#page=6","Abrir facsímil")</f>
        <v>Abrir facsímil</v>
      </c>
      <c r="K1476" s="15" t="s">
        <v>22</v>
      </c>
    </row>
    <row r="1477" spans="1:11" ht="42" customHeight="1">
      <c r="A1477" s="4" t="s">
        <v>3604</v>
      </c>
      <c r="B1477" s="5" t="s">
        <v>3605</v>
      </c>
      <c r="C1477" s="5" t="s">
        <v>31</v>
      </c>
      <c r="D1477" s="5" t="s">
        <v>32</v>
      </c>
      <c r="E1477" s="5" t="s">
        <v>810</v>
      </c>
      <c r="F1477" s="9">
        <v>71</v>
      </c>
      <c r="G1477" s="9">
        <v>739</v>
      </c>
      <c r="H1477" s="5" t="s">
        <v>20</v>
      </c>
      <c r="I1477" s="5" t="s">
        <v>3606</v>
      </c>
      <c r="J1477" s="12" t="str">
        <f>HYPERLINK("https://www.boe.es/gazeta/dias/1806/08/29/pdfs/GMD-1806-71.pdf#page=7","Abrir facsímil")</f>
        <v>Abrir facsímil</v>
      </c>
      <c r="K1477" s="15" t="s">
        <v>22</v>
      </c>
    </row>
    <row r="1478" spans="1:11" ht="42" customHeight="1">
      <c r="A1478" s="4" t="s">
        <v>3607</v>
      </c>
      <c r="B1478" s="5" t="s">
        <v>3608</v>
      </c>
      <c r="C1478" s="5" t="s">
        <v>17</v>
      </c>
      <c r="D1478" s="5" t="s">
        <v>18</v>
      </c>
      <c r="E1478" s="5" t="s">
        <v>127</v>
      </c>
      <c r="F1478" s="9">
        <v>81</v>
      </c>
      <c r="G1478" s="9">
        <v>838</v>
      </c>
      <c r="H1478" s="5" t="s">
        <v>20</v>
      </c>
      <c r="I1478" s="5" t="s">
        <v>3609</v>
      </c>
      <c r="J1478" s="12" t="str">
        <f>HYPERLINK("https://www.boe.es/gazeta/dias/1806/10/03/pdfs/GMD-1806-81.pdf#page=6","Abrir facsímil")</f>
        <v>Abrir facsímil</v>
      </c>
      <c r="K1478" s="15" t="s">
        <v>22</v>
      </c>
    </row>
    <row r="1479" spans="1:11" ht="42" customHeight="1">
      <c r="A1479" s="4" t="s">
        <v>3607</v>
      </c>
      <c r="B1479" s="5" t="s">
        <v>3608</v>
      </c>
      <c r="C1479" s="5" t="s">
        <v>17</v>
      </c>
      <c r="D1479" s="5" t="s">
        <v>18</v>
      </c>
      <c r="E1479" s="5" t="s">
        <v>312</v>
      </c>
      <c r="F1479" s="9">
        <v>100</v>
      </c>
      <c r="G1479" s="9">
        <v>1066</v>
      </c>
      <c r="H1479" s="5" t="s">
        <v>20</v>
      </c>
      <c r="I1479" s="5" t="s">
        <v>3610</v>
      </c>
      <c r="J1479" s="12" t="str">
        <f>HYPERLINK("https://www.boe.es/gazeta/dias/1806/12/09/pdfs/GMD-1806-100.pdf#page=10","Abrir facsímil")</f>
        <v>Abrir facsímil</v>
      </c>
      <c r="K1479" s="15" t="s">
        <v>22</v>
      </c>
    </row>
    <row r="1480" spans="1:11" ht="42" customHeight="1">
      <c r="A1480" s="4" t="s">
        <v>3611</v>
      </c>
      <c r="B1480" s="5" t="s">
        <v>3612</v>
      </c>
      <c r="C1480" s="5" t="s">
        <v>17</v>
      </c>
      <c r="D1480" s="5" t="s">
        <v>18</v>
      </c>
      <c r="E1480" s="5" t="s">
        <v>148</v>
      </c>
      <c r="F1480" s="9">
        <v>78</v>
      </c>
      <c r="G1480" s="9">
        <v>804</v>
      </c>
      <c r="H1480" s="5" t="s">
        <v>20</v>
      </c>
      <c r="I1480" s="5" t="s">
        <v>3613</v>
      </c>
      <c r="J1480" s="12" t="str">
        <f>HYPERLINK("https://www.boe.es/gazeta/dias/1806/09/23/pdfs/GMD-1806-78.pdf#page=8","Abrir facsímil")</f>
        <v>Abrir facsímil</v>
      </c>
      <c r="K1480" s="15" t="s">
        <v>22</v>
      </c>
    </row>
    <row r="1481" spans="1:11" ht="42" customHeight="1">
      <c r="A1481" s="4" t="s">
        <v>3614</v>
      </c>
      <c r="B1481" s="5" t="s">
        <v>3615</v>
      </c>
      <c r="C1481" s="5" t="s">
        <v>36</v>
      </c>
      <c r="D1481" s="5" t="s">
        <v>37</v>
      </c>
      <c r="E1481" s="5" t="s">
        <v>26</v>
      </c>
      <c r="F1481" s="9">
        <v>65</v>
      </c>
      <c r="G1481" s="9">
        <v>684</v>
      </c>
      <c r="H1481" s="5" t="s">
        <v>20</v>
      </c>
      <c r="I1481" s="5" t="s">
        <v>3616</v>
      </c>
      <c r="J1481" s="12" t="str">
        <f>HYPERLINK("https://www.boe.es/gazeta/dias/1806/08/08/pdfs/GMD-1806-65.pdf#page=12","Abrir facsímil")</f>
        <v>Abrir facsímil</v>
      </c>
      <c r="K1481" s="15" t="s">
        <v>22</v>
      </c>
    </row>
    <row r="1482" spans="1:11" ht="42" customHeight="1">
      <c r="A1482" s="4" t="s">
        <v>3617</v>
      </c>
      <c r="B1482" s="5" t="s">
        <v>3618</v>
      </c>
      <c r="C1482" s="5" t="s">
        <v>36</v>
      </c>
      <c r="D1482" s="5" t="s">
        <v>37</v>
      </c>
      <c r="E1482" s="5" t="s">
        <v>304</v>
      </c>
      <c r="F1482" s="9">
        <v>47</v>
      </c>
      <c r="G1482" s="9">
        <v>483</v>
      </c>
      <c r="H1482" s="5" t="s">
        <v>20</v>
      </c>
      <c r="I1482" s="5" t="s">
        <v>3619</v>
      </c>
      <c r="J1482" s="12" t="str">
        <f>HYPERLINK("https://www.boe.es/gazeta/dias/1806/06/06/pdfs/GMD-C-1806-47.pdf#page=3","Abrir facsímil")</f>
        <v>Abrir facsímil</v>
      </c>
      <c r="K1482" s="15" t="s">
        <v>22</v>
      </c>
    </row>
    <row r="1483" spans="1:11" ht="42" customHeight="1">
      <c r="A1483" s="4" t="s">
        <v>3620</v>
      </c>
      <c r="B1483" s="5" t="s">
        <v>3621</v>
      </c>
      <c r="C1483" s="5" t="s">
        <v>17</v>
      </c>
      <c r="D1483" s="5" t="s">
        <v>18</v>
      </c>
      <c r="E1483" s="5" t="s">
        <v>227</v>
      </c>
      <c r="F1483" s="9">
        <v>27</v>
      </c>
      <c r="G1483" s="9">
        <v>269</v>
      </c>
      <c r="H1483" s="5" t="s">
        <v>20</v>
      </c>
      <c r="I1483" s="5" t="s">
        <v>3622</v>
      </c>
      <c r="J1483" s="12" t="str">
        <f>HYPERLINK("https://www.boe.es/gazeta/dias/1806/03/28/pdfs/GMD-1806-27.pdf#page=9","Abrir facsímil")</f>
        <v>Abrir facsímil</v>
      </c>
      <c r="K1483" s="15" t="s">
        <v>22</v>
      </c>
    </row>
    <row r="1484" spans="1:11" ht="42" customHeight="1">
      <c r="A1484" s="4" t="s">
        <v>3623</v>
      </c>
      <c r="B1484" s="5" t="s">
        <v>3624</v>
      </c>
      <c r="C1484" s="5" t="s">
        <v>31</v>
      </c>
      <c r="D1484" s="5" t="s">
        <v>32</v>
      </c>
      <c r="E1484" s="5" t="s">
        <v>220</v>
      </c>
      <c r="F1484" s="9">
        <v>24</v>
      </c>
      <c r="G1484" s="9">
        <v>232</v>
      </c>
      <c r="H1484" s="5" t="s">
        <v>20</v>
      </c>
      <c r="I1484" s="5" t="s">
        <v>3625</v>
      </c>
      <c r="J1484" s="12" t="str">
        <f>HYPERLINK("https://www.boe.es/gazeta/dias/1806/03/18/pdfs/GMD-1806-24.pdf#page=8","Abrir facsímil")</f>
        <v>Abrir facsímil</v>
      </c>
      <c r="K1484" s="15" t="s">
        <v>22</v>
      </c>
    </row>
    <row r="1485" spans="1:11" ht="42" customHeight="1">
      <c r="A1485" s="4" t="s">
        <v>3623</v>
      </c>
      <c r="B1485" s="5" t="s">
        <v>3624</v>
      </c>
      <c r="C1485" s="5" t="s">
        <v>17</v>
      </c>
      <c r="D1485" s="5" t="s">
        <v>18</v>
      </c>
      <c r="E1485" s="5" t="s">
        <v>227</v>
      </c>
      <c r="F1485" s="9">
        <v>27</v>
      </c>
      <c r="G1485" s="9">
        <v>269</v>
      </c>
      <c r="H1485" s="5" t="s">
        <v>20</v>
      </c>
      <c r="I1485" s="5" t="s">
        <v>3626</v>
      </c>
      <c r="J1485" s="12" t="str">
        <f>HYPERLINK("https://www.boe.es/gazeta/dias/1806/03/28/pdfs/GMD-1806-27.pdf#page=9","Abrir facsímil")</f>
        <v>Abrir facsímil</v>
      </c>
      <c r="K1485" s="15" t="s">
        <v>22</v>
      </c>
    </row>
    <row r="1486" spans="1:11" ht="42" customHeight="1">
      <c r="A1486" s="4" t="s">
        <v>3627</v>
      </c>
      <c r="B1486" s="5" t="s">
        <v>3628</v>
      </c>
      <c r="C1486" s="5" t="s">
        <v>31</v>
      </c>
      <c r="D1486" s="5" t="s">
        <v>32</v>
      </c>
      <c r="E1486" s="5" t="s">
        <v>130</v>
      </c>
      <c r="F1486" s="9">
        <v>66</v>
      </c>
      <c r="G1486" s="9">
        <v>690</v>
      </c>
      <c r="H1486" s="5" t="s">
        <v>20</v>
      </c>
      <c r="I1486" s="5" t="s">
        <v>3629</v>
      </c>
      <c r="J1486" s="12" t="str">
        <f>HYPERLINK("https://www.boe.es/gazeta/dias/1806/08/12/pdfs/GMD-1806-66.pdf#page=6","Abrir facsímil")</f>
        <v>Abrir facsímil</v>
      </c>
      <c r="K1486" s="15" t="s">
        <v>22</v>
      </c>
    </row>
    <row r="1487" spans="1:11" ht="42" customHeight="1">
      <c r="A1487" s="4" t="s">
        <v>3630</v>
      </c>
      <c r="B1487" s="5" t="s">
        <v>3631</v>
      </c>
      <c r="C1487" s="5" t="s">
        <v>42</v>
      </c>
      <c r="D1487" s="5" t="s">
        <v>43</v>
      </c>
      <c r="E1487" s="5" t="s">
        <v>340</v>
      </c>
      <c r="F1487" s="9">
        <v>31</v>
      </c>
      <c r="G1487" s="9">
        <v>306</v>
      </c>
      <c r="H1487" s="5" t="s">
        <v>20</v>
      </c>
      <c r="I1487" s="5" t="s">
        <v>3632</v>
      </c>
      <c r="J1487" s="12" t="str">
        <f>HYPERLINK("https://www.boe.es/gazeta/dias/1806/04/11/pdfs/GMD-1806-31.pdf#page=10","Abrir facsímil")</f>
        <v>Abrir facsímil</v>
      </c>
      <c r="K1487" s="15" t="s">
        <v>22</v>
      </c>
    </row>
    <row r="1488" spans="1:11" ht="42" customHeight="1">
      <c r="A1488" s="4" t="s">
        <v>3633</v>
      </c>
      <c r="B1488" s="5" t="s">
        <v>3634</v>
      </c>
      <c r="C1488" s="5" t="s">
        <v>31</v>
      </c>
      <c r="D1488" s="5" t="s">
        <v>32</v>
      </c>
      <c r="E1488" s="5" t="s">
        <v>195</v>
      </c>
      <c r="F1488" s="9">
        <v>4</v>
      </c>
      <c r="G1488" s="9">
        <v>35</v>
      </c>
      <c r="H1488" s="5" t="s">
        <v>20</v>
      </c>
      <c r="I1488" s="5" t="s">
        <v>3635</v>
      </c>
      <c r="J1488" s="12" t="str">
        <f>HYPERLINK("https://www.boe.es/gazeta/dias/1806/01/14/pdfs/GMD-1806-4.pdf#page=7","Abrir facsímil")</f>
        <v>Abrir facsímil</v>
      </c>
      <c r="K1488" s="15" t="s">
        <v>22</v>
      </c>
    </row>
    <row r="1489" spans="1:11" ht="42" customHeight="1">
      <c r="A1489" s="4" t="s">
        <v>3636</v>
      </c>
      <c r="B1489" s="5" t="s">
        <v>3637</v>
      </c>
      <c r="C1489" s="5" t="s">
        <v>31</v>
      </c>
      <c r="D1489" s="5" t="s">
        <v>32</v>
      </c>
      <c r="E1489" s="5" t="s">
        <v>113</v>
      </c>
      <c r="F1489" s="9">
        <v>28</v>
      </c>
      <c r="G1489" s="9">
        <v>278</v>
      </c>
      <c r="H1489" s="5" t="s">
        <v>20</v>
      </c>
      <c r="I1489" s="5" t="s">
        <v>3638</v>
      </c>
      <c r="J1489" s="12" t="str">
        <f>HYPERLINK("https://www.boe.es/gazeta/dias/1806/04/01/pdfs/GMD-1806-28.pdf#page=6","Abrir facsímil")</f>
        <v>Abrir facsímil</v>
      </c>
      <c r="K1489" s="15" t="s">
        <v>22</v>
      </c>
    </row>
    <row r="1490" spans="1:11" ht="42" customHeight="1">
      <c r="A1490" s="4" t="s">
        <v>3639</v>
      </c>
      <c r="B1490" s="5" t="s">
        <v>3640</v>
      </c>
      <c r="C1490" s="5" t="s">
        <v>31</v>
      </c>
      <c r="D1490" s="5" t="s">
        <v>32</v>
      </c>
      <c r="E1490" s="5" t="s">
        <v>19</v>
      </c>
      <c r="F1490" s="9">
        <v>3</v>
      </c>
      <c r="G1490" s="9">
        <v>28</v>
      </c>
      <c r="H1490" s="5" t="s">
        <v>20</v>
      </c>
      <c r="I1490" s="5" t="s">
        <v>3641</v>
      </c>
      <c r="J1490" s="12" t="str">
        <f>HYPERLINK("https://www.boe.es/gazeta/dias/1806/01/10/pdfs/GMD-1806-3.pdf#page=8","Abrir facsímil")</f>
        <v>Abrir facsímil</v>
      </c>
      <c r="K1490" s="15" t="s">
        <v>22</v>
      </c>
    </row>
    <row r="1491" spans="1:11" ht="42" customHeight="1">
      <c r="A1491" s="4" t="s">
        <v>3639</v>
      </c>
      <c r="B1491" s="5" t="s">
        <v>3640</v>
      </c>
      <c r="C1491" s="5" t="s">
        <v>31</v>
      </c>
      <c r="D1491" s="5" t="s">
        <v>32</v>
      </c>
      <c r="E1491" s="5" t="s">
        <v>195</v>
      </c>
      <c r="F1491" s="9">
        <v>4</v>
      </c>
      <c r="G1491" s="9">
        <v>37</v>
      </c>
      <c r="H1491" s="5" t="s">
        <v>20</v>
      </c>
      <c r="I1491" s="5" t="s">
        <v>3642</v>
      </c>
      <c r="J1491" s="12" t="str">
        <f>HYPERLINK("https://www.boe.es/gazeta/dias/1806/01/14/pdfs/GMD-1806-4.pdf#page=9","Abrir facsímil")</f>
        <v>Abrir facsímil</v>
      </c>
      <c r="K1491" s="15" t="s">
        <v>22</v>
      </c>
    </row>
    <row r="1492" spans="1:11" ht="42" customHeight="1">
      <c r="A1492" s="4" t="s">
        <v>3639</v>
      </c>
      <c r="B1492" s="5" t="s">
        <v>3640</v>
      </c>
      <c r="C1492" s="5" t="s">
        <v>31</v>
      </c>
      <c r="D1492" s="5" t="s">
        <v>32</v>
      </c>
      <c r="E1492" s="5" t="s">
        <v>271</v>
      </c>
      <c r="F1492" s="9">
        <v>6</v>
      </c>
      <c r="G1492" s="9">
        <v>55</v>
      </c>
      <c r="H1492" s="5" t="s">
        <v>20</v>
      </c>
      <c r="I1492" s="5" t="s">
        <v>3643</v>
      </c>
      <c r="J1492" s="12" t="str">
        <f>HYPERLINK("https://www.boe.es/gazeta/dias/1806/01/17/pdfs/GMD-1806-6.pdf#page=11","Abrir facsímil")</f>
        <v>Abrir facsímil</v>
      </c>
      <c r="K1492" s="15" t="s">
        <v>22</v>
      </c>
    </row>
    <row r="1493" spans="1:11" ht="42" customHeight="1">
      <c r="A1493" s="4" t="s">
        <v>3639</v>
      </c>
      <c r="B1493" s="5" t="s">
        <v>3640</v>
      </c>
      <c r="C1493" s="5" t="s">
        <v>31</v>
      </c>
      <c r="D1493" s="5" t="s">
        <v>32</v>
      </c>
      <c r="E1493" s="5" t="s">
        <v>100</v>
      </c>
      <c r="F1493" s="9">
        <v>7</v>
      </c>
      <c r="G1493" s="9">
        <v>67</v>
      </c>
      <c r="H1493" s="5" t="s">
        <v>20</v>
      </c>
      <c r="I1493" s="5" t="s">
        <v>3644</v>
      </c>
      <c r="J1493" s="12" t="str">
        <f>HYPERLINK("https://www.boe.es/gazeta/dias/1806/01/21/pdfs/GMD-1806-7.pdf#page=11","Abrir facsímil")</f>
        <v>Abrir facsímil</v>
      </c>
      <c r="K1493" s="15" t="s">
        <v>22</v>
      </c>
    </row>
    <row r="1494" spans="1:11" ht="42" customHeight="1">
      <c r="A1494" s="4" t="s">
        <v>3639</v>
      </c>
      <c r="B1494" s="5" t="s">
        <v>3640</v>
      </c>
      <c r="C1494" s="5" t="s">
        <v>31</v>
      </c>
      <c r="D1494" s="5" t="s">
        <v>32</v>
      </c>
      <c r="E1494" s="5" t="s">
        <v>474</v>
      </c>
      <c r="F1494" s="9">
        <v>10</v>
      </c>
      <c r="G1494" s="9">
        <v>91</v>
      </c>
      <c r="H1494" s="5" t="s">
        <v>20</v>
      </c>
      <c r="I1494" s="5" t="s">
        <v>3645</v>
      </c>
      <c r="J1494" s="12" t="str">
        <f>HYPERLINK("https://www.boe.es/gazeta/dias/1806/01/28/pdfs/GMD-1806-10.pdf#page=7","Abrir facsímil")</f>
        <v>Abrir facsímil</v>
      </c>
      <c r="K1494" s="15" t="s">
        <v>22</v>
      </c>
    </row>
    <row r="1495" spans="1:11" ht="42" customHeight="1">
      <c r="A1495" s="4" t="s">
        <v>3639</v>
      </c>
      <c r="B1495" s="5" t="s">
        <v>3640</v>
      </c>
      <c r="C1495" s="5" t="s">
        <v>31</v>
      </c>
      <c r="D1495" s="5" t="s">
        <v>32</v>
      </c>
      <c r="E1495" s="5" t="s">
        <v>669</v>
      </c>
      <c r="F1495" s="9">
        <v>14</v>
      </c>
      <c r="G1495" s="9">
        <v>123</v>
      </c>
      <c r="H1495" s="5" t="s">
        <v>20</v>
      </c>
      <c r="I1495" s="5" t="s">
        <v>3646</v>
      </c>
      <c r="J1495" s="12" t="str">
        <f>HYPERLINK("https://www.boe.es/gazeta/dias/1806/02/11/pdfs/GMD-1806-14.pdf#page=7","Abrir facsímil")</f>
        <v>Abrir facsímil</v>
      </c>
      <c r="K1495" s="15" t="s">
        <v>22</v>
      </c>
    </row>
    <row r="1496" spans="1:11" ht="42" customHeight="1">
      <c r="A1496" s="4" t="s">
        <v>3639</v>
      </c>
      <c r="B1496" s="5" t="s">
        <v>3640</v>
      </c>
      <c r="C1496" s="5" t="s">
        <v>31</v>
      </c>
      <c r="D1496" s="5" t="s">
        <v>32</v>
      </c>
      <c r="E1496" s="5" t="s">
        <v>1778</v>
      </c>
      <c r="F1496" s="9">
        <v>16</v>
      </c>
      <c r="G1496" s="9">
        <v>143</v>
      </c>
      <c r="H1496" s="5" t="s">
        <v>20</v>
      </c>
      <c r="I1496" s="5" t="s">
        <v>3647</v>
      </c>
      <c r="J1496" s="12" t="str">
        <f>HYPERLINK("https://www.boe.es/gazeta/dias/1806/02/18/pdfs/GMD-1806-16.pdf#page=7","Abrir facsímil")</f>
        <v>Abrir facsímil</v>
      </c>
      <c r="K1496" s="15" t="s">
        <v>22</v>
      </c>
    </row>
    <row r="1497" spans="1:11" ht="42" customHeight="1">
      <c r="A1497" s="4" t="s">
        <v>3639</v>
      </c>
      <c r="B1497" s="5" t="s">
        <v>3640</v>
      </c>
      <c r="C1497" s="5" t="s">
        <v>31</v>
      </c>
      <c r="D1497" s="5" t="s">
        <v>32</v>
      </c>
      <c r="E1497" s="5" t="s">
        <v>1778</v>
      </c>
      <c r="F1497" s="9">
        <v>16</v>
      </c>
      <c r="G1497" s="9">
        <v>144</v>
      </c>
      <c r="H1497" s="5" t="s">
        <v>20</v>
      </c>
      <c r="I1497" s="5" t="s">
        <v>3648</v>
      </c>
      <c r="J1497" s="12" t="str">
        <f>HYPERLINK("https://www.boe.es/gazeta/dias/1806/02/18/pdfs/GMD-1806-16.pdf#page=8","Abrir facsímil")</f>
        <v>Abrir facsímil</v>
      </c>
      <c r="K1497" s="15" t="s">
        <v>22</v>
      </c>
    </row>
    <row r="1498" spans="1:11" ht="42" customHeight="1">
      <c r="A1498" s="4" t="s">
        <v>3639</v>
      </c>
      <c r="B1498" s="5" t="s">
        <v>3640</v>
      </c>
      <c r="C1498" s="5" t="s">
        <v>31</v>
      </c>
      <c r="D1498" s="5" t="s">
        <v>32</v>
      </c>
      <c r="E1498" s="5" t="s">
        <v>238</v>
      </c>
      <c r="F1498" s="9">
        <v>18</v>
      </c>
      <c r="G1498" s="9">
        <v>161</v>
      </c>
      <c r="H1498" s="5" t="s">
        <v>20</v>
      </c>
      <c r="I1498" s="5" t="s">
        <v>3649</v>
      </c>
      <c r="J1498" s="12" t="str">
        <f>HYPERLINK("https://www.boe.es/gazeta/dias/1806/02/25/pdfs/GMD-1806-18.pdf#page=9","Abrir facsímil")</f>
        <v>Abrir facsímil</v>
      </c>
      <c r="K1498" s="15" t="s">
        <v>22</v>
      </c>
    </row>
    <row r="1499" spans="1:11" ht="42" customHeight="1">
      <c r="A1499" s="4" t="s">
        <v>3639</v>
      </c>
      <c r="B1499" s="5" t="s">
        <v>3640</v>
      </c>
      <c r="C1499" s="5" t="s">
        <v>31</v>
      </c>
      <c r="D1499" s="5" t="s">
        <v>32</v>
      </c>
      <c r="E1499" s="5" t="s">
        <v>121</v>
      </c>
      <c r="F1499" s="9">
        <v>19</v>
      </c>
      <c r="G1499" s="9">
        <v>173</v>
      </c>
      <c r="H1499" s="5" t="s">
        <v>20</v>
      </c>
      <c r="I1499" s="5" t="s">
        <v>3650</v>
      </c>
      <c r="J1499" s="12" t="str">
        <f>HYPERLINK("https://www.boe.es/gazeta/dias/1806/02/28/pdfs/GMD-1806-19.pdf#page=9","Abrir facsímil")</f>
        <v>Abrir facsímil</v>
      </c>
      <c r="K1499" s="15" t="s">
        <v>22</v>
      </c>
    </row>
    <row r="1500" spans="1:11" ht="42" customHeight="1">
      <c r="A1500" s="4" t="s">
        <v>3639</v>
      </c>
      <c r="B1500" s="5" t="s">
        <v>3640</v>
      </c>
      <c r="C1500" s="5" t="s">
        <v>31</v>
      </c>
      <c r="D1500" s="5" t="s">
        <v>32</v>
      </c>
      <c r="E1500" s="5" t="s">
        <v>55</v>
      </c>
      <c r="F1500" s="9">
        <v>20</v>
      </c>
      <c r="G1500" s="9">
        <v>186</v>
      </c>
      <c r="H1500" s="5" t="s">
        <v>20</v>
      </c>
      <c r="I1500" s="5" t="s">
        <v>3651</v>
      </c>
      <c r="J1500" s="12" t="str">
        <f>HYPERLINK("https://www.boe.es/gazeta/dias/1806/03/04/pdfs/GMD-1806-20.pdf#page=10","Abrir facsímil")</f>
        <v>Abrir facsímil</v>
      </c>
      <c r="K1500" s="15" t="s">
        <v>22</v>
      </c>
    </row>
    <row r="1501" spans="1:11" ht="42" customHeight="1">
      <c r="A1501" s="4" t="s">
        <v>3639</v>
      </c>
      <c r="B1501" s="5" t="s">
        <v>3640</v>
      </c>
      <c r="C1501" s="5" t="s">
        <v>31</v>
      </c>
      <c r="D1501" s="5" t="s">
        <v>32</v>
      </c>
      <c r="E1501" s="5" t="s">
        <v>59</v>
      </c>
      <c r="F1501" s="9">
        <v>21</v>
      </c>
      <c r="G1501" s="9">
        <v>198</v>
      </c>
      <c r="H1501" s="5" t="s">
        <v>20</v>
      </c>
      <c r="I1501" s="5" t="s">
        <v>3652</v>
      </c>
      <c r="J1501" s="12" t="str">
        <f>HYPERLINK("https://www.boe.es/gazeta/dias/1806/03/07/pdfs/GMD-1806-21.pdf#page=10","Abrir facsímil")</f>
        <v>Abrir facsímil</v>
      </c>
      <c r="K1501" s="15" t="s">
        <v>22</v>
      </c>
    </row>
    <row r="1502" spans="1:11" ht="42" customHeight="1">
      <c r="A1502" s="4" t="s">
        <v>3639</v>
      </c>
      <c r="B1502" s="5" t="s">
        <v>3640</v>
      </c>
      <c r="C1502" s="5" t="s">
        <v>31</v>
      </c>
      <c r="D1502" s="5" t="s">
        <v>32</v>
      </c>
      <c r="E1502" s="5" t="s">
        <v>59</v>
      </c>
      <c r="F1502" s="9">
        <v>21</v>
      </c>
      <c r="G1502" s="9">
        <v>199</v>
      </c>
      <c r="H1502" s="5" t="s">
        <v>20</v>
      </c>
      <c r="I1502" s="5" t="s">
        <v>3653</v>
      </c>
      <c r="J1502" s="12" t="str">
        <f>HYPERLINK("https://www.boe.es/gazeta/dias/1806/03/07/pdfs/GMD-1806-21.pdf#page=11","Abrir facsímil")</f>
        <v>Abrir facsímil</v>
      </c>
      <c r="K1502" s="15" t="s">
        <v>22</v>
      </c>
    </row>
    <row r="1503" spans="1:11" ht="42" customHeight="1">
      <c r="A1503" s="4" t="s">
        <v>3639</v>
      </c>
      <c r="B1503" s="5" t="s">
        <v>3640</v>
      </c>
      <c r="C1503" s="5" t="s">
        <v>31</v>
      </c>
      <c r="D1503" s="5" t="s">
        <v>32</v>
      </c>
      <c r="E1503" s="5" t="s">
        <v>400</v>
      </c>
      <c r="F1503" s="9">
        <v>22</v>
      </c>
      <c r="G1503" s="9">
        <v>209</v>
      </c>
      <c r="H1503" s="5" t="s">
        <v>20</v>
      </c>
      <c r="I1503" s="5" t="s">
        <v>3654</v>
      </c>
      <c r="J1503" s="12" t="str">
        <f>HYPERLINK("https://www.boe.es/gazeta/dias/1806/03/11/pdfs/GMD-1806-22.pdf#page=9","Abrir facsímil")</f>
        <v>Abrir facsímil</v>
      </c>
      <c r="K1503" s="15" t="s">
        <v>22</v>
      </c>
    </row>
    <row r="1504" spans="1:11" ht="42" customHeight="1">
      <c r="A1504" s="4" t="s">
        <v>3639</v>
      </c>
      <c r="B1504" s="5" t="s">
        <v>3640</v>
      </c>
      <c r="C1504" s="5" t="s">
        <v>31</v>
      </c>
      <c r="D1504" s="5" t="s">
        <v>32</v>
      </c>
      <c r="E1504" s="5" t="s">
        <v>400</v>
      </c>
      <c r="F1504" s="9">
        <v>22</v>
      </c>
      <c r="G1504" s="9">
        <v>210</v>
      </c>
      <c r="H1504" s="5" t="s">
        <v>20</v>
      </c>
      <c r="I1504" s="5" t="s">
        <v>3655</v>
      </c>
      <c r="J1504" s="12" t="str">
        <f>HYPERLINK("https://www.boe.es/gazeta/dias/1806/03/11/pdfs/GMD-1806-22.pdf#page=10","Abrir facsímil")</f>
        <v>Abrir facsímil</v>
      </c>
      <c r="K1504" s="15" t="s">
        <v>22</v>
      </c>
    </row>
    <row r="1505" spans="1:11" ht="42" customHeight="1">
      <c r="A1505" s="4" t="s">
        <v>3639</v>
      </c>
      <c r="B1505" s="5" t="s">
        <v>3640</v>
      </c>
      <c r="C1505" s="5" t="s">
        <v>31</v>
      </c>
      <c r="D1505" s="5" t="s">
        <v>32</v>
      </c>
      <c r="E1505" s="5" t="s">
        <v>580</v>
      </c>
      <c r="F1505" s="9">
        <v>23</v>
      </c>
      <c r="G1505" s="9">
        <v>222</v>
      </c>
      <c r="H1505" s="5" t="s">
        <v>20</v>
      </c>
      <c r="I1505" s="5" t="s">
        <v>3656</v>
      </c>
      <c r="J1505" s="12" t="str">
        <f>HYPERLINK("https://www.boe.es/gazeta/dias/1806/03/14/pdfs/GMD-1806-23.pdf#page=10","Abrir facsímil")</f>
        <v>Abrir facsímil</v>
      </c>
      <c r="K1505" s="15" t="s">
        <v>22</v>
      </c>
    </row>
    <row r="1506" spans="1:11" ht="42" customHeight="1">
      <c r="A1506" s="4" t="s">
        <v>3639</v>
      </c>
      <c r="B1506" s="5" t="s">
        <v>3640</v>
      </c>
      <c r="C1506" s="5" t="s">
        <v>31</v>
      </c>
      <c r="D1506" s="5" t="s">
        <v>32</v>
      </c>
      <c r="E1506" s="5" t="s">
        <v>580</v>
      </c>
      <c r="F1506" s="9">
        <v>23</v>
      </c>
      <c r="G1506" s="9">
        <v>223</v>
      </c>
      <c r="H1506" s="5" t="s">
        <v>20</v>
      </c>
      <c r="I1506" s="5" t="s">
        <v>3657</v>
      </c>
      <c r="J1506" s="12" t="str">
        <f>HYPERLINK("https://www.boe.es/gazeta/dias/1806/03/14/pdfs/GMD-1806-23.pdf#page=11","Abrir facsímil")</f>
        <v>Abrir facsímil</v>
      </c>
      <c r="K1506" s="15" t="s">
        <v>22</v>
      </c>
    </row>
    <row r="1507" spans="1:11" ht="42" customHeight="1">
      <c r="A1507" s="4" t="s">
        <v>3639</v>
      </c>
      <c r="B1507" s="5" t="s">
        <v>3640</v>
      </c>
      <c r="C1507" s="5" t="s">
        <v>31</v>
      </c>
      <c r="D1507" s="5" t="s">
        <v>32</v>
      </c>
      <c r="E1507" s="5" t="s">
        <v>220</v>
      </c>
      <c r="F1507" s="9">
        <v>24</v>
      </c>
      <c r="G1507" s="9">
        <v>235</v>
      </c>
      <c r="H1507" s="5" t="s">
        <v>20</v>
      </c>
      <c r="I1507" s="5" t="s">
        <v>3658</v>
      </c>
      <c r="J1507" s="12" t="str">
        <f>HYPERLINK("https://www.boe.es/gazeta/dias/1806/03/18/pdfs/GMD-1806-24.pdf#page=11","Abrir facsímil")</f>
        <v>Abrir facsímil</v>
      </c>
      <c r="K1507" s="15" t="s">
        <v>22</v>
      </c>
    </row>
    <row r="1508" spans="1:11" ht="42" customHeight="1">
      <c r="A1508" s="4" t="s">
        <v>3639</v>
      </c>
      <c r="B1508" s="5" t="s">
        <v>3640</v>
      </c>
      <c r="C1508" s="5" t="s">
        <v>31</v>
      </c>
      <c r="D1508" s="5" t="s">
        <v>32</v>
      </c>
      <c r="E1508" s="5" t="s">
        <v>124</v>
      </c>
      <c r="F1508" s="9">
        <v>25</v>
      </c>
      <c r="G1508" s="9">
        <v>247</v>
      </c>
      <c r="H1508" s="5" t="s">
        <v>20</v>
      </c>
      <c r="I1508" s="5" t="s">
        <v>3659</v>
      </c>
      <c r="J1508" s="12" t="str">
        <f>HYPERLINK("https://www.boe.es/gazeta/dias/1806/03/21/pdfs/GMD-1806-25.pdf#page=11","Abrir facsímil")</f>
        <v>Abrir facsímil</v>
      </c>
      <c r="K1508" s="15" t="s">
        <v>22</v>
      </c>
    </row>
    <row r="1509" spans="1:11" ht="42" customHeight="1">
      <c r="A1509" s="4" t="s">
        <v>3660</v>
      </c>
      <c r="B1509" s="5" t="s">
        <v>3661</v>
      </c>
      <c r="C1509" s="5" t="s">
        <v>17</v>
      </c>
      <c r="D1509" s="5" t="s">
        <v>18</v>
      </c>
      <c r="E1509" s="5" t="s">
        <v>306</v>
      </c>
      <c r="F1509" s="9">
        <v>59</v>
      </c>
      <c r="G1509" s="9">
        <v>613</v>
      </c>
      <c r="H1509" s="5" t="s">
        <v>20</v>
      </c>
      <c r="I1509" s="5" t="s">
        <v>3662</v>
      </c>
      <c r="J1509" s="12" t="str">
        <f>HYPERLINK("https://www.boe.es/gazeta/dias/1806/07/18/pdfs/GMD-1806-59.pdf#page=9","Abrir facsímil")</f>
        <v>Abrir facsímil</v>
      </c>
      <c r="K1509" s="15" t="s">
        <v>22</v>
      </c>
    </row>
    <row r="1510" spans="1:11" ht="42" customHeight="1">
      <c r="A1510" s="4" t="s">
        <v>3663</v>
      </c>
      <c r="B1510" s="5" t="s">
        <v>3664</v>
      </c>
      <c r="C1510" s="5" t="s">
        <v>31</v>
      </c>
      <c r="D1510" s="5" t="s">
        <v>32</v>
      </c>
      <c r="E1510" s="5" t="s">
        <v>124</v>
      </c>
      <c r="F1510" s="9">
        <v>25</v>
      </c>
      <c r="G1510" s="9">
        <v>247</v>
      </c>
      <c r="H1510" s="5" t="s">
        <v>20</v>
      </c>
      <c r="I1510" s="5" t="s">
        <v>3665</v>
      </c>
      <c r="J1510" s="12" t="str">
        <f>HYPERLINK("https://www.boe.es/gazeta/dias/1806/03/21/pdfs/GMD-1806-25.pdf#page=11","Abrir facsímil")</f>
        <v>Abrir facsímil</v>
      </c>
      <c r="K1510" s="15" t="s">
        <v>22</v>
      </c>
    </row>
    <row r="1511" spans="1:11" ht="42" customHeight="1">
      <c r="A1511" s="4" t="s">
        <v>3666</v>
      </c>
      <c r="B1511" s="5" t="s">
        <v>3667</v>
      </c>
      <c r="C1511" s="5" t="s">
        <v>31</v>
      </c>
      <c r="D1511" s="5" t="s">
        <v>32</v>
      </c>
      <c r="E1511" s="5" t="s">
        <v>290</v>
      </c>
      <c r="F1511" s="9">
        <v>1</v>
      </c>
      <c r="G1511" s="9">
        <v>9</v>
      </c>
      <c r="H1511" s="5" t="s">
        <v>20</v>
      </c>
      <c r="I1511" s="5" t="s">
        <v>3668</v>
      </c>
      <c r="J1511" s="12" t="str">
        <f>HYPERLINK("https://www.boe.es/gazeta/dias/1806/01/03/pdfs/GMD-1806-1.pdf#page=9","Abrir facsímil")</f>
        <v>Abrir facsímil</v>
      </c>
      <c r="K1511" s="15" t="s">
        <v>22</v>
      </c>
    </row>
    <row r="1512" spans="1:11" ht="42" customHeight="1">
      <c r="A1512" s="4" t="s">
        <v>3669</v>
      </c>
      <c r="B1512" s="5" t="s">
        <v>3670</v>
      </c>
      <c r="C1512" s="5" t="s">
        <v>31</v>
      </c>
      <c r="D1512" s="5" t="s">
        <v>32</v>
      </c>
      <c r="E1512" s="5" t="s">
        <v>71</v>
      </c>
      <c r="F1512" s="9">
        <v>29</v>
      </c>
      <c r="G1512" s="9">
        <v>287</v>
      </c>
      <c r="H1512" s="5" t="s">
        <v>20</v>
      </c>
      <c r="I1512" s="5" t="s">
        <v>3671</v>
      </c>
      <c r="J1512" s="12" t="str">
        <f>HYPERLINK("https://www.boe.es/gazeta/dias/1806/04/04/pdfs/GMD-1806-29.pdf#page=7","Abrir facsímil")</f>
        <v>Abrir facsímil</v>
      </c>
      <c r="K1512" s="15" t="s">
        <v>22</v>
      </c>
    </row>
    <row r="1513" spans="1:11" ht="42" customHeight="1">
      <c r="A1513" s="4" t="s">
        <v>3672</v>
      </c>
      <c r="B1513" s="5" t="s">
        <v>3673</v>
      </c>
      <c r="C1513" s="5" t="s">
        <v>31</v>
      </c>
      <c r="D1513" s="5" t="s">
        <v>32</v>
      </c>
      <c r="E1513" s="5" t="s">
        <v>304</v>
      </c>
      <c r="F1513" s="9">
        <v>47</v>
      </c>
      <c r="G1513" s="9">
        <v>480</v>
      </c>
      <c r="H1513" s="5" t="s">
        <v>20</v>
      </c>
      <c r="I1513" s="5" t="s">
        <v>3674</v>
      </c>
      <c r="J1513" s="12" t="str">
        <f>HYPERLINK("https://www.boe.es/gazeta/dias/1806/06/06/pdfs/GMD-1806-47.pdf#page=8","Abrir facsímil")</f>
        <v>Abrir facsímil</v>
      </c>
      <c r="K1513" s="15" t="s">
        <v>22</v>
      </c>
    </row>
    <row r="1514" spans="1:11" ht="42" customHeight="1">
      <c r="A1514" s="4" t="s">
        <v>3672</v>
      </c>
      <c r="B1514" s="5" t="s">
        <v>3673</v>
      </c>
      <c r="C1514" s="5" t="s">
        <v>31</v>
      </c>
      <c r="D1514" s="5" t="s">
        <v>32</v>
      </c>
      <c r="E1514" s="5" t="s">
        <v>86</v>
      </c>
      <c r="F1514" s="9">
        <v>53</v>
      </c>
      <c r="G1514" s="9">
        <v>555</v>
      </c>
      <c r="H1514" s="5" t="s">
        <v>20</v>
      </c>
      <c r="I1514" s="5" t="s">
        <v>3675</v>
      </c>
      <c r="J1514" s="12" t="str">
        <f>HYPERLINK("https://www.boe.es/gazeta/dias/1806/06/27/pdfs/GMD-1806-53.pdf#page=11","Abrir facsímil")</f>
        <v>Abrir facsímil</v>
      </c>
      <c r="K1514" s="15" t="s">
        <v>22</v>
      </c>
    </row>
    <row r="1515" spans="1:11" ht="42" customHeight="1">
      <c r="A1515" s="4" t="s">
        <v>3676</v>
      </c>
      <c r="B1515" s="5" t="s">
        <v>3677</v>
      </c>
      <c r="C1515" s="5" t="s">
        <v>17</v>
      </c>
      <c r="D1515" s="5" t="s">
        <v>18</v>
      </c>
      <c r="E1515" s="5" t="s">
        <v>195</v>
      </c>
      <c r="F1515" s="9">
        <v>4</v>
      </c>
      <c r="G1515" s="9">
        <v>35</v>
      </c>
      <c r="H1515" s="5" t="s">
        <v>20</v>
      </c>
      <c r="I1515" s="5" t="s">
        <v>3678</v>
      </c>
      <c r="J1515" s="12" t="str">
        <f>HYPERLINK("https://www.boe.es/gazeta/dias/1806/01/14/pdfs/GMD-1806-4.pdf#page=7","Abrir facsímil")</f>
        <v>Abrir facsímil</v>
      </c>
      <c r="K1515" s="15" t="s">
        <v>22</v>
      </c>
    </row>
    <row r="1516" spans="1:11" ht="42" customHeight="1">
      <c r="A1516" s="4" t="s">
        <v>3679</v>
      </c>
      <c r="B1516" s="5" t="s">
        <v>3680</v>
      </c>
      <c r="C1516" s="5" t="s">
        <v>17</v>
      </c>
      <c r="D1516" s="5" t="s">
        <v>18</v>
      </c>
      <c r="E1516" s="5" t="s">
        <v>209</v>
      </c>
      <c r="F1516" s="9">
        <v>95</v>
      </c>
      <c r="G1516" s="9">
        <v>1007</v>
      </c>
      <c r="H1516" s="5" t="s">
        <v>20</v>
      </c>
      <c r="I1516" s="5" t="s">
        <v>3681</v>
      </c>
      <c r="J1516" s="12" t="str">
        <f>HYPERLINK("https://www.boe.es/gazeta/dias/1806/11/21/pdfs/GMD-1806-95.pdf#page=15","Abrir facsímil")</f>
        <v>Abrir facsímil</v>
      </c>
      <c r="K1516" s="15" t="s">
        <v>22</v>
      </c>
    </row>
    <row r="1517" spans="1:11" ht="42" customHeight="1">
      <c r="A1517" s="4" t="s">
        <v>3682</v>
      </c>
      <c r="B1517" s="5" t="s">
        <v>3683</v>
      </c>
      <c r="C1517" s="5" t="s">
        <v>75</v>
      </c>
      <c r="D1517" s="5" t="s">
        <v>43</v>
      </c>
      <c r="E1517" s="5" t="s">
        <v>140</v>
      </c>
      <c r="F1517" s="9">
        <v>83</v>
      </c>
      <c r="G1517" s="9">
        <v>862</v>
      </c>
      <c r="H1517" s="5" t="s">
        <v>20</v>
      </c>
      <c r="I1517" s="5" t="s">
        <v>3684</v>
      </c>
      <c r="J1517" s="12" t="str">
        <f>HYPERLINK("https://www.boe.es/gazeta/dias/1806/10/10/pdfs/GMD-1806-83.pdf#page=10","Abrir facsímil")</f>
        <v>Abrir facsímil</v>
      </c>
      <c r="K1517" s="15" t="s">
        <v>22</v>
      </c>
    </row>
    <row r="1518" spans="1:11" ht="42" customHeight="1">
      <c r="A1518" s="4" t="s">
        <v>3682</v>
      </c>
      <c r="B1518" s="5" t="s">
        <v>3683</v>
      </c>
      <c r="C1518" s="5" t="s">
        <v>75</v>
      </c>
      <c r="D1518" s="5" t="s">
        <v>43</v>
      </c>
      <c r="E1518" s="5" t="s">
        <v>396</v>
      </c>
      <c r="F1518" s="9">
        <v>91</v>
      </c>
      <c r="G1518" s="9">
        <v>946</v>
      </c>
      <c r="H1518" s="5" t="s">
        <v>20</v>
      </c>
      <c r="I1518" s="5" t="s">
        <v>3685</v>
      </c>
      <c r="J1518" s="12" t="str">
        <f>HYPERLINK("https://www.boe.es/gazeta/dias/1806/11/07/pdfs/GMD-1806-91.pdf#page=10","Abrir facsímil")</f>
        <v>Abrir facsímil</v>
      </c>
      <c r="K1518" s="15" t="s">
        <v>22</v>
      </c>
    </row>
    <row r="1519" spans="1:11" ht="42" customHeight="1">
      <c r="A1519" s="4" t="s">
        <v>3686</v>
      </c>
      <c r="B1519" s="5" t="s">
        <v>3687</v>
      </c>
      <c r="C1519" s="5" t="s">
        <v>17</v>
      </c>
      <c r="D1519" s="5" t="s">
        <v>18</v>
      </c>
      <c r="E1519" s="5" t="s">
        <v>165</v>
      </c>
      <c r="F1519" s="9">
        <v>101</v>
      </c>
      <c r="G1519" s="9">
        <v>1074</v>
      </c>
      <c r="H1519" s="5" t="s">
        <v>20</v>
      </c>
      <c r="I1519" s="5" t="s">
        <v>3688</v>
      </c>
      <c r="J1519" s="12" t="str">
        <f>HYPERLINK("https://www.boe.es/gazeta/dias/1806/12/12/pdfs/GMD-1806-101.pdf#page=6","Abrir facsímil")</f>
        <v>Abrir facsímil</v>
      </c>
      <c r="K1519" s="15" t="s">
        <v>22</v>
      </c>
    </row>
    <row r="1520" spans="1:11" ht="42" customHeight="1">
      <c r="A1520" s="4" t="s">
        <v>3689</v>
      </c>
      <c r="B1520" s="5" t="s">
        <v>3690</v>
      </c>
      <c r="C1520" s="5" t="s">
        <v>75</v>
      </c>
      <c r="D1520" s="5" t="s">
        <v>43</v>
      </c>
      <c r="E1520" s="5" t="s">
        <v>870</v>
      </c>
      <c r="F1520" s="9">
        <v>35</v>
      </c>
      <c r="G1520" s="9">
        <v>343</v>
      </c>
      <c r="H1520" s="5" t="s">
        <v>20</v>
      </c>
      <c r="I1520" s="5" t="s">
        <v>3691</v>
      </c>
      <c r="J1520" s="12" t="str">
        <f>HYPERLINK("https://www.boe.es/gazeta/dias/1806/04/25/pdfs/GMD-1806-35.pdf#page=7","Abrir facsímil")</f>
        <v>Abrir facsímil</v>
      </c>
      <c r="K1520" s="15" t="s">
        <v>22</v>
      </c>
    </row>
    <row r="1521" spans="1:11" ht="42" customHeight="1">
      <c r="A1521" s="4" t="s">
        <v>3689</v>
      </c>
      <c r="B1521" s="5" t="s">
        <v>3690</v>
      </c>
      <c r="C1521" s="5" t="s">
        <v>31</v>
      </c>
      <c r="D1521" s="5" t="s">
        <v>32</v>
      </c>
      <c r="E1521" s="5" t="s">
        <v>689</v>
      </c>
      <c r="F1521" s="9">
        <v>37</v>
      </c>
      <c r="G1521" s="9">
        <v>362</v>
      </c>
      <c r="H1521" s="5" t="s">
        <v>20</v>
      </c>
      <c r="I1521" s="5" t="s">
        <v>3692</v>
      </c>
      <c r="J1521" s="12" t="str">
        <f>HYPERLINK("https://www.boe.es/gazeta/dias/1806/05/02/pdfs/GMD-1806-37.pdf#page=10","Abrir facsímil")</f>
        <v>Abrir facsímil</v>
      </c>
      <c r="K1521" s="15" t="s">
        <v>22</v>
      </c>
    </row>
    <row r="1522" spans="1:11" ht="42" customHeight="1">
      <c r="A1522" s="4" t="s">
        <v>3689</v>
      </c>
      <c r="B1522" s="5" t="s">
        <v>3690</v>
      </c>
      <c r="C1522" s="5" t="s">
        <v>75</v>
      </c>
      <c r="D1522" s="5" t="s">
        <v>43</v>
      </c>
      <c r="E1522" s="5" t="s">
        <v>62</v>
      </c>
      <c r="F1522" s="9">
        <v>45</v>
      </c>
      <c r="G1522" s="9">
        <v>458</v>
      </c>
      <c r="H1522" s="5" t="s">
        <v>20</v>
      </c>
      <c r="I1522" s="5" t="s">
        <v>3693</v>
      </c>
      <c r="J1522" s="12" t="str">
        <f>HYPERLINK("https://www.boe.es/gazeta/dias/1806/05/30/pdfs/GMD-1806-45.pdf#page=10","Abrir facsímil")</f>
        <v>Abrir facsímil</v>
      </c>
      <c r="K1522" s="15" t="s">
        <v>22</v>
      </c>
    </row>
    <row r="1523" spans="1:11" ht="42" customHeight="1">
      <c r="A1523" s="4" t="s">
        <v>3689</v>
      </c>
      <c r="B1523" s="5" t="s">
        <v>3690</v>
      </c>
      <c r="C1523" s="5" t="s">
        <v>31</v>
      </c>
      <c r="D1523" s="5" t="s">
        <v>32</v>
      </c>
      <c r="E1523" s="5" t="s">
        <v>383</v>
      </c>
      <c r="F1523" s="9">
        <v>54</v>
      </c>
      <c r="G1523" s="9">
        <v>562</v>
      </c>
      <c r="H1523" s="5" t="s">
        <v>20</v>
      </c>
      <c r="I1523" s="5" t="s">
        <v>3694</v>
      </c>
      <c r="J1523" s="12" t="str">
        <f>HYPERLINK("https://www.boe.es/gazeta/dias/1806/07/01/pdfs/GMD-1806-54.pdf#page=6","Abrir facsímil")</f>
        <v>Abrir facsímil</v>
      </c>
      <c r="K1523" s="15" t="s">
        <v>22</v>
      </c>
    </row>
    <row r="1524" spans="1:11" ht="42" customHeight="1">
      <c r="A1524" s="4" t="s">
        <v>3689</v>
      </c>
      <c r="B1524" s="5" t="s">
        <v>3690</v>
      </c>
      <c r="C1524" s="5" t="s">
        <v>31</v>
      </c>
      <c r="D1524" s="5" t="s">
        <v>32</v>
      </c>
      <c r="E1524" s="5" t="s">
        <v>103</v>
      </c>
      <c r="F1524" s="9">
        <v>61</v>
      </c>
      <c r="G1524" s="9">
        <v>639</v>
      </c>
      <c r="H1524" s="5" t="s">
        <v>20</v>
      </c>
      <c r="I1524" s="5" t="s">
        <v>3695</v>
      </c>
      <c r="J1524" s="12" t="str">
        <f>HYPERLINK("https://www.boe.es/gazeta/dias/1806/07/25/pdfs/GMD-1806-61.pdf#page=11","Abrir facsímil")</f>
        <v>Abrir facsímil</v>
      </c>
      <c r="K1524" s="15" t="s">
        <v>22</v>
      </c>
    </row>
    <row r="1525" spans="1:11" ht="42" customHeight="1">
      <c r="A1525" s="4" t="s">
        <v>3689</v>
      </c>
      <c r="B1525" s="5" t="s">
        <v>3690</v>
      </c>
      <c r="C1525" s="5" t="s">
        <v>31</v>
      </c>
      <c r="D1525" s="5" t="s">
        <v>32</v>
      </c>
      <c r="E1525" s="5" t="s">
        <v>494</v>
      </c>
      <c r="F1525" s="9">
        <v>69</v>
      </c>
      <c r="G1525" s="9">
        <v>722</v>
      </c>
      <c r="H1525" s="5" t="s">
        <v>20</v>
      </c>
      <c r="I1525" s="5" t="s">
        <v>3696</v>
      </c>
      <c r="J1525" s="12" t="str">
        <f>HYPERLINK("https://www.boe.es/gazeta/dias/1806/08/22/pdfs/GMD-1806-69.pdf#page=10","Abrir facsímil")</f>
        <v>Abrir facsímil</v>
      </c>
      <c r="K1525" s="15" t="s">
        <v>22</v>
      </c>
    </row>
    <row r="1526" spans="1:11" ht="42" customHeight="1">
      <c r="A1526" s="4" t="s">
        <v>3689</v>
      </c>
      <c r="B1526" s="5" t="s">
        <v>3690</v>
      </c>
      <c r="C1526" s="5" t="s">
        <v>75</v>
      </c>
      <c r="D1526" s="5" t="s">
        <v>43</v>
      </c>
      <c r="E1526" s="5" t="s">
        <v>1005</v>
      </c>
      <c r="F1526" s="9">
        <v>76</v>
      </c>
      <c r="G1526" s="9">
        <v>788</v>
      </c>
      <c r="H1526" s="5" t="s">
        <v>20</v>
      </c>
      <c r="I1526" s="5" t="s">
        <v>3697</v>
      </c>
      <c r="J1526" s="12" t="str">
        <f>HYPERLINK("https://www.boe.es/gazeta/dias/1806/09/16/pdfs/GMD-1806-76.pdf#page=8","Abrir facsímil")</f>
        <v>Abrir facsímil</v>
      </c>
      <c r="K1526" s="15" t="s">
        <v>22</v>
      </c>
    </row>
    <row r="1527" spans="1:11" ht="42" customHeight="1">
      <c r="A1527" s="4" t="s">
        <v>3689</v>
      </c>
      <c r="B1527" s="5" t="s">
        <v>3690</v>
      </c>
      <c r="C1527" s="5" t="s">
        <v>31</v>
      </c>
      <c r="D1527" s="5" t="s">
        <v>32</v>
      </c>
      <c r="E1527" s="5" t="s">
        <v>144</v>
      </c>
      <c r="F1527" s="9">
        <v>79</v>
      </c>
      <c r="G1527" s="9">
        <v>819</v>
      </c>
      <c r="H1527" s="5" t="s">
        <v>20</v>
      </c>
      <c r="I1527" s="5" t="s">
        <v>3698</v>
      </c>
      <c r="J1527" s="12" t="str">
        <f>HYPERLINK("https://www.boe.es/gazeta/dias/1806/09/26/pdfs/GMD-1806-79.pdf#page=11","Abrir facsímil")</f>
        <v>Abrir facsímil</v>
      </c>
      <c r="K1527" s="15" t="s">
        <v>22</v>
      </c>
    </row>
    <row r="1528" spans="1:11" ht="42" customHeight="1">
      <c r="A1528" s="4" t="s">
        <v>3689</v>
      </c>
      <c r="B1528" s="5" t="s">
        <v>3690</v>
      </c>
      <c r="C1528" s="5" t="s">
        <v>31</v>
      </c>
      <c r="D1528" s="5" t="s">
        <v>32</v>
      </c>
      <c r="E1528" s="5" t="s">
        <v>455</v>
      </c>
      <c r="F1528" s="9">
        <v>85</v>
      </c>
      <c r="G1528" s="9">
        <v>883</v>
      </c>
      <c r="H1528" s="5" t="s">
        <v>20</v>
      </c>
      <c r="I1528" s="5" t="s">
        <v>3699</v>
      </c>
      <c r="J1528" s="12" t="str">
        <f>HYPERLINK("https://www.boe.es/gazeta/dias/1806/10/17/pdfs/GMD-1806-85.pdf#page=11","Abrir facsímil")</f>
        <v>Abrir facsímil</v>
      </c>
      <c r="K1528" s="15" t="s">
        <v>22</v>
      </c>
    </row>
    <row r="1529" spans="1:11" ht="42" customHeight="1">
      <c r="A1529" s="4" t="s">
        <v>3689</v>
      </c>
      <c r="B1529" s="5" t="s">
        <v>3690</v>
      </c>
      <c r="C1529" s="5" t="s">
        <v>31</v>
      </c>
      <c r="D1529" s="5" t="s">
        <v>32</v>
      </c>
      <c r="E1529" s="5" t="s">
        <v>367</v>
      </c>
      <c r="F1529" s="9">
        <v>87</v>
      </c>
      <c r="G1529" s="9">
        <v>902</v>
      </c>
      <c r="H1529" s="5" t="s">
        <v>20</v>
      </c>
      <c r="I1529" s="5" t="s">
        <v>3700</v>
      </c>
      <c r="J1529" s="12" t="str">
        <f>HYPERLINK("https://www.boe.es/gazeta/dias/1806/10/24/pdfs/GMD-1806-87.pdf#page=10","Abrir facsímil")</f>
        <v>Abrir facsímil</v>
      </c>
      <c r="K1529" s="15" t="s">
        <v>22</v>
      </c>
    </row>
    <row r="1530" spans="1:11" ht="42" customHeight="1">
      <c r="A1530" s="4" t="s">
        <v>3701</v>
      </c>
      <c r="B1530" s="5" t="s">
        <v>3702</v>
      </c>
      <c r="C1530" s="5" t="s">
        <v>31</v>
      </c>
      <c r="D1530" s="5" t="s">
        <v>32</v>
      </c>
      <c r="E1530" s="5" t="s">
        <v>367</v>
      </c>
      <c r="F1530" s="9">
        <v>87</v>
      </c>
      <c r="G1530" s="9">
        <v>901</v>
      </c>
      <c r="H1530" s="5" t="s">
        <v>20</v>
      </c>
      <c r="I1530" s="5" t="s">
        <v>3703</v>
      </c>
      <c r="J1530" s="12" t="str">
        <f>HYPERLINK("https://www.boe.es/gazeta/dias/1806/10/24/pdfs/GMD-1806-87.pdf#page=9","Abrir facsímil")</f>
        <v>Abrir facsímil</v>
      </c>
      <c r="K1530" s="15" t="s">
        <v>22</v>
      </c>
    </row>
    <row r="1531" spans="1:11" ht="42" customHeight="1">
      <c r="A1531" s="4" t="s">
        <v>3704</v>
      </c>
      <c r="B1531" s="5" t="s">
        <v>3705</v>
      </c>
      <c r="C1531" s="5" t="s">
        <v>36</v>
      </c>
      <c r="D1531" s="5" t="s">
        <v>37</v>
      </c>
      <c r="E1531" s="5" t="s">
        <v>93</v>
      </c>
      <c r="F1531" s="9">
        <v>72</v>
      </c>
      <c r="G1531" s="9">
        <v>751</v>
      </c>
      <c r="H1531" s="5" t="s">
        <v>20</v>
      </c>
      <c r="I1531" s="5" t="s">
        <v>3706</v>
      </c>
      <c r="J1531" s="12" t="str">
        <f>HYPERLINK("https://www.boe.es/gazeta/dias/1806/09/02/pdfs/GMD-1806-72.pdf#page=11","Abrir facsímil")</f>
        <v>Abrir facsímil</v>
      </c>
      <c r="K1531" s="15" t="s">
        <v>22</v>
      </c>
    </row>
    <row r="1532" spans="1:11" ht="42" customHeight="1">
      <c r="A1532" s="4" t="s">
        <v>3707</v>
      </c>
      <c r="B1532" s="5" t="s">
        <v>3708</v>
      </c>
      <c r="C1532" s="5" t="s">
        <v>31</v>
      </c>
      <c r="D1532" s="5" t="s">
        <v>32</v>
      </c>
      <c r="E1532" s="5" t="s">
        <v>124</v>
      </c>
      <c r="F1532" s="9">
        <v>25</v>
      </c>
      <c r="G1532" s="9">
        <v>245</v>
      </c>
      <c r="H1532" s="5" t="s">
        <v>20</v>
      </c>
      <c r="I1532" s="5" t="s">
        <v>3709</v>
      </c>
      <c r="J1532" s="12" t="str">
        <f>HYPERLINK("https://www.boe.es/gazeta/dias/1806/03/21/pdfs/GMD-1806-25.pdf#page=9","Abrir facsímil")</f>
        <v>Abrir facsímil</v>
      </c>
      <c r="K1532" s="15" t="s">
        <v>22</v>
      </c>
    </row>
    <row r="1533" spans="1:11" ht="42" customHeight="1">
      <c r="A1533" s="4" t="s">
        <v>3710</v>
      </c>
      <c r="B1533" s="5" t="s">
        <v>3711</v>
      </c>
      <c r="C1533" s="5" t="s">
        <v>17</v>
      </c>
      <c r="D1533" s="5" t="s">
        <v>18</v>
      </c>
      <c r="E1533" s="5" t="s">
        <v>181</v>
      </c>
      <c r="F1533" s="9">
        <v>99</v>
      </c>
      <c r="G1533" s="9">
        <v>1054</v>
      </c>
      <c r="H1533" s="5" t="s">
        <v>20</v>
      </c>
      <c r="I1533" s="5" t="s">
        <v>3712</v>
      </c>
      <c r="J1533" s="12" t="str">
        <f>HYPERLINK("https://www.boe.es/gazeta/dias/1806/12/05/pdfs/GMD-1806-99.pdf#page=10","Abrir facsímil")</f>
        <v>Abrir facsímil</v>
      </c>
      <c r="K1533" s="15" t="s">
        <v>22</v>
      </c>
    </row>
    <row r="1534" spans="1:11" ht="42" customHeight="1">
      <c r="A1534" s="4" t="s">
        <v>3713</v>
      </c>
      <c r="B1534" s="5" t="s">
        <v>3714</v>
      </c>
      <c r="C1534" s="5" t="s">
        <v>31</v>
      </c>
      <c r="D1534" s="5" t="s">
        <v>32</v>
      </c>
      <c r="E1534" s="5" t="s">
        <v>96</v>
      </c>
      <c r="F1534" s="9">
        <v>62</v>
      </c>
      <c r="G1534" s="9">
        <v>649</v>
      </c>
      <c r="H1534" s="5" t="s">
        <v>20</v>
      </c>
      <c r="I1534" s="5" t="s">
        <v>3715</v>
      </c>
      <c r="J1534" s="12" t="str">
        <f>HYPERLINK("https://www.boe.es/gazeta/dias/1806/07/29/pdfs/GMD-1806-62.pdf#page=9","Abrir facsímil")</f>
        <v>Abrir facsímil</v>
      </c>
      <c r="K1534" s="15" t="s">
        <v>22</v>
      </c>
    </row>
    <row r="1535" spans="1:11" ht="42" customHeight="1">
      <c r="A1535" s="4" t="s">
        <v>3716</v>
      </c>
      <c r="B1535" s="5" t="s">
        <v>3717</v>
      </c>
      <c r="C1535" s="5" t="s">
        <v>42</v>
      </c>
      <c r="D1535" s="5" t="s">
        <v>43</v>
      </c>
      <c r="E1535" s="5" t="s">
        <v>911</v>
      </c>
      <c r="F1535" s="9">
        <v>64</v>
      </c>
      <c r="G1535" s="9">
        <v>671</v>
      </c>
      <c r="H1535" s="5" t="s">
        <v>20</v>
      </c>
      <c r="I1535" s="5" t="s">
        <v>3718</v>
      </c>
      <c r="J1535" s="12" t="str">
        <f>HYPERLINK("https://www.boe.es/gazeta/dias/1806/08/05/pdfs/GMD-1806-64.pdf#page=7","Abrir facsímil")</f>
        <v>Abrir facsímil</v>
      </c>
      <c r="K1535" s="15" t="s">
        <v>22</v>
      </c>
    </row>
    <row r="1536" spans="1:11" ht="42" customHeight="1">
      <c r="A1536" s="4" t="s">
        <v>3719</v>
      </c>
      <c r="B1536" s="5" t="s">
        <v>3720</v>
      </c>
      <c r="C1536" s="5" t="s">
        <v>31</v>
      </c>
      <c r="D1536" s="5" t="s">
        <v>32</v>
      </c>
      <c r="E1536" s="5" t="s">
        <v>438</v>
      </c>
      <c r="F1536" s="9">
        <v>70</v>
      </c>
      <c r="G1536" s="9">
        <v>730</v>
      </c>
      <c r="H1536" s="5" t="s">
        <v>20</v>
      </c>
      <c r="I1536" s="5" t="s">
        <v>3721</v>
      </c>
      <c r="J1536" s="12" t="str">
        <f>HYPERLINK("https://www.boe.es/gazeta/dias/1806/08/26/pdfs/GMD-1806-70.pdf#page=6","Abrir facsímil")</f>
        <v>Abrir facsímil</v>
      </c>
      <c r="K1536" s="15" t="s">
        <v>22</v>
      </c>
    </row>
    <row r="1537" spans="1:11" ht="42" customHeight="1">
      <c r="A1537" s="4" t="s">
        <v>3722</v>
      </c>
      <c r="B1537" s="5" t="s">
        <v>3723</v>
      </c>
      <c r="C1537" s="5" t="s">
        <v>31</v>
      </c>
      <c r="D1537" s="5" t="s">
        <v>32</v>
      </c>
      <c r="E1537" s="5" t="s">
        <v>231</v>
      </c>
      <c r="F1537" s="9">
        <v>89</v>
      </c>
      <c r="G1537" s="9">
        <v>922</v>
      </c>
      <c r="H1537" s="5" t="s">
        <v>20</v>
      </c>
      <c r="I1537" s="5" t="s">
        <v>3724</v>
      </c>
      <c r="J1537" s="12" t="str">
        <f>HYPERLINK("https://www.boe.es/gazeta/dias/1806/10/31/pdfs/GMD-1806-89.pdf#page=10","Abrir facsímil")</f>
        <v>Abrir facsímil</v>
      </c>
      <c r="K1537" s="15" t="s">
        <v>22</v>
      </c>
    </row>
    <row r="1538" spans="1:11" ht="42" customHeight="1">
      <c r="A1538" s="4" t="s">
        <v>3725</v>
      </c>
      <c r="B1538" s="5" t="s">
        <v>3726</v>
      </c>
      <c r="C1538" s="5" t="s">
        <v>31</v>
      </c>
      <c r="D1538" s="5" t="s">
        <v>32</v>
      </c>
      <c r="E1538" s="5" t="s">
        <v>59</v>
      </c>
      <c r="F1538" s="9">
        <v>21</v>
      </c>
      <c r="G1538" s="9">
        <v>196</v>
      </c>
      <c r="H1538" s="5" t="s">
        <v>20</v>
      </c>
      <c r="I1538" s="5" t="s">
        <v>3727</v>
      </c>
      <c r="J1538" s="12" t="str">
        <f>HYPERLINK("https://www.boe.es/gazeta/dias/1806/03/07/pdfs/GMD-1806-21.pdf#page=8","Abrir facsímil")</f>
        <v>Abrir facsímil</v>
      </c>
      <c r="K1538" s="15" t="s">
        <v>22</v>
      </c>
    </row>
    <row r="1539" spans="1:11" ht="42" customHeight="1">
      <c r="A1539" s="4" t="s">
        <v>3725</v>
      </c>
      <c r="B1539" s="5" t="s">
        <v>3726</v>
      </c>
      <c r="C1539" s="5" t="s">
        <v>31</v>
      </c>
      <c r="D1539" s="5" t="s">
        <v>32</v>
      </c>
      <c r="E1539" s="5" t="s">
        <v>178</v>
      </c>
      <c r="F1539" s="9">
        <v>36</v>
      </c>
      <c r="G1539" s="9">
        <v>350</v>
      </c>
      <c r="H1539" s="5" t="s">
        <v>20</v>
      </c>
      <c r="I1539" s="5" t="s">
        <v>3728</v>
      </c>
      <c r="J1539" s="12" t="str">
        <f>HYPERLINK("https://www.boe.es/gazeta/dias/1806/04/29/pdfs/GMD-1806-36.pdf#page=6","Abrir facsímil")</f>
        <v>Abrir facsímil</v>
      </c>
      <c r="K1539" s="15" t="s">
        <v>22</v>
      </c>
    </row>
    <row r="1540" spans="1:11" ht="42" customHeight="1">
      <c r="A1540" s="4" t="s">
        <v>3729</v>
      </c>
      <c r="B1540" s="5" t="s">
        <v>3730</v>
      </c>
      <c r="C1540" s="5" t="s">
        <v>36</v>
      </c>
      <c r="D1540" s="5" t="s">
        <v>37</v>
      </c>
      <c r="E1540" s="5" t="s">
        <v>580</v>
      </c>
      <c r="F1540" s="9">
        <v>23</v>
      </c>
      <c r="G1540" s="9">
        <v>220</v>
      </c>
      <c r="H1540" s="5" t="s">
        <v>20</v>
      </c>
      <c r="I1540" s="5" t="s">
        <v>3731</v>
      </c>
      <c r="J1540" s="12" t="str">
        <f>HYPERLINK("https://www.boe.es/gazeta/dias/1806/03/14/pdfs/GMD-1806-23.pdf#page=8","Abrir facsímil")</f>
        <v>Abrir facsímil</v>
      </c>
      <c r="K1540" s="15" t="s">
        <v>22</v>
      </c>
    </row>
    <row r="1541" spans="1:11" ht="42" customHeight="1">
      <c r="A1541" s="4" t="s">
        <v>3732</v>
      </c>
      <c r="B1541" s="5" t="s">
        <v>3733</v>
      </c>
      <c r="C1541" s="5" t="s">
        <v>69</v>
      </c>
      <c r="D1541" s="5" t="s">
        <v>70</v>
      </c>
      <c r="E1541" s="5" t="s">
        <v>71</v>
      </c>
      <c r="F1541" s="9">
        <v>29</v>
      </c>
      <c r="G1541" s="9">
        <v>285</v>
      </c>
      <c r="H1541" s="5" t="s">
        <v>20</v>
      </c>
      <c r="I1541" s="5" t="s">
        <v>3734</v>
      </c>
      <c r="J1541" s="12" t="str">
        <f>HYPERLINK("https://www.boe.es/gazeta/dias/1806/04/04/pdfs/GMD-1806-29.pdf#page=5","Abrir facsímil")</f>
        <v>Abrir facsímil</v>
      </c>
      <c r="K1541" s="15" t="s">
        <v>22</v>
      </c>
    </row>
    <row r="1542" spans="1:11" ht="42" customHeight="1">
      <c r="A1542" s="4" t="s">
        <v>3735</v>
      </c>
      <c r="B1542" s="5" t="s">
        <v>3736</v>
      </c>
      <c r="C1542" s="5" t="s">
        <v>31</v>
      </c>
      <c r="D1542" s="5" t="s">
        <v>32</v>
      </c>
      <c r="E1542" s="5" t="s">
        <v>185</v>
      </c>
      <c r="F1542" s="9">
        <v>46</v>
      </c>
      <c r="G1542" s="9">
        <v>469</v>
      </c>
      <c r="H1542" s="5" t="s">
        <v>20</v>
      </c>
      <c r="I1542" s="5" t="s">
        <v>3737</v>
      </c>
      <c r="J1542" s="12" t="str">
        <f>HYPERLINK("https://www.boe.es/gazeta/dias/1806/06/03/pdfs/GMD-1806-46.pdf#page=9","Abrir facsímil")</f>
        <v>Abrir facsímil</v>
      </c>
      <c r="K1542" s="15" t="s">
        <v>22</v>
      </c>
    </row>
    <row r="1543" spans="1:11" ht="42" customHeight="1">
      <c r="A1543" s="4" t="s">
        <v>3738</v>
      </c>
      <c r="B1543" s="5" t="s">
        <v>3739</v>
      </c>
      <c r="C1543" s="5" t="s">
        <v>17</v>
      </c>
      <c r="D1543" s="5" t="s">
        <v>18</v>
      </c>
      <c r="E1543" s="5" t="s">
        <v>188</v>
      </c>
      <c r="F1543" s="9">
        <v>2</v>
      </c>
      <c r="G1543" s="9">
        <v>20</v>
      </c>
      <c r="H1543" s="5" t="s">
        <v>20</v>
      </c>
      <c r="I1543" s="5" t="s">
        <v>3740</v>
      </c>
      <c r="J1543" s="12" t="str">
        <f>HYPERLINK("https://www.boe.es/gazeta/dias/1806/01/07/pdfs/GMD-1806-2.pdf#page=8","Abrir facsímil")</f>
        <v>Abrir facsímil</v>
      </c>
      <c r="K1543" s="15" t="s">
        <v>22</v>
      </c>
    </row>
    <row r="1544" spans="1:11" ht="42" customHeight="1">
      <c r="A1544" s="4" t="s">
        <v>3741</v>
      </c>
      <c r="B1544" s="5" t="s">
        <v>3742</v>
      </c>
      <c r="C1544" s="5" t="s">
        <v>36</v>
      </c>
      <c r="D1544" s="5" t="s">
        <v>37</v>
      </c>
      <c r="E1544" s="5" t="s">
        <v>110</v>
      </c>
      <c r="F1544" s="9">
        <v>55</v>
      </c>
      <c r="G1544" s="9">
        <v>576</v>
      </c>
      <c r="H1544" s="5" t="s">
        <v>20</v>
      </c>
      <c r="I1544" s="5" t="s">
        <v>3743</v>
      </c>
      <c r="J1544" s="12" t="str">
        <f>HYPERLINK("https://www.boe.es/gazeta/dias/1806/07/04/pdfs/GMD-1806-55.pdf#page=12","Abrir facsímil")</f>
        <v>Abrir facsímil</v>
      </c>
      <c r="K1544" s="15" t="s">
        <v>22</v>
      </c>
    </row>
    <row r="1545" spans="1:11" ht="42" customHeight="1">
      <c r="A1545" s="4" t="s">
        <v>3744</v>
      </c>
      <c r="B1545" s="5" t="s">
        <v>3745</v>
      </c>
      <c r="C1545" s="5" t="s">
        <v>31</v>
      </c>
      <c r="D1545" s="5" t="s">
        <v>32</v>
      </c>
      <c r="E1545" s="5" t="s">
        <v>127</v>
      </c>
      <c r="F1545" s="9">
        <v>81</v>
      </c>
      <c r="G1545" s="9">
        <v>837</v>
      </c>
      <c r="H1545" s="5" t="s">
        <v>20</v>
      </c>
      <c r="I1545" s="5" t="s">
        <v>3746</v>
      </c>
      <c r="J1545" s="12" t="str">
        <f>HYPERLINK("https://www.boe.es/gazeta/dias/1806/10/03/pdfs/GMD-1806-81.pdf#page=5","Abrir facsímil")</f>
        <v>Abrir facsímil</v>
      </c>
      <c r="K1545" s="15" t="s">
        <v>22</v>
      </c>
    </row>
    <row r="1546" spans="1:11" ht="42" customHeight="1">
      <c r="A1546" s="4" t="s">
        <v>3747</v>
      </c>
      <c r="B1546" s="5" t="s">
        <v>3748</v>
      </c>
      <c r="C1546" s="5" t="s">
        <v>75</v>
      </c>
      <c r="D1546" s="5" t="s">
        <v>43</v>
      </c>
      <c r="E1546" s="5" t="s">
        <v>172</v>
      </c>
      <c r="F1546" s="9">
        <v>17</v>
      </c>
      <c r="G1546" s="9">
        <v>151</v>
      </c>
      <c r="H1546" s="5" t="s">
        <v>20</v>
      </c>
      <c r="I1546" s="5" t="s">
        <v>3749</v>
      </c>
      <c r="J1546" s="12" t="str">
        <f>HYPERLINK("https://www.boe.es/gazeta/dias/1806/02/21/pdfs/GMD-1806-17.pdf#page=7","Abrir facsímil")</f>
        <v>Abrir facsímil</v>
      </c>
      <c r="K1546" s="15" t="s">
        <v>22</v>
      </c>
    </row>
    <row r="1547" spans="1:11" ht="42" customHeight="1">
      <c r="A1547" s="4" t="s">
        <v>3750</v>
      </c>
      <c r="B1547" s="5" t="s">
        <v>3751</v>
      </c>
      <c r="C1547" s="5" t="s">
        <v>31</v>
      </c>
      <c r="D1547" s="5" t="s">
        <v>32</v>
      </c>
      <c r="E1547" s="5" t="s">
        <v>127</v>
      </c>
      <c r="F1547" s="9">
        <v>81</v>
      </c>
      <c r="G1547" s="9">
        <v>837</v>
      </c>
      <c r="H1547" s="5" t="s">
        <v>20</v>
      </c>
      <c r="I1547" s="5" t="s">
        <v>3752</v>
      </c>
      <c r="J1547" s="12" t="str">
        <f>HYPERLINK("https://www.boe.es/gazeta/dias/1806/10/03/pdfs/GMD-1806-81.pdf#page=5","Abrir facsímil")</f>
        <v>Abrir facsímil</v>
      </c>
      <c r="K1547" s="15" t="s">
        <v>22</v>
      </c>
    </row>
    <row r="1548" spans="1:11" ht="42" customHeight="1">
      <c r="A1548" s="4" t="s">
        <v>3753</v>
      </c>
      <c r="B1548" s="5" t="s">
        <v>3754</v>
      </c>
      <c r="C1548" s="5" t="s">
        <v>17</v>
      </c>
      <c r="D1548" s="5" t="s">
        <v>18</v>
      </c>
      <c r="E1548" s="5" t="s">
        <v>340</v>
      </c>
      <c r="F1548" s="9">
        <v>31</v>
      </c>
      <c r="G1548" s="9">
        <v>307</v>
      </c>
      <c r="H1548" s="5" t="s">
        <v>20</v>
      </c>
      <c r="I1548" s="5" t="s">
        <v>3755</v>
      </c>
      <c r="J1548" s="12" t="str">
        <f>HYPERLINK("https://www.boe.es/gazeta/dias/1806/04/11/pdfs/GMD-1806-31.pdf#page=11","Abrir facsímil")</f>
        <v>Abrir facsímil</v>
      </c>
      <c r="K1548" s="15" t="s">
        <v>22</v>
      </c>
    </row>
    <row r="1549" spans="1:11" ht="42" customHeight="1">
      <c r="A1549" s="4" t="s">
        <v>3756</v>
      </c>
      <c r="B1549" s="5" t="s">
        <v>3757</v>
      </c>
      <c r="C1549" s="5" t="s">
        <v>31</v>
      </c>
      <c r="D1549" s="5" t="s">
        <v>32</v>
      </c>
      <c r="E1549" s="5" t="s">
        <v>96</v>
      </c>
      <c r="F1549" s="9">
        <v>62</v>
      </c>
      <c r="G1549" s="9">
        <v>644</v>
      </c>
      <c r="H1549" s="5" t="s">
        <v>20</v>
      </c>
      <c r="I1549" s="5" t="s">
        <v>3758</v>
      </c>
      <c r="J1549" s="12" t="str">
        <f>HYPERLINK("https://www.boe.es/gazeta/dias/1806/07/29/pdfs/GMD-1806-62.pdf#page=4","Abrir facsímil")</f>
        <v>Abrir facsímil</v>
      </c>
      <c r="K1549" s="15" t="s">
        <v>22</v>
      </c>
    </row>
    <row r="1550" spans="1:11" ht="42" customHeight="1">
      <c r="A1550" s="4" t="s">
        <v>3759</v>
      </c>
      <c r="B1550" s="5" t="s">
        <v>3760</v>
      </c>
      <c r="C1550" s="5" t="s">
        <v>69</v>
      </c>
      <c r="D1550" s="5" t="s">
        <v>70</v>
      </c>
      <c r="E1550" s="5" t="s">
        <v>24</v>
      </c>
      <c r="F1550" s="9">
        <v>32</v>
      </c>
      <c r="G1550" s="9">
        <v>310</v>
      </c>
      <c r="H1550" s="5" t="s">
        <v>20</v>
      </c>
      <c r="I1550" s="5" t="s">
        <v>3761</v>
      </c>
      <c r="J1550" s="12" t="str">
        <f>HYPERLINK("https://www.boe.es/gazeta/dias/1806/04/15/pdfs/GMD-1806-32.pdf#page=2","Abrir facsímil")</f>
        <v>Abrir facsímil</v>
      </c>
      <c r="K1550" s="15" t="s">
        <v>22</v>
      </c>
    </row>
    <row r="1551" spans="1:11" ht="42" customHeight="1">
      <c r="A1551" s="4" t="s">
        <v>3762</v>
      </c>
      <c r="B1551" s="5" t="s">
        <v>3763</v>
      </c>
      <c r="C1551" s="5" t="s">
        <v>31</v>
      </c>
      <c r="D1551" s="5" t="s">
        <v>32</v>
      </c>
      <c r="E1551" s="5" t="s">
        <v>501</v>
      </c>
      <c r="F1551" s="9">
        <v>39</v>
      </c>
      <c r="G1551" s="9">
        <v>378</v>
      </c>
      <c r="H1551" s="5" t="s">
        <v>20</v>
      </c>
      <c r="I1551" s="5" t="s">
        <v>3764</v>
      </c>
      <c r="J1551" s="12" t="str">
        <f>HYPERLINK("https://www.boe.es/gazeta/dias/1806/05/09/pdfs/GMD-1806-39.pdf#page=2","Abrir facsímil")</f>
        <v>Abrir facsímil</v>
      </c>
      <c r="K1551" s="15" t="s">
        <v>22</v>
      </c>
    </row>
    <row r="1552" spans="1:11" ht="42" customHeight="1">
      <c r="A1552" s="4" t="s">
        <v>3765</v>
      </c>
      <c r="B1552" s="5" t="s">
        <v>3766</v>
      </c>
      <c r="C1552" s="5" t="s">
        <v>447</v>
      </c>
      <c r="D1552" s="5" t="s">
        <v>448</v>
      </c>
      <c r="E1552" s="5" t="s">
        <v>304</v>
      </c>
      <c r="F1552" s="9">
        <v>47</v>
      </c>
      <c r="G1552" s="9">
        <v>483</v>
      </c>
      <c r="H1552" s="5" t="s">
        <v>20</v>
      </c>
      <c r="I1552" s="5" t="s">
        <v>3767</v>
      </c>
      <c r="J1552" s="12" t="str">
        <f>HYPERLINK("https://www.boe.es/gazeta/dias/1806/06/06/pdfs/GMD-C-1806-47.pdf#page=3","Abrir facsímil")</f>
        <v>Abrir facsímil</v>
      </c>
      <c r="K1552" s="15" t="s">
        <v>22</v>
      </c>
    </row>
    <row r="1553" spans="1:11" ht="42" customHeight="1">
      <c r="A1553" s="4" t="s">
        <v>3768</v>
      </c>
      <c r="B1553" s="5" t="s">
        <v>3769</v>
      </c>
      <c r="C1553" s="5" t="s">
        <v>75</v>
      </c>
      <c r="D1553" s="5" t="s">
        <v>43</v>
      </c>
      <c r="E1553" s="5" t="s">
        <v>400</v>
      </c>
      <c r="F1553" s="9">
        <v>22</v>
      </c>
      <c r="G1553" s="9">
        <v>211</v>
      </c>
      <c r="H1553" s="5" t="s">
        <v>20</v>
      </c>
      <c r="I1553" s="5" t="s">
        <v>3770</v>
      </c>
      <c r="J1553" s="12" t="str">
        <f>HYPERLINK("https://www.boe.es/gazeta/dias/1806/03/11/pdfs/GMD-1806-22.pdf#page=11","Abrir facsímil")</f>
        <v>Abrir facsímil</v>
      </c>
      <c r="K1553" s="15" t="s">
        <v>22</v>
      </c>
    </row>
    <row r="1554" spans="1:11" ht="42" customHeight="1">
      <c r="A1554" s="4" t="s">
        <v>3768</v>
      </c>
      <c r="B1554" s="5" t="s">
        <v>3769</v>
      </c>
      <c r="C1554" s="5" t="s">
        <v>447</v>
      </c>
      <c r="D1554" s="5" t="s">
        <v>448</v>
      </c>
      <c r="E1554" s="5" t="s">
        <v>304</v>
      </c>
      <c r="F1554" s="9">
        <v>47</v>
      </c>
      <c r="G1554" s="9">
        <v>483</v>
      </c>
      <c r="H1554" s="5" t="s">
        <v>20</v>
      </c>
      <c r="I1554" s="5" t="s">
        <v>3771</v>
      </c>
      <c r="J1554" s="12" t="str">
        <f>HYPERLINK("https://www.boe.es/gazeta/dias/1806/06/06/pdfs/GMD-C-1806-47.pdf#page=3","Abrir facsímil")</f>
        <v>Abrir facsímil</v>
      </c>
      <c r="K1554" s="15" t="s">
        <v>22</v>
      </c>
    </row>
    <row r="1555" spans="1:11" ht="42" customHeight="1">
      <c r="A1555" s="4" t="s">
        <v>3772</v>
      </c>
      <c r="B1555" s="5" t="s">
        <v>3773</v>
      </c>
      <c r="C1555" s="5" t="s">
        <v>36</v>
      </c>
      <c r="D1555" s="5" t="s">
        <v>37</v>
      </c>
      <c r="E1555" s="5" t="s">
        <v>238</v>
      </c>
      <c r="F1555" s="9">
        <v>18</v>
      </c>
      <c r="G1555" s="9">
        <v>162</v>
      </c>
      <c r="H1555" s="5" t="s">
        <v>20</v>
      </c>
      <c r="I1555" s="5" t="s">
        <v>3774</v>
      </c>
      <c r="J1555" s="12" t="str">
        <f>HYPERLINK("https://www.boe.es/gazeta/dias/1806/02/25/pdfs/GMD-1806-18.pdf#page=10","Abrir facsímil")</f>
        <v>Abrir facsímil</v>
      </c>
      <c r="K1555" s="15" t="s">
        <v>22</v>
      </c>
    </row>
    <row r="1556" spans="1:11" ht="42" customHeight="1">
      <c r="A1556" s="4" t="s">
        <v>3775</v>
      </c>
      <c r="B1556" s="5" t="s">
        <v>3776</v>
      </c>
      <c r="C1556" s="5" t="s">
        <v>31</v>
      </c>
      <c r="D1556" s="5" t="s">
        <v>32</v>
      </c>
      <c r="E1556" s="5" t="s">
        <v>1005</v>
      </c>
      <c r="F1556" s="9">
        <v>76</v>
      </c>
      <c r="G1556" s="9">
        <v>787</v>
      </c>
      <c r="H1556" s="5" t="s">
        <v>20</v>
      </c>
      <c r="I1556" s="5" t="s">
        <v>3777</v>
      </c>
      <c r="J1556" s="12" t="str">
        <f>HYPERLINK("https://www.boe.es/gazeta/dias/1806/09/16/pdfs/GMD-1806-76.pdf#page=7","Abrir facsímil")</f>
        <v>Abrir facsímil</v>
      </c>
      <c r="K1556" s="15" t="s">
        <v>22</v>
      </c>
    </row>
    <row r="1557" spans="1:11" ht="42" customHeight="1">
      <c r="A1557" s="4" t="s">
        <v>3778</v>
      </c>
      <c r="B1557" s="5" t="s">
        <v>3779</v>
      </c>
      <c r="C1557" s="5" t="s">
        <v>75</v>
      </c>
      <c r="D1557" s="5" t="s">
        <v>43</v>
      </c>
      <c r="E1557" s="5" t="s">
        <v>231</v>
      </c>
      <c r="F1557" s="9">
        <v>89</v>
      </c>
      <c r="G1557" s="9">
        <v>922</v>
      </c>
      <c r="H1557" s="5" t="s">
        <v>20</v>
      </c>
      <c r="I1557" s="5" t="s">
        <v>3780</v>
      </c>
      <c r="J1557" s="12" t="str">
        <f>HYPERLINK("https://www.boe.es/gazeta/dias/1806/10/31/pdfs/GMD-1806-89.pdf#page=10","Abrir facsímil")</f>
        <v>Abrir facsímil</v>
      </c>
      <c r="K1557" s="15" t="s">
        <v>22</v>
      </c>
    </row>
    <row r="1558" spans="1:11" ht="42" customHeight="1">
      <c r="A1558" s="4" t="s">
        <v>3781</v>
      </c>
      <c r="B1558" s="5" t="s">
        <v>3782</v>
      </c>
      <c r="C1558" s="5" t="s">
        <v>31</v>
      </c>
      <c r="D1558" s="5" t="s">
        <v>32</v>
      </c>
      <c r="E1558" s="5" t="s">
        <v>195</v>
      </c>
      <c r="F1558" s="9">
        <v>4</v>
      </c>
      <c r="G1558" s="9">
        <v>35</v>
      </c>
      <c r="H1558" s="5" t="s">
        <v>20</v>
      </c>
      <c r="I1558" s="5" t="s">
        <v>3783</v>
      </c>
      <c r="J1558" s="12" t="str">
        <f>HYPERLINK("https://www.boe.es/gazeta/dias/1806/01/14/pdfs/GMD-1806-4.pdf#page=7","Abrir facsímil")</f>
        <v>Abrir facsímil</v>
      </c>
      <c r="K1558" s="15" t="s">
        <v>22</v>
      </c>
    </row>
    <row r="1559" spans="1:11" ht="42" customHeight="1">
      <c r="A1559" s="4" t="s">
        <v>3784</v>
      </c>
      <c r="B1559" s="5" t="s">
        <v>3785</v>
      </c>
      <c r="C1559" s="5" t="s">
        <v>17</v>
      </c>
      <c r="D1559" s="5" t="s">
        <v>18</v>
      </c>
      <c r="E1559" s="5" t="s">
        <v>213</v>
      </c>
      <c r="F1559" s="9">
        <v>73</v>
      </c>
      <c r="G1559" s="9">
        <v>757</v>
      </c>
      <c r="H1559" s="5" t="s">
        <v>20</v>
      </c>
      <c r="I1559" s="5" t="s">
        <v>3786</v>
      </c>
      <c r="J1559" s="12" t="str">
        <f>HYPERLINK("https://www.boe.es/gazeta/dias/1806/09/05/pdfs/GMD-1806-73.pdf#page=5","Abrir facsímil")</f>
        <v>Abrir facsímil</v>
      </c>
      <c r="K1559" s="15" t="s">
        <v>22</v>
      </c>
    </row>
    <row r="1560" spans="1:11" ht="42" customHeight="1">
      <c r="A1560" s="4" t="s">
        <v>3787</v>
      </c>
      <c r="B1560" s="5" t="s">
        <v>3788</v>
      </c>
      <c r="C1560" s="5" t="s">
        <v>69</v>
      </c>
      <c r="D1560" s="5" t="s">
        <v>70</v>
      </c>
      <c r="E1560" s="5" t="s">
        <v>312</v>
      </c>
      <c r="F1560" s="9">
        <v>100</v>
      </c>
      <c r="G1560" s="9">
        <v>1059</v>
      </c>
      <c r="H1560" s="5" t="s">
        <v>20</v>
      </c>
      <c r="I1560" s="5" t="s">
        <v>3789</v>
      </c>
      <c r="J1560" s="12" t="str">
        <f>HYPERLINK("https://www.boe.es/gazeta/dias/1806/12/09/pdfs/GMD-1806-100.pdf#page=3","Abrir facsímil")</f>
        <v>Abrir facsímil</v>
      </c>
      <c r="K1560" s="15" t="s">
        <v>22</v>
      </c>
    </row>
    <row r="1561" spans="1:11" ht="42" customHeight="1">
      <c r="A1561" s="4" t="s">
        <v>3790</v>
      </c>
      <c r="B1561" s="5" t="s">
        <v>3791</v>
      </c>
      <c r="C1561" s="5" t="s">
        <v>17</v>
      </c>
      <c r="D1561" s="5" t="s">
        <v>18</v>
      </c>
      <c r="E1561" s="5" t="s">
        <v>28</v>
      </c>
      <c r="F1561" s="9">
        <v>102</v>
      </c>
      <c r="G1561" s="9">
        <v>1084</v>
      </c>
      <c r="H1561" s="5" t="s">
        <v>20</v>
      </c>
      <c r="I1561" s="5" t="s">
        <v>3792</v>
      </c>
      <c r="J1561" s="12" t="str">
        <f>HYPERLINK("https://www.boe.es/gazeta/dias/1806/12/16/pdfs/GMD-1806-102.pdf#page=8","Abrir facsímil")</f>
        <v>Abrir facsímil</v>
      </c>
      <c r="K1561" s="15" t="s">
        <v>22</v>
      </c>
    </row>
    <row r="1562" spans="1:11" ht="42" customHeight="1">
      <c r="A1562" s="4" t="s">
        <v>3793</v>
      </c>
      <c r="B1562" s="5" t="s">
        <v>3793</v>
      </c>
      <c r="C1562" s="5" t="s">
        <v>69</v>
      </c>
      <c r="D1562" s="5" t="s">
        <v>70</v>
      </c>
      <c r="E1562" s="5" t="s">
        <v>405</v>
      </c>
      <c r="F1562" s="9">
        <v>80</v>
      </c>
      <c r="G1562" s="9">
        <v>825</v>
      </c>
      <c r="H1562" s="5" t="s">
        <v>20</v>
      </c>
      <c r="I1562" s="5" t="s">
        <v>3794</v>
      </c>
      <c r="J1562" s="12" t="str">
        <f>HYPERLINK("https://www.boe.es/gazeta/dias/1806/09/30/pdfs/GMD-1806-80.pdf#page=5","Abrir facsímil")</f>
        <v>Abrir facsímil</v>
      </c>
      <c r="K1562" s="15" t="s">
        <v>22</v>
      </c>
    </row>
    <row r="1563" spans="1:11" ht="42" customHeight="1">
      <c r="A1563" s="4" t="s">
        <v>3795</v>
      </c>
      <c r="B1563" s="5" t="s">
        <v>3796</v>
      </c>
      <c r="C1563" s="5" t="s">
        <v>42</v>
      </c>
      <c r="D1563" s="5" t="s">
        <v>43</v>
      </c>
      <c r="E1563" s="5" t="s">
        <v>400</v>
      </c>
      <c r="F1563" s="9">
        <v>22</v>
      </c>
      <c r="G1563" s="9">
        <v>207</v>
      </c>
      <c r="H1563" s="5" t="s">
        <v>20</v>
      </c>
      <c r="I1563" s="5" t="s">
        <v>3797</v>
      </c>
      <c r="J1563" s="12" t="str">
        <f>HYPERLINK("https://www.boe.es/gazeta/dias/1806/03/11/pdfs/GMD-1806-22.pdf#page=7","Abrir facsímil")</f>
        <v>Abrir facsímil</v>
      </c>
      <c r="K1563" s="15" t="s">
        <v>22</v>
      </c>
    </row>
    <row r="1564" spans="1:11" ht="42" customHeight="1">
      <c r="A1564" s="4" t="s">
        <v>3798</v>
      </c>
      <c r="B1564" s="5" t="s">
        <v>3799</v>
      </c>
      <c r="C1564" s="5" t="s">
        <v>17</v>
      </c>
      <c r="D1564" s="5" t="s">
        <v>18</v>
      </c>
      <c r="E1564" s="5" t="s">
        <v>55</v>
      </c>
      <c r="F1564" s="9">
        <v>20</v>
      </c>
      <c r="G1564" s="9">
        <v>184</v>
      </c>
      <c r="H1564" s="5" t="s">
        <v>20</v>
      </c>
      <c r="I1564" s="5" t="s">
        <v>3800</v>
      </c>
      <c r="J1564" s="12" t="str">
        <f>HYPERLINK("https://www.boe.es/gazeta/dias/1806/03/04/pdfs/GMD-1806-20.pdf#page=8","Abrir facsímil")</f>
        <v>Abrir facsímil</v>
      </c>
      <c r="K1564" s="15" t="s">
        <v>22</v>
      </c>
    </row>
    <row r="1565" spans="1:11" ht="42" customHeight="1">
      <c r="A1565" s="4" t="s">
        <v>3801</v>
      </c>
      <c r="B1565" s="5" t="s">
        <v>3802</v>
      </c>
      <c r="C1565" s="5" t="s">
        <v>17</v>
      </c>
      <c r="D1565" s="5" t="s">
        <v>18</v>
      </c>
      <c r="E1565" s="5" t="s">
        <v>810</v>
      </c>
      <c r="F1565" s="9">
        <v>71</v>
      </c>
      <c r="G1565" s="9">
        <v>740</v>
      </c>
      <c r="H1565" s="5" t="s">
        <v>20</v>
      </c>
      <c r="I1565" s="5" t="s">
        <v>3803</v>
      </c>
      <c r="J1565" s="12" t="str">
        <f>HYPERLINK("https://www.boe.es/gazeta/dias/1806/08/29/pdfs/GMD-1806-71.pdf#page=8","Abrir facsímil")</f>
        <v>Abrir facsímil</v>
      </c>
      <c r="K1565" s="15" t="s">
        <v>22</v>
      </c>
    </row>
    <row r="1566" spans="1:11" ht="42" customHeight="1">
      <c r="A1566" s="4" t="s">
        <v>3804</v>
      </c>
      <c r="B1566" s="5" t="s">
        <v>3805</v>
      </c>
      <c r="C1566" s="5" t="s">
        <v>17</v>
      </c>
      <c r="D1566" s="5" t="s">
        <v>18</v>
      </c>
      <c r="E1566" s="5" t="s">
        <v>195</v>
      </c>
      <c r="F1566" s="9">
        <v>4</v>
      </c>
      <c r="G1566" s="9">
        <v>35</v>
      </c>
      <c r="H1566" s="5" t="s">
        <v>20</v>
      </c>
      <c r="I1566" s="5" t="s">
        <v>3806</v>
      </c>
      <c r="J1566" s="12" t="str">
        <f>HYPERLINK("https://www.boe.es/gazeta/dias/1806/01/14/pdfs/GMD-1806-4.pdf#page=7","Abrir facsímil")</f>
        <v>Abrir facsímil</v>
      </c>
      <c r="K1566" s="15" t="s">
        <v>22</v>
      </c>
    </row>
    <row r="1567" spans="1:11" ht="42" customHeight="1">
      <c r="A1567" s="4" t="s">
        <v>3807</v>
      </c>
      <c r="B1567" s="5" t="s">
        <v>3808</v>
      </c>
      <c r="C1567" s="5" t="s">
        <v>31</v>
      </c>
      <c r="D1567" s="5" t="s">
        <v>32</v>
      </c>
      <c r="E1567" s="5" t="s">
        <v>438</v>
      </c>
      <c r="F1567" s="9">
        <v>70</v>
      </c>
      <c r="G1567" s="9">
        <v>731</v>
      </c>
      <c r="H1567" s="5" t="s">
        <v>20</v>
      </c>
      <c r="I1567" s="5" t="s">
        <v>3809</v>
      </c>
      <c r="J1567" s="12" t="str">
        <f>HYPERLINK("https://www.boe.es/gazeta/dias/1806/08/26/pdfs/GMD-1806-70.pdf#page=7","Abrir facsímil")</f>
        <v>Abrir facsímil</v>
      </c>
      <c r="K1567" s="15" t="s">
        <v>22</v>
      </c>
    </row>
    <row r="1568" spans="1:11" ht="42" customHeight="1">
      <c r="A1568" s="4" t="s">
        <v>3810</v>
      </c>
      <c r="B1568" s="5" t="s">
        <v>3811</v>
      </c>
      <c r="C1568" s="5" t="s">
        <v>17</v>
      </c>
      <c r="D1568" s="5" t="s">
        <v>18</v>
      </c>
      <c r="E1568" s="5" t="s">
        <v>271</v>
      </c>
      <c r="F1568" s="9">
        <v>6</v>
      </c>
      <c r="G1568" s="9">
        <v>54</v>
      </c>
      <c r="H1568" s="5" t="s">
        <v>20</v>
      </c>
      <c r="I1568" s="5" t="s">
        <v>3812</v>
      </c>
      <c r="J1568" s="12" t="str">
        <f>HYPERLINK("https://www.boe.es/gazeta/dias/1806/01/17/pdfs/GMD-1806-6.pdf#page=10","Abrir facsímil")</f>
        <v>Abrir facsímil</v>
      </c>
      <c r="K1568" s="15" t="s">
        <v>22</v>
      </c>
    </row>
    <row r="1569" spans="1:11" ht="42" customHeight="1">
      <c r="A1569" s="4" t="s">
        <v>3813</v>
      </c>
      <c r="B1569" s="5" t="s">
        <v>3814</v>
      </c>
      <c r="C1569" s="5" t="s">
        <v>31</v>
      </c>
      <c r="D1569" s="5" t="s">
        <v>32</v>
      </c>
      <c r="E1569" s="5" t="s">
        <v>383</v>
      </c>
      <c r="F1569" s="9">
        <v>54</v>
      </c>
      <c r="G1569" s="9">
        <v>562</v>
      </c>
      <c r="H1569" s="5" t="s">
        <v>20</v>
      </c>
      <c r="I1569" s="5" t="s">
        <v>3815</v>
      </c>
      <c r="J1569" s="12" t="str">
        <f>HYPERLINK("https://www.boe.es/gazeta/dias/1806/07/01/pdfs/GMD-1806-54.pdf#page=6","Abrir facsímil")</f>
        <v>Abrir facsímil</v>
      </c>
      <c r="K1569" s="15" t="s">
        <v>22</v>
      </c>
    </row>
    <row r="1570" spans="1:11" ht="42" customHeight="1">
      <c r="A1570" s="4" t="s">
        <v>3816</v>
      </c>
      <c r="B1570" s="5" t="s">
        <v>3817</v>
      </c>
      <c r="C1570" s="5" t="s">
        <v>31</v>
      </c>
      <c r="D1570" s="5" t="s">
        <v>32</v>
      </c>
      <c r="E1570" s="5" t="s">
        <v>48</v>
      </c>
      <c r="F1570" s="9">
        <v>67</v>
      </c>
      <c r="G1570" s="9">
        <v>704</v>
      </c>
      <c r="H1570" s="5" t="s">
        <v>20</v>
      </c>
      <c r="I1570" s="5" t="s">
        <v>3818</v>
      </c>
      <c r="J1570" s="12" t="str">
        <f>HYPERLINK("https://www.boe.es/gazeta/dias/1806/08/15/pdfs/GMD-1806-67.pdf#page=12","Abrir facsímil")</f>
        <v>Abrir facsímil</v>
      </c>
      <c r="K1570" s="15" t="s">
        <v>22</v>
      </c>
    </row>
    <row r="1571" spans="1:11" ht="42" customHeight="1">
      <c r="A1571" s="4" t="s">
        <v>3819</v>
      </c>
      <c r="B1571" s="5" t="s">
        <v>3820</v>
      </c>
      <c r="C1571" s="5" t="s">
        <v>42</v>
      </c>
      <c r="D1571" s="5" t="s">
        <v>43</v>
      </c>
      <c r="E1571" s="5" t="s">
        <v>340</v>
      </c>
      <c r="F1571" s="9">
        <v>31</v>
      </c>
      <c r="G1571" s="9">
        <v>305</v>
      </c>
      <c r="H1571" s="5" t="s">
        <v>20</v>
      </c>
      <c r="I1571" s="5" t="s">
        <v>3821</v>
      </c>
      <c r="J1571" s="12" t="str">
        <f>HYPERLINK("https://www.boe.es/gazeta/dias/1806/04/11/pdfs/GMD-1806-31.pdf#page=9","Abrir facsímil")</f>
        <v>Abrir facsímil</v>
      </c>
      <c r="K1571" s="15" t="s">
        <v>22</v>
      </c>
    </row>
    <row r="1572" spans="1:11" ht="42" customHeight="1">
      <c r="A1572" s="4" t="s">
        <v>3822</v>
      </c>
      <c r="B1572" s="5" t="s">
        <v>3823</v>
      </c>
      <c r="C1572" s="5" t="s">
        <v>31</v>
      </c>
      <c r="D1572" s="5" t="s">
        <v>32</v>
      </c>
      <c r="E1572" s="5" t="s">
        <v>304</v>
      </c>
      <c r="F1572" s="9">
        <v>47</v>
      </c>
      <c r="G1572" s="9">
        <v>478</v>
      </c>
      <c r="H1572" s="5" t="s">
        <v>20</v>
      </c>
      <c r="I1572" s="5" t="s">
        <v>3824</v>
      </c>
      <c r="J1572" s="12" t="str">
        <f>HYPERLINK("https://www.boe.es/gazeta/dias/1806/06/06/pdfs/GMD-1806-47.pdf#page=6","Abrir facsímil")</f>
        <v>Abrir facsímil</v>
      </c>
      <c r="K1572" s="15" t="s">
        <v>22</v>
      </c>
    </row>
    <row r="1573" spans="1:11" ht="42" customHeight="1">
      <c r="A1573" s="4" t="s">
        <v>3825</v>
      </c>
      <c r="B1573" s="5" t="s">
        <v>3826</v>
      </c>
      <c r="C1573" s="5" t="s">
        <v>31</v>
      </c>
      <c r="D1573" s="5" t="s">
        <v>32</v>
      </c>
      <c r="E1573" s="5" t="s">
        <v>312</v>
      </c>
      <c r="F1573" s="9">
        <v>100</v>
      </c>
      <c r="G1573" s="9">
        <v>1065</v>
      </c>
      <c r="H1573" s="5" t="s">
        <v>20</v>
      </c>
      <c r="I1573" s="5" t="s">
        <v>3827</v>
      </c>
      <c r="J1573" s="12" t="str">
        <f>HYPERLINK("https://www.boe.es/gazeta/dias/1806/12/09/pdfs/GMD-1806-100.pdf#page=9","Abrir facsímil")</f>
        <v>Abrir facsímil</v>
      </c>
      <c r="K1573" s="15" t="s">
        <v>22</v>
      </c>
    </row>
    <row r="1574" spans="1:11" ht="42" customHeight="1">
      <c r="A1574" s="4" t="s">
        <v>3828</v>
      </c>
      <c r="B1574" s="5" t="s">
        <v>3829</v>
      </c>
      <c r="C1574" s="5" t="s">
        <v>31</v>
      </c>
      <c r="D1574" s="5" t="s">
        <v>32</v>
      </c>
      <c r="E1574" s="5" t="s">
        <v>110</v>
      </c>
      <c r="F1574" s="9">
        <v>55</v>
      </c>
      <c r="G1574" s="9">
        <v>572</v>
      </c>
      <c r="H1574" s="5" t="s">
        <v>20</v>
      </c>
      <c r="I1574" s="5" t="s">
        <v>3830</v>
      </c>
      <c r="J1574" s="12" t="str">
        <f>HYPERLINK("https://www.boe.es/gazeta/dias/1806/07/04/pdfs/GMD-1806-55.pdf#page=8","Abrir facsímil")</f>
        <v>Abrir facsímil</v>
      </c>
      <c r="K1574" s="15" t="s">
        <v>22</v>
      </c>
    </row>
    <row r="1575" spans="1:11" ht="42" customHeight="1">
      <c r="A1575" s="4" t="s">
        <v>3831</v>
      </c>
      <c r="B1575" s="5" t="s">
        <v>3832</v>
      </c>
      <c r="C1575" s="5" t="s">
        <v>31</v>
      </c>
      <c r="D1575" s="5" t="s">
        <v>32</v>
      </c>
      <c r="E1575" s="5" t="s">
        <v>383</v>
      </c>
      <c r="F1575" s="9">
        <v>54</v>
      </c>
      <c r="G1575" s="9">
        <v>562</v>
      </c>
      <c r="H1575" s="5" t="s">
        <v>20</v>
      </c>
      <c r="I1575" s="5" t="s">
        <v>3833</v>
      </c>
      <c r="J1575" s="12" t="str">
        <f>HYPERLINK("https://www.boe.es/gazeta/dias/1806/07/01/pdfs/GMD-1806-54.pdf#page=6","Abrir facsímil")</f>
        <v>Abrir facsímil</v>
      </c>
      <c r="K1575" s="15" t="s">
        <v>22</v>
      </c>
    </row>
    <row r="1576" spans="1:11" ht="42" customHeight="1">
      <c r="A1576" s="4" t="s">
        <v>3834</v>
      </c>
      <c r="B1576" s="5" t="s">
        <v>3835</v>
      </c>
      <c r="C1576" s="5" t="s">
        <v>31</v>
      </c>
      <c r="D1576" s="5" t="s">
        <v>32</v>
      </c>
      <c r="E1576" s="5" t="s">
        <v>363</v>
      </c>
      <c r="F1576" s="9">
        <v>8</v>
      </c>
      <c r="G1576" s="9">
        <v>73</v>
      </c>
      <c r="H1576" s="5" t="s">
        <v>20</v>
      </c>
      <c r="I1576" s="5" t="s">
        <v>3836</v>
      </c>
      <c r="J1576" s="12" t="str">
        <f>HYPERLINK("https://www.boe.es/gazeta/dias/1806/01/24/pdfs/GMD-1806-8.pdf#page=5","Abrir facsímil")</f>
        <v>Abrir facsímil</v>
      </c>
      <c r="K1576" s="15" t="s">
        <v>22</v>
      </c>
    </row>
    <row r="1577" spans="1:11" ht="42" customHeight="1">
      <c r="A1577" s="4" t="s">
        <v>3837</v>
      </c>
      <c r="B1577" s="5" t="s">
        <v>3838</v>
      </c>
      <c r="C1577" s="5" t="s">
        <v>31</v>
      </c>
      <c r="D1577" s="5" t="s">
        <v>32</v>
      </c>
      <c r="E1577" s="5" t="s">
        <v>185</v>
      </c>
      <c r="F1577" s="9">
        <v>46</v>
      </c>
      <c r="G1577" s="9">
        <v>470</v>
      </c>
      <c r="H1577" s="5" t="s">
        <v>20</v>
      </c>
      <c r="I1577" s="5" t="s">
        <v>3839</v>
      </c>
      <c r="J1577" s="12" t="str">
        <f>HYPERLINK("https://www.boe.es/gazeta/dias/1806/06/03/pdfs/GMD-1806-46.pdf#page=10","Abrir facsímil")</f>
        <v>Abrir facsímil</v>
      </c>
      <c r="K1577" s="15" t="s">
        <v>22</v>
      </c>
    </row>
    <row r="1578" spans="1:11" ht="42" customHeight="1">
      <c r="A1578" s="4" t="s">
        <v>3840</v>
      </c>
      <c r="B1578" s="5" t="s">
        <v>3841</v>
      </c>
      <c r="C1578" s="5" t="s">
        <v>31</v>
      </c>
      <c r="D1578" s="5" t="s">
        <v>32</v>
      </c>
      <c r="E1578" s="5" t="s">
        <v>297</v>
      </c>
      <c r="F1578" s="9">
        <v>94</v>
      </c>
      <c r="G1578" s="9">
        <v>989</v>
      </c>
      <c r="H1578" s="5" t="s">
        <v>20</v>
      </c>
      <c r="I1578" s="5" t="s">
        <v>3842</v>
      </c>
      <c r="J1578" s="12" t="str">
        <f>HYPERLINK("https://www.boe.es/gazeta/dias/1806/11/18/pdfs/GMD-1806-94.pdf#page=9","Abrir facsímil")</f>
        <v>Abrir facsímil</v>
      </c>
      <c r="K1578" s="15" t="s">
        <v>22</v>
      </c>
    </row>
    <row r="1579" spans="1:11" ht="42" customHeight="1">
      <c r="A1579" s="4" t="s">
        <v>3843</v>
      </c>
      <c r="B1579" s="5" t="s">
        <v>3844</v>
      </c>
      <c r="C1579" s="5" t="s">
        <v>31</v>
      </c>
      <c r="D1579" s="5" t="s">
        <v>32</v>
      </c>
      <c r="E1579" s="5" t="s">
        <v>657</v>
      </c>
      <c r="F1579" s="9">
        <v>96</v>
      </c>
      <c r="G1579" s="9">
        <v>1018</v>
      </c>
      <c r="H1579" s="5" t="s">
        <v>20</v>
      </c>
      <c r="I1579" s="5" t="s">
        <v>3845</v>
      </c>
      <c r="J1579" s="12" t="str">
        <f>HYPERLINK("https://www.boe.es/gazeta/dias/1806/11/25/pdfs/GMD-1806-96.pdf#page=10","Abrir facsímil")</f>
        <v>Abrir facsímil</v>
      </c>
      <c r="K1579" s="15" t="s">
        <v>22</v>
      </c>
    </row>
    <row r="1580" spans="1:11" ht="42" customHeight="1">
      <c r="A1580" s="4" t="s">
        <v>3846</v>
      </c>
      <c r="B1580" s="5" t="s">
        <v>3847</v>
      </c>
      <c r="C1580" s="5" t="s">
        <v>31</v>
      </c>
      <c r="D1580" s="5" t="s">
        <v>32</v>
      </c>
      <c r="E1580" s="5" t="s">
        <v>367</v>
      </c>
      <c r="F1580" s="9">
        <v>87</v>
      </c>
      <c r="G1580" s="9">
        <v>899</v>
      </c>
      <c r="H1580" s="5" t="s">
        <v>20</v>
      </c>
      <c r="I1580" s="5" t="s">
        <v>3848</v>
      </c>
      <c r="J1580" s="12" t="str">
        <f>HYPERLINK("https://www.boe.es/gazeta/dias/1806/10/24/pdfs/GMD-1806-87.pdf#page=7","Abrir facsímil")</f>
        <v>Abrir facsímil</v>
      </c>
      <c r="K1580" s="15" t="s">
        <v>22</v>
      </c>
    </row>
    <row r="1581" spans="1:11" ht="42" customHeight="1">
      <c r="A1581" s="4" t="s">
        <v>3849</v>
      </c>
      <c r="B1581" s="5" t="s">
        <v>3850</v>
      </c>
      <c r="C1581" s="5" t="s">
        <v>42</v>
      </c>
      <c r="D1581" s="5" t="s">
        <v>43</v>
      </c>
      <c r="E1581" s="5" t="s">
        <v>1005</v>
      </c>
      <c r="F1581" s="9">
        <v>76</v>
      </c>
      <c r="G1581" s="9">
        <v>787</v>
      </c>
      <c r="H1581" s="5" t="s">
        <v>20</v>
      </c>
      <c r="I1581" s="5" t="s">
        <v>3851</v>
      </c>
      <c r="J1581" s="12" t="str">
        <f>HYPERLINK("https://www.boe.es/gazeta/dias/1806/09/16/pdfs/GMD-1806-76.pdf#page=7","Abrir facsímil")</f>
        <v>Abrir facsímil</v>
      </c>
      <c r="K1581" s="15" t="s">
        <v>22</v>
      </c>
    </row>
    <row r="1582" spans="1:11" ht="42" customHeight="1">
      <c r="A1582" s="4" t="s">
        <v>3852</v>
      </c>
      <c r="B1582" s="5" t="s">
        <v>3853</v>
      </c>
      <c r="C1582" s="5" t="s">
        <v>17</v>
      </c>
      <c r="D1582" s="5" t="s">
        <v>18</v>
      </c>
      <c r="E1582" s="5" t="s">
        <v>430</v>
      </c>
      <c r="F1582" s="9">
        <v>12</v>
      </c>
      <c r="G1582" s="9">
        <v>106</v>
      </c>
      <c r="H1582" s="5" t="s">
        <v>20</v>
      </c>
      <c r="I1582" s="5" t="s">
        <v>3854</v>
      </c>
      <c r="J1582" s="12" t="str">
        <f>HYPERLINK("https://www.boe.es/gazeta/dias/1806/02/04/pdfs/GMD-1806-12.pdf#page=6","Abrir facsímil")</f>
        <v>Abrir facsímil</v>
      </c>
      <c r="K1582" s="15" t="s">
        <v>22</v>
      </c>
    </row>
    <row r="1583" spans="1:11" ht="42" customHeight="1">
      <c r="A1583" s="4" t="s">
        <v>3855</v>
      </c>
      <c r="B1583" s="5" t="s">
        <v>3856</v>
      </c>
      <c r="C1583" s="5" t="s">
        <v>17</v>
      </c>
      <c r="D1583" s="5" t="s">
        <v>18</v>
      </c>
      <c r="E1583" s="5" t="s">
        <v>195</v>
      </c>
      <c r="F1583" s="9">
        <v>4</v>
      </c>
      <c r="G1583" s="9">
        <v>35</v>
      </c>
      <c r="H1583" s="5" t="s">
        <v>20</v>
      </c>
      <c r="I1583" s="5" t="s">
        <v>3857</v>
      </c>
      <c r="J1583" s="12" t="str">
        <f>HYPERLINK("https://www.boe.es/gazeta/dias/1806/01/14/pdfs/GMD-1806-4.pdf#page=7","Abrir facsímil")</f>
        <v>Abrir facsímil</v>
      </c>
      <c r="K1583" s="15" t="s">
        <v>22</v>
      </c>
    </row>
    <row r="1584" spans="1:11" ht="42" customHeight="1">
      <c r="A1584" s="4" t="s">
        <v>3858</v>
      </c>
      <c r="B1584" s="5" t="s">
        <v>3859</v>
      </c>
      <c r="C1584" s="5" t="s">
        <v>17</v>
      </c>
      <c r="D1584" s="5" t="s">
        <v>18</v>
      </c>
      <c r="E1584" s="5" t="s">
        <v>400</v>
      </c>
      <c r="F1584" s="9">
        <v>22</v>
      </c>
      <c r="G1584" s="9">
        <v>208</v>
      </c>
      <c r="H1584" s="5" t="s">
        <v>20</v>
      </c>
      <c r="I1584" s="5" t="s">
        <v>3860</v>
      </c>
      <c r="J1584" s="12" t="str">
        <f>HYPERLINK("https://www.boe.es/gazeta/dias/1806/03/11/pdfs/GMD-1806-22.pdf#page=8","Abrir facsímil")</f>
        <v>Abrir facsímil</v>
      </c>
      <c r="K1584" s="15" t="s">
        <v>22</v>
      </c>
    </row>
    <row r="1585" spans="1:11" ht="42" customHeight="1">
      <c r="A1585" s="4" t="s">
        <v>3861</v>
      </c>
      <c r="B1585" s="5" t="s">
        <v>3862</v>
      </c>
      <c r="C1585" s="5" t="s">
        <v>75</v>
      </c>
      <c r="D1585" s="5" t="s">
        <v>43</v>
      </c>
      <c r="E1585" s="5" t="s">
        <v>90</v>
      </c>
      <c r="F1585" s="9">
        <v>60</v>
      </c>
      <c r="G1585" s="9">
        <v>623</v>
      </c>
      <c r="H1585" s="5" t="s">
        <v>20</v>
      </c>
      <c r="I1585" s="5" t="s">
        <v>3863</v>
      </c>
      <c r="J1585" s="12" t="str">
        <f>HYPERLINK("https://www.boe.es/gazeta/dias/1806/07/22/pdfs/GMD-1806-60.pdf#page=7","Abrir facsímil")</f>
        <v>Abrir facsímil</v>
      </c>
      <c r="K1585" s="15" t="s">
        <v>22</v>
      </c>
    </row>
    <row r="1586" spans="1:11" ht="42" customHeight="1">
      <c r="A1586" s="4" t="s">
        <v>3864</v>
      </c>
      <c r="B1586" s="5" t="s">
        <v>3865</v>
      </c>
      <c r="C1586" s="5" t="s">
        <v>31</v>
      </c>
      <c r="D1586" s="5" t="s">
        <v>32</v>
      </c>
      <c r="E1586" s="5" t="s">
        <v>185</v>
      </c>
      <c r="F1586" s="9">
        <v>46</v>
      </c>
      <c r="G1586" s="9">
        <v>469</v>
      </c>
      <c r="H1586" s="5" t="s">
        <v>20</v>
      </c>
      <c r="I1586" s="5" t="s">
        <v>3866</v>
      </c>
      <c r="J1586" s="12" t="str">
        <f>HYPERLINK("https://www.boe.es/gazeta/dias/1806/06/03/pdfs/GMD-1806-46.pdf#page=9","Abrir facsímil")</f>
        <v>Abrir facsímil</v>
      </c>
      <c r="K1586" s="15" t="s">
        <v>22</v>
      </c>
    </row>
    <row r="1587" spans="1:11" ht="42" customHeight="1">
      <c r="A1587" s="4" t="s">
        <v>3867</v>
      </c>
      <c r="B1587" s="5" t="s">
        <v>3867</v>
      </c>
      <c r="C1587" s="5" t="s">
        <v>36</v>
      </c>
      <c r="D1587" s="5" t="s">
        <v>37</v>
      </c>
      <c r="E1587" s="5" t="s">
        <v>494</v>
      </c>
      <c r="F1587" s="9">
        <v>69</v>
      </c>
      <c r="G1587" s="9">
        <v>724</v>
      </c>
      <c r="H1587" s="5" t="s">
        <v>20</v>
      </c>
      <c r="I1587" s="5" t="s">
        <v>3868</v>
      </c>
      <c r="J1587" s="12" t="str">
        <f>HYPERLINK("https://www.boe.es/gazeta/dias/1806/08/22/pdfs/GMD-1806-69.pdf#page=12","Abrir facsímil")</f>
        <v>Abrir facsímil</v>
      </c>
      <c r="K1587" s="15" t="s">
        <v>22</v>
      </c>
    </row>
    <row r="1588" spans="1:11" ht="42" customHeight="1">
      <c r="A1588" s="4" t="s">
        <v>3869</v>
      </c>
      <c r="B1588" s="5" t="s">
        <v>3869</v>
      </c>
      <c r="C1588" s="5" t="s">
        <v>36</v>
      </c>
      <c r="D1588" s="5" t="s">
        <v>37</v>
      </c>
      <c r="E1588" s="5" t="s">
        <v>501</v>
      </c>
      <c r="F1588" s="9">
        <v>39</v>
      </c>
      <c r="G1588" s="9">
        <v>382</v>
      </c>
      <c r="H1588" s="5" t="s">
        <v>20</v>
      </c>
      <c r="I1588" s="5" t="s">
        <v>3870</v>
      </c>
      <c r="J1588" s="12" t="str">
        <f>HYPERLINK("https://www.boe.es/gazeta/dias/1806/05/09/pdfs/GMD-1806-39.pdf#page=6","Abrir facsímil")</f>
        <v>Abrir facsímil</v>
      </c>
      <c r="K1588" s="15" t="s">
        <v>22</v>
      </c>
    </row>
    <row r="1589" spans="1:11" ht="42" customHeight="1">
      <c r="A1589" s="4" t="s">
        <v>3871</v>
      </c>
      <c r="B1589" s="5" t="s">
        <v>3872</v>
      </c>
      <c r="C1589" s="5" t="s">
        <v>31</v>
      </c>
      <c r="D1589" s="5" t="s">
        <v>32</v>
      </c>
      <c r="E1589" s="5" t="s">
        <v>185</v>
      </c>
      <c r="F1589" s="9">
        <v>46</v>
      </c>
      <c r="G1589" s="9">
        <v>469</v>
      </c>
      <c r="H1589" s="5" t="s">
        <v>20</v>
      </c>
      <c r="I1589" s="5" t="s">
        <v>3873</v>
      </c>
      <c r="J1589" s="12" t="str">
        <f>HYPERLINK("https://www.boe.es/gazeta/dias/1806/06/03/pdfs/GMD-1806-46.pdf#page=9","Abrir facsímil")</f>
        <v>Abrir facsímil</v>
      </c>
      <c r="K1589" s="15" t="s">
        <v>22</v>
      </c>
    </row>
    <row r="1590" spans="1:11" ht="42" customHeight="1">
      <c r="A1590" s="4" t="s">
        <v>3874</v>
      </c>
      <c r="B1590" s="5" t="s">
        <v>3875</v>
      </c>
      <c r="C1590" s="5" t="s">
        <v>31</v>
      </c>
      <c r="D1590" s="5" t="s">
        <v>32</v>
      </c>
      <c r="E1590" s="5" t="s">
        <v>130</v>
      </c>
      <c r="F1590" s="9">
        <v>66</v>
      </c>
      <c r="G1590" s="9">
        <v>690</v>
      </c>
      <c r="H1590" s="5" t="s">
        <v>20</v>
      </c>
      <c r="I1590" s="5" t="s">
        <v>3876</v>
      </c>
      <c r="J1590" s="12" t="str">
        <f>HYPERLINK("https://www.boe.es/gazeta/dias/1806/08/12/pdfs/GMD-1806-66.pdf#page=6","Abrir facsímil")</f>
        <v>Abrir facsímil</v>
      </c>
      <c r="K1590" s="15" t="s">
        <v>22</v>
      </c>
    </row>
    <row r="1591" spans="1:11" ht="42" customHeight="1">
      <c r="A1591" s="4" t="s">
        <v>3877</v>
      </c>
      <c r="B1591" s="5" t="s">
        <v>3878</v>
      </c>
      <c r="C1591" s="5" t="s">
        <v>31</v>
      </c>
      <c r="D1591" s="5" t="s">
        <v>32</v>
      </c>
      <c r="E1591" s="5" t="s">
        <v>340</v>
      </c>
      <c r="F1591" s="9">
        <v>31</v>
      </c>
      <c r="G1591" s="9">
        <v>305</v>
      </c>
      <c r="H1591" s="5" t="s">
        <v>20</v>
      </c>
      <c r="I1591" s="5" t="s">
        <v>3879</v>
      </c>
      <c r="J1591" s="12" t="str">
        <f>HYPERLINK("https://www.boe.es/gazeta/dias/1806/04/11/pdfs/GMD-1806-31.pdf#page=9","Abrir facsímil")</f>
        <v>Abrir facsímil</v>
      </c>
      <c r="K1591" s="15" t="s">
        <v>22</v>
      </c>
    </row>
    <row r="1592" spans="1:11" ht="42" customHeight="1">
      <c r="A1592" s="4" t="s">
        <v>3880</v>
      </c>
      <c r="B1592" s="5" t="s">
        <v>3881</v>
      </c>
      <c r="C1592" s="5" t="s">
        <v>17</v>
      </c>
      <c r="D1592" s="5" t="s">
        <v>18</v>
      </c>
      <c r="E1592" s="5" t="s">
        <v>455</v>
      </c>
      <c r="F1592" s="9">
        <v>85</v>
      </c>
      <c r="G1592" s="9">
        <v>882</v>
      </c>
      <c r="H1592" s="5" t="s">
        <v>20</v>
      </c>
      <c r="I1592" s="5" t="s">
        <v>3882</v>
      </c>
      <c r="J1592" s="12" t="str">
        <f>HYPERLINK("https://www.boe.es/gazeta/dias/1806/10/17/pdfs/GMD-1806-85.pdf#page=10","Abrir facsímil")</f>
        <v>Abrir facsímil</v>
      </c>
      <c r="K1592" s="15" t="s">
        <v>22</v>
      </c>
    </row>
    <row r="1593" spans="1:11" ht="42" customHeight="1">
      <c r="A1593" s="4" t="s">
        <v>3883</v>
      </c>
      <c r="B1593" s="5" t="s">
        <v>3883</v>
      </c>
      <c r="C1593" s="5" t="s">
        <v>69</v>
      </c>
      <c r="D1593" s="5" t="s">
        <v>70</v>
      </c>
      <c r="E1593" s="5" t="s">
        <v>870</v>
      </c>
      <c r="F1593" s="9">
        <v>35</v>
      </c>
      <c r="G1593" s="9">
        <v>341</v>
      </c>
      <c r="H1593" s="5" t="s">
        <v>20</v>
      </c>
      <c r="I1593" s="5" t="s">
        <v>3884</v>
      </c>
      <c r="J1593" s="12" t="str">
        <f>HYPERLINK("https://www.boe.es/gazeta/dias/1806/04/25/pdfs/GMD-1806-35.pdf#page=5","Abrir facsímil")</f>
        <v>Abrir facsímil</v>
      </c>
      <c r="K1593" s="15" t="s">
        <v>22</v>
      </c>
    </row>
    <row r="1594" spans="1:11" ht="42" customHeight="1">
      <c r="A1594" s="4" t="s">
        <v>3885</v>
      </c>
      <c r="B1594" s="5" t="s">
        <v>3885</v>
      </c>
      <c r="C1594" s="5" t="s">
        <v>31</v>
      </c>
      <c r="D1594" s="5" t="s">
        <v>32</v>
      </c>
      <c r="E1594" s="5" t="s">
        <v>82</v>
      </c>
      <c r="F1594" s="9">
        <v>48</v>
      </c>
      <c r="G1594" s="9">
        <v>495</v>
      </c>
      <c r="H1594" s="5" t="s">
        <v>20</v>
      </c>
      <c r="I1594" s="5" t="s">
        <v>3886</v>
      </c>
      <c r="J1594" s="12" t="str">
        <f>HYPERLINK("https://www.boe.es/gazeta/dias/1806/06/10/pdfs/GMD-1806-48.pdf#page=7","Abrir facsímil")</f>
        <v>Abrir facsímil</v>
      </c>
      <c r="K1594" s="15" t="s">
        <v>22</v>
      </c>
    </row>
    <row r="1595" spans="1:11" ht="42" customHeight="1">
      <c r="A1595" s="4" t="s">
        <v>3887</v>
      </c>
      <c r="B1595" s="5" t="s">
        <v>3888</v>
      </c>
      <c r="C1595" s="5" t="s">
        <v>31</v>
      </c>
      <c r="D1595" s="5" t="s">
        <v>32</v>
      </c>
      <c r="E1595" s="5" t="s">
        <v>259</v>
      </c>
      <c r="F1595" s="9">
        <v>34</v>
      </c>
      <c r="G1595" s="9">
        <v>335</v>
      </c>
      <c r="H1595" s="5" t="s">
        <v>20</v>
      </c>
      <c r="I1595" s="5" t="s">
        <v>3889</v>
      </c>
      <c r="J1595" s="12" t="str">
        <f>HYPERLINK("https://www.boe.es/gazeta/dias/1806/04/22/pdfs/GMD-1806-34.pdf#page=7","Abrir facsímil")</f>
        <v>Abrir facsímil</v>
      </c>
      <c r="K1595" s="15" t="s">
        <v>22</v>
      </c>
    </row>
    <row r="1596" spans="1:11" ht="42" customHeight="1">
      <c r="A1596" s="4" t="s">
        <v>3890</v>
      </c>
      <c r="B1596" s="5" t="s">
        <v>3891</v>
      </c>
      <c r="C1596" s="5" t="s">
        <v>17</v>
      </c>
      <c r="D1596" s="5" t="s">
        <v>18</v>
      </c>
      <c r="E1596" s="5" t="s">
        <v>140</v>
      </c>
      <c r="F1596" s="9">
        <v>83</v>
      </c>
      <c r="G1596" s="9">
        <v>861</v>
      </c>
      <c r="H1596" s="5" t="s">
        <v>20</v>
      </c>
      <c r="I1596" s="5" t="s">
        <v>3892</v>
      </c>
      <c r="J1596" s="12" t="str">
        <f>HYPERLINK("https://www.boe.es/gazeta/dias/1806/10/10/pdfs/GMD-1806-83.pdf#page=9","Abrir facsímil")</f>
        <v>Abrir facsímil</v>
      </c>
      <c r="K1596" s="15" t="s">
        <v>22</v>
      </c>
    </row>
    <row r="1597" spans="1:11" ht="42" customHeight="1">
      <c r="A1597" s="4" t="s">
        <v>3893</v>
      </c>
      <c r="B1597" s="5" t="s">
        <v>3893</v>
      </c>
      <c r="C1597" s="5" t="s">
        <v>17</v>
      </c>
      <c r="D1597" s="5" t="s">
        <v>18</v>
      </c>
      <c r="E1597" s="5" t="s">
        <v>86</v>
      </c>
      <c r="F1597" s="9">
        <v>53</v>
      </c>
      <c r="G1597" s="9">
        <v>552</v>
      </c>
      <c r="H1597" s="5" t="s">
        <v>20</v>
      </c>
      <c r="I1597" s="5" t="s">
        <v>3894</v>
      </c>
      <c r="J1597" s="12" t="str">
        <f>HYPERLINK("https://www.boe.es/gazeta/dias/1806/06/27/pdfs/GMD-1806-53.pdf#page=8","Abrir facsímil")</f>
        <v>Abrir facsímil</v>
      </c>
      <c r="K1597" s="15" t="s">
        <v>22</v>
      </c>
    </row>
    <row r="1598" spans="1:11" ht="42" customHeight="1">
      <c r="A1598" s="4" t="s">
        <v>3895</v>
      </c>
      <c r="B1598" s="5" t="s">
        <v>3896</v>
      </c>
      <c r="C1598" s="5" t="s">
        <v>75</v>
      </c>
      <c r="D1598" s="5" t="s">
        <v>43</v>
      </c>
      <c r="E1598" s="5" t="s">
        <v>363</v>
      </c>
      <c r="F1598" s="9">
        <v>8</v>
      </c>
      <c r="G1598" s="9">
        <v>69</v>
      </c>
      <c r="H1598" s="5" t="s">
        <v>20</v>
      </c>
      <c r="I1598" s="5" t="s">
        <v>3897</v>
      </c>
      <c r="J1598" s="12" t="str">
        <f>HYPERLINK("https://www.boe.es/gazeta/dias/1806/01/24/pdfs/GMD-1806-8.pdf#page=1","Abrir facsímil")</f>
        <v>Abrir facsímil</v>
      </c>
      <c r="K1598" s="15" t="s">
        <v>22</v>
      </c>
    </row>
    <row r="1599" spans="1:11" ht="42" customHeight="1">
      <c r="A1599" s="4" t="s">
        <v>3898</v>
      </c>
      <c r="B1599" s="5" t="s">
        <v>3898</v>
      </c>
      <c r="C1599" s="5" t="s">
        <v>17</v>
      </c>
      <c r="D1599" s="5" t="s">
        <v>18</v>
      </c>
      <c r="E1599" s="5" t="s">
        <v>148</v>
      </c>
      <c r="F1599" s="9">
        <v>78</v>
      </c>
      <c r="G1599" s="9">
        <v>804</v>
      </c>
      <c r="H1599" s="5" t="s">
        <v>20</v>
      </c>
      <c r="I1599" s="5" t="s">
        <v>3899</v>
      </c>
      <c r="J1599" s="12" t="str">
        <f>HYPERLINK("https://www.boe.es/gazeta/dias/1806/09/23/pdfs/GMD-1806-78.pdf#page=8","Abrir facsímil")</f>
        <v>Abrir facsímil</v>
      </c>
      <c r="K1599" s="15" t="s">
        <v>22</v>
      </c>
    </row>
    <row r="1600" spans="1:11" ht="42" customHeight="1">
      <c r="A1600" s="4" t="s">
        <v>3900</v>
      </c>
      <c r="B1600" s="5" t="s">
        <v>3900</v>
      </c>
      <c r="C1600" s="5" t="s">
        <v>31</v>
      </c>
      <c r="D1600" s="5" t="s">
        <v>32</v>
      </c>
      <c r="E1600" s="5" t="s">
        <v>82</v>
      </c>
      <c r="F1600" s="9">
        <v>48</v>
      </c>
      <c r="G1600" s="9">
        <v>495</v>
      </c>
      <c r="H1600" s="5" t="s">
        <v>20</v>
      </c>
      <c r="I1600" s="5" t="s">
        <v>3901</v>
      </c>
      <c r="J1600" s="12" t="str">
        <f>HYPERLINK("https://www.boe.es/gazeta/dias/1806/06/10/pdfs/GMD-1806-48.pdf#page=7","Abrir facsímil")</f>
        <v>Abrir facsímil</v>
      </c>
      <c r="K1600" s="15" t="s">
        <v>22</v>
      </c>
    </row>
    <row r="1601" spans="1:11" ht="42" customHeight="1">
      <c r="A1601" s="4" t="s">
        <v>3902</v>
      </c>
      <c r="B1601" s="5" t="s">
        <v>3903</v>
      </c>
      <c r="C1601" s="5" t="s">
        <v>31</v>
      </c>
      <c r="D1601" s="5" t="s">
        <v>32</v>
      </c>
      <c r="E1601" s="5" t="s">
        <v>172</v>
      </c>
      <c r="F1601" s="9">
        <v>17</v>
      </c>
      <c r="G1601" s="9">
        <v>147</v>
      </c>
      <c r="H1601" s="5" t="s">
        <v>20</v>
      </c>
      <c r="I1601" s="5" t="s">
        <v>3904</v>
      </c>
      <c r="J1601" s="12" t="str">
        <f>HYPERLINK("https://www.boe.es/gazeta/dias/1806/02/21/pdfs/GMD-1806-17.pdf#page=3","Abrir facsímil")</f>
        <v>Abrir facsímil</v>
      </c>
      <c r="K1601" s="15" t="s">
        <v>22</v>
      </c>
    </row>
    <row r="1602" spans="1:11" ht="42" customHeight="1">
      <c r="A1602" s="4" t="s">
        <v>3902</v>
      </c>
      <c r="B1602" s="5" t="s">
        <v>3903</v>
      </c>
      <c r="C1602" s="5" t="s">
        <v>69</v>
      </c>
      <c r="D1602" s="5" t="s">
        <v>70</v>
      </c>
      <c r="E1602" s="5" t="s">
        <v>657</v>
      </c>
      <c r="F1602" s="9">
        <v>96</v>
      </c>
      <c r="G1602" s="9">
        <v>1017</v>
      </c>
      <c r="H1602" s="5" t="s">
        <v>20</v>
      </c>
      <c r="I1602" s="5" t="s">
        <v>3905</v>
      </c>
      <c r="J1602" s="12" t="str">
        <f>HYPERLINK("https://www.boe.es/gazeta/dias/1806/11/25/pdfs/GMD-1806-96.pdf#page=9","Abrir facsímil")</f>
        <v>Abrir facsímil</v>
      </c>
      <c r="K1602" s="15" t="s">
        <v>22</v>
      </c>
    </row>
    <row r="1603" spans="1:11" ht="42" customHeight="1">
      <c r="A1603" s="4" t="s">
        <v>3906</v>
      </c>
      <c r="B1603" s="5" t="s">
        <v>3907</v>
      </c>
      <c r="C1603" s="5" t="s">
        <v>17</v>
      </c>
      <c r="D1603" s="5" t="s">
        <v>18</v>
      </c>
      <c r="E1603" s="5" t="s">
        <v>76</v>
      </c>
      <c r="F1603" s="9">
        <v>98</v>
      </c>
      <c r="G1603" s="9">
        <v>1039</v>
      </c>
      <c r="H1603" s="5" t="s">
        <v>20</v>
      </c>
      <c r="I1603" s="5" t="s">
        <v>3908</v>
      </c>
      <c r="J1603" s="12" t="str">
        <f>HYPERLINK("https://www.boe.es/gazeta/dias/1806/12/02/pdfs/GMD-1806-98.pdf#page=7","Abrir facsímil")</f>
        <v>Abrir facsímil</v>
      </c>
      <c r="K1603" s="15" t="s">
        <v>22</v>
      </c>
    </row>
    <row r="1604" spans="1:11" ht="42" customHeight="1">
      <c r="A1604" s="4" t="s">
        <v>3909</v>
      </c>
      <c r="B1604" s="5" t="s">
        <v>3909</v>
      </c>
      <c r="C1604" s="5" t="s">
        <v>17</v>
      </c>
      <c r="D1604" s="5" t="s">
        <v>18</v>
      </c>
      <c r="E1604" s="5" t="s">
        <v>76</v>
      </c>
      <c r="F1604" s="9">
        <v>98</v>
      </c>
      <c r="G1604" s="9">
        <v>1037</v>
      </c>
      <c r="H1604" s="5" t="s">
        <v>20</v>
      </c>
      <c r="I1604" s="5" t="s">
        <v>3910</v>
      </c>
      <c r="J1604" s="12" t="str">
        <f>HYPERLINK("https://www.boe.es/gazeta/dias/1806/12/02/pdfs/GMD-1806-98.pdf#page=5","Abrir facsímil")</f>
        <v>Abrir facsímil</v>
      </c>
      <c r="K1604" s="15" t="s">
        <v>22</v>
      </c>
    </row>
    <row r="1605" spans="1:11" ht="42" customHeight="1">
      <c r="A1605" s="4" t="s">
        <v>3911</v>
      </c>
      <c r="B1605" s="5" t="s">
        <v>3912</v>
      </c>
      <c r="C1605" s="5" t="s">
        <v>69</v>
      </c>
      <c r="D1605" s="5" t="s">
        <v>70</v>
      </c>
      <c r="E1605" s="5" t="s">
        <v>434</v>
      </c>
      <c r="F1605" s="9">
        <v>74</v>
      </c>
      <c r="G1605" s="9">
        <v>765</v>
      </c>
      <c r="H1605" s="5" t="s">
        <v>20</v>
      </c>
      <c r="I1605" s="5" t="s">
        <v>3913</v>
      </c>
      <c r="J1605" s="12" t="str">
        <f>HYPERLINK("https://www.boe.es/gazeta/dias/1806/09/09/pdfs/GMD-1806-74.pdf#page=5","Abrir facsímil")</f>
        <v>Abrir facsímil</v>
      </c>
      <c r="K1605" s="15" t="s">
        <v>22</v>
      </c>
    </row>
    <row r="1606" spans="1:11" ht="42" customHeight="1">
      <c r="A1606" s="4" t="s">
        <v>3914</v>
      </c>
      <c r="B1606" s="5" t="s">
        <v>3914</v>
      </c>
      <c r="C1606" s="5" t="s">
        <v>17</v>
      </c>
      <c r="D1606" s="5" t="s">
        <v>18</v>
      </c>
      <c r="E1606" s="5" t="s">
        <v>79</v>
      </c>
      <c r="F1606" s="9">
        <v>68</v>
      </c>
      <c r="G1606" s="9">
        <v>712</v>
      </c>
      <c r="H1606" s="5" t="s">
        <v>20</v>
      </c>
      <c r="I1606" s="5" t="s">
        <v>3915</v>
      </c>
      <c r="J1606" s="12" t="str">
        <f>HYPERLINK("https://www.boe.es/gazeta/dias/1806/08/19/pdfs/GMD-1806-68.pdf#page=8","Abrir facsímil")</f>
        <v>Abrir facsímil</v>
      </c>
      <c r="K1606" s="15" t="s">
        <v>22</v>
      </c>
    </row>
    <row r="1607" spans="1:11" ht="42" customHeight="1">
      <c r="A1607" s="4" t="s">
        <v>3916</v>
      </c>
      <c r="B1607" s="5" t="s">
        <v>3916</v>
      </c>
      <c r="C1607" s="5" t="s">
        <v>42</v>
      </c>
      <c r="D1607" s="5" t="s">
        <v>43</v>
      </c>
      <c r="E1607" s="5" t="s">
        <v>279</v>
      </c>
      <c r="F1607" s="9">
        <v>52</v>
      </c>
      <c r="G1607" s="9">
        <v>540</v>
      </c>
      <c r="H1607" s="5" t="s">
        <v>20</v>
      </c>
      <c r="I1607" s="5" t="s">
        <v>3917</v>
      </c>
      <c r="J1607" s="12" t="str">
        <f>HYPERLINK("https://www.boe.es/gazeta/dias/1806/06/24/pdfs/GMD-1806-52.pdf#page=8","Abrir facsímil")</f>
        <v>Abrir facsímil</v>
      </c>
      <c r="K1607" s="15" t="s">
        <v>22</v>
      </c>
    </row>
    <row r="1608" spans="1:11" ht="42" customHeight="1">
      <c r="A1608" s="4" t="s">
        <v>3918</v>
      </c>
      <c r="B1608" s="5" t="s">
        <v>3919</v>
      </c>
      <c r="C1608" s="5" t="s">
        <v>75</v>
      </c>
      <c r="D1608" s="5" t="s">
        <v>43</v>
      </c>
      <c r="E1608" s="5" t="s">
        <v>220</v>
      </c>
      <c r="F1608" s="9">
        <v>24</v>
      </c>
      <c r="G1608" s="9">
        <v>232</v>
      </c>
      <c r="H1608" s="5" t="s">
        <v>20</v>
      </c>
      <c r="I1608" s="5" t="s">
        <v>3920</v>
      </c>
      <c r="J1608" s="12" t="str">
        <f>HYPERLINK("https://www.boe.es/gazeta/dias/1806/03/18/pdfs/GMD-1806-24.pdf#page=8","Abrir facsímil")</f>
        <v>Abrir facsímil</v>
      </c>
      <c r="K1608" s="15" t="s">
        <v>22</v>
      </c>
    </row>
    <row r="1609" spans="1:11" ht="42" customHeight="1">
      <c r="A1609" s="4" t="s">
        <v>3921</v>
      </c>
      <c r="B1609" s="5" t="s">
        <v>3922</v>
      </c>
      <c r="C1609" s="5" t="s">
        <v>17</v>
      </c>
      <c r="D1609" s="5" t="s">
        <v>18</v>
      </c>
      <c r="E1609" s="5" t="s">
        <v>195</v>
      </c>
      <c r="F1609" s="9">
        <v>4</v>
      </c>
      <c r="G1609" s="9">
        <v>35</v>
      </c>
      <c r="H1609" s="5" t="s">
        <v>20</v>
      </c>
      <c r="I1609" s="5" t="s">
        <v>3923</v>
      </c>
      <c r="J1609" s="12" t="str">
        <f>HYPERLINK("https://www.boe.es/gazeta/dias/1806/01/14/pdfs/GMD-1806-4.pdf#page=7","Abrir facsímil")</f>
        <v>Abrir facsímil</v>
      </c>
      <c r="K1609" s="15" t="s">
        <v>22</v>
      </c>
    </row>
    <row r="1610" spans="1:11" ht="42" customHeight="1">
      <c r="A1610" s="4" t="s">
        <v>3924</v>
      </c>
      <c r="B1610" s="5" t="s">
        <v>3925</v>
      </c>
      <c r="C1610" s="5" t="s">
        <v>36</v>
      </c>
      <c r="D1610" s="5" t="s">
        <v>37</v>
      </c>
      <c r="E1610" s="5" t="s">
        <v>209</v>
      </c>
      <c r="F1610" s="9">
        <v>95</v>
      </c>
      <c r="G1610" s="9">
        <v>1008</v>
      </c>
      <c r="H1610" s="5" t="s">
        <v>20</v>
      </c>
      <c r="I1610" s="5" t="s">
        <v>3926</v>
      </c>
      <c r="J1610" s="12" t="str">
        <f>HYPERLINK("https://www.boe.es/gazeta/dias/1806/11/21/pdfs/GMD-1806-95.pdf#page=16","Abrir facsímil")</f>
        <v>Abrir facsímil</v>
      </c>
      <c r="K1610" s="15" t="s">
        <v>22</v>
      </c>
    </row>
    <row r="1611" spans="1:11" ht="42" customHeight="1">
      <c r="A1611" s="4" t="s">
        <v>3927</v>
      </c>
      <c r="B1611" s="5" t="s">
        <v>3928</v>
      </c>
      <c r="C1611" s="5" t="s">
        <v>75</v>
      </c>
      <c r="D1611" s="5" t="s">
        <v>43</v>
      </c>
      <c r="E1611" s="5" t="s">
        <v>124</v>
      </c>
      <c r="F1611" s="9">
        <v>25</v>
      </c>
      <c r="G1611" s="9">
        <v>247</v>
      </c>
      <c r="H1611" s="5" t="s">
        <v>20</v>
      </c>
      <c r="I1611" s="5" t="s">
        <v>3929</v>
      </c>
      <c r="J1611" s="12" t="str">
        <f>HYPERLINK("https://www.boe.es/gazeta/dias/1806/03/21/pdfs/GMD-1806-25.pdf#page=11","Abrir facsímil")</f>
        <v>Abrir facsímil</v>
      </c>
      <c r="K1611" s="15" t="s">
        <v>22</v>
      </c>
    </row>
    <row r="1612" spans="1:11" ht="42" customHeight="1">
      <c r="A1612" s="4" t="s">
        <v>3927</v>
      </c>
      <c r="B1612" s="5" t="s">
        <v>3928</v>
      </c>
      <c r="C1612" s="5" t="s">
        <v>75</v>
      </c>
      <c r="D1612" s="5" t="s">
        <v>43</v>
      </c>
      <c r="E1612" s="5" t="s">
        <v>86</v>
      </c>
      <c r="F1612" s="9">
        <v>53</v>
      </c>
      <c r="G1612" s="9">
        <v>554</v>
      </c>
      <c r="H1612" s="5" t="s">
        <v>20</v>
      </c>
      <c r="I1612" s="5" t="s">
        <v>3930</v>
      </c>
      <c r="J1612" s="12" t="str">
        <f>HYPERLINK("https://www.boe.es/gazeta/dias/1806/06/27/pdfs/GMD-1806-53.pdf#page=10","Abrir facsímil")</f>
        <v>Abrir facsímil</v>
      </c>
      <c r="K1612" s="15" t="s">
        <v>22</v>
      </c>
    </row>
    <row r="1613" spans="1:11" ht="42" customHeight="1">
      <c r="A1613" s="4" t="s">
        <v>3931</v>
      </c>
      <c r="B1613" s="5" t="s">
        <v>3932</v>
      </c>
      <c r="C1613" s="5" t="s">
        <v>75</v>
      </c>
      <c r="D1613" s="5" t="s">
        <v>43</v>
      </c>
      <c r="E1613" s="5" t="s">
        <v>661</v>
      </c>
      <c r="F1613" s="9">
        <v>38</v>
      </c>
      <c r="G1613" s="9">
        <v>374</v>
      </c>
      <c r="H1613" s="5" t="s">
        <v>20</v>
      </c>
      <c r="I1613" s="5" t="s">
        <v>3933</v>
      </c>
      <c r="J1613" s="12" t="str">
        <f>HYPERLINK("https://www.boe.es/gazeta/dias/1806/05/06/pdfs/GMD-1806-38.pdf#page=10","Abrir facsímil")</f>
        <v>Abrir facsímil</v>
      </c>
      <c r="K1613" s="15" t="s">
        <v>22</v>
      </c>
    </row>
    <row r="1614" spans="1:11" ht="42" customHeight="1">
      <c r="A1614" s="4" t="s">
        <v>3931</v>
      </c>
      <c r="B1614" s="5" t="s">
        <v>3932</v>
      </c>
      <c r="C1614" s="5" t="s">
        <v>75</v>
      </c>
      <c r="D1614" s="5" t="s">
        <v>43</v>
      </c>
      <c r="E1614" s="5" t="s">
        <v>110</v>
      </c>
      <c r="F1614" s="9">
        <v>55</v>
      </c>
      <c r="G1614" s="9">
        <v>575</v>
      </c>
      <c r="H1614" s="5" t="s">
        <v>20</v>
      </c>
      <c r="I1614" s="5" t="s">
        <v>3934</v>
      </c>
      <c r="J1614" s="12" t="str">
        <f>HYPERLINK("https://www.boe.es/gazeta/dias/1806/07/04/pdfs/GMD-1806-55.pdf#page=11","Abrir facsímil")</f>
        <v>Abrir facsímil</v>
      </c>
      <c r="K1614" s="15" t="s">
        <v>22</v>
      </c>
    </row>
    <row r="1615" spans="1:11" ht="42" customHeight="1">
      <c r="A1615" s="4" t="s">
        <v>3931</v>
      </c>
      <c r="B1615" s="5" t="s">
        <v>3932</v>
      </c>
      <c r="C1615" s="5" t="s">
        <v>31</v>
      </c>
      <c r="D1615" s="5" t="s">
        <v>32</v>
      </c>
      <c r="E1615" s="5" t="s">
        <v>716</v>
      </c>
      <c r="F1615" s="9">
        <v>56</v>
      </c>
      <c r="G1615" s="9">
        <v>587</v>
      </c>
      <c r="H1615" s="5" t="s">
        <v>20</v>
      </c>
      <c r="I1615" s="5" t="s">
        <v>3935</v>
      </c>
      <c r="J1615" s="12" t="str">
        <f>HYPERLINK("https://www.boe.es/gazeta/dias/1806/07/08/pdfs/GMD-1806-56.pdf#page=11","Abrir facsímil")</f>
        <v>Abrir facsímil</v>
      </c>
      <c r="K1615" s="15" t="s">
        <v>22</v>
      </c>
    </row>
    <row r="1616" spans="1:11" ht="42" customHeight="1">
      <c r="A1616" s="4" t="s">
        <v>3931</v>
      </c>
      <c r="B1616" s="5" t="s">
        <v>3932</v>
      </c>
      <c r="C1616" s="5" t="s">
        <v>75</v>
      </c>
      <c r="D1616" s="5" t="s">
        <v>43</v>
      </c>
      <c r="E1616" s="5" t="s">
        <v>396</v>
      </c>
      <c r="F1616" s="9">
        <v>91</v>
      </c>
      <c r="G1616" s="9">
        <v>947</v>
      </c>
      <c r="H1616" s="5" t="s">
        <v>20</v>
      </c>
      <c r="I1616" s="5" t="s">
        <v>3936</v>
      </c>
      <c r="J1616" s="12" t="str">
        <f>HYPERLINK("https://www.boe.es/gazeta/dias/1806/11/07/pdfs/GMD-1806-91.pdf#page=11","Abrir facsímil")</f>
        <v>Abrir facsímil</v>
      </c>
      <c r="K1616" s="15" t="s">
        <v>22</v>
      </c>
    </row>
    <row r="1617" spans="1:11" ht="42" customHeight="1">
      <c r="A1617" s="4" t="s">
        <v>3937</v>
      </c>
      <c r="B1617" s="5" t="s">
        <v>3938</v>
      </c>
      <c r="C1617" s="5" t="s">
        <v>75</v>
      </c>
      <c r="D1617" s="5" t="s">
        <v>43</v>
      </c>
      <c r="E1617" s="5" t="s">
        <v>580</v>
      </c>
      <c r="F1617" s="9">
        <v>23</v>
      </c>
      <c r="G1617" s="9">
        <v>223</v>
      </c>
      <c r="H1617" s="5" t="s">
        <v>20</v>
      </c>
      <c r="I1617" s="5" t="s">
        <v>3939</v>
      </c>
      <c r="J1617" s="12" t="str">
        <f>HYPERLINK("https://www.boe.es/gazeta/dias/1806/03/14/pdfs/GMD-1806-23.pdf#page=11","Abrir facsímil")</f>
        <v>Abrir facsímil</v>
      </c>
      <c r="K1617" s="15" t="s">
        <v>22</v>
      </c>
    </row>
    <row r="1618" spans="1:11" ht="42" customHeight="1">
      <c r="A1618" s="4" t="s">
        <v>3940</v>
      </c>
      <c r="B1618" s="5" t="s">
        <v>3941</v>
      </c>
      <c r="C1618" s="5" t="s">
        <v>17</v>
      </c>
      <c r="D1618" s="5" t="s">
        <v>18</v>
      </c>
      <c r="E1618" s="5" t="s">
        <v>188</v>
      </c>
      <c r="F1618" s="9">
        <v>2</v>
      </c>
      <c r="G1618" s="9">
        <v>18</v>
      </c>
      <c r="H1618" s="5" t="s">
        <v>20</v>
      </c>
      <c r="I1618" s="5" t="s">
        <v>3942</v>
      </c>
      <c r="J1618" s="12" t="str">
        <f>HYPERLINK("https://www.boe.es/gazeta/dias/1806/01/07/pdfs/GMD-1806-2.pdf#page=6","Abrir facsímil")</f>
        <v>Abrir facsímil</v>
      </c>
      <c r="K1618" s="15" t="s">
        <v>22</v>
      </c>
    </row>
    <row r="1619" spans="1:11" ht="42" customHeight="1">
      <c r="A1619" s="4" t="s">
        <v>3943</v>
      </c>
      <c r="B1619" s="5" t="s">
        <v>3944</v>
      </c>
      <c r="C1619" s="5" t="s">
        <v>42</v>
      </c>
      <c r="D1619" s="5" t="s">
        <v>43</v>
      </c>
      <c r="E1619" s="5" t="s">
        <v>327</v>
      </c>
      <c r="F1619" s="9">
        <v>104</v>
      </c>
      <c r="G1619" s="9">
        <v>1110</v>
      </c>
      <c r="H1619" s="5" t="s">
        <v>20</v>
      </c>
      <c r="I1619" s="5" t="s">
        <v>3945</v>
      </c>
      <c r="J1619" s="12" t="str">
        <f>HYPERLINK("https://www.boe.es/gazeta/dias/1806/12/23/pdfs/GMD-1806-104.pdf#page=10","Abrir facsímil")</f>
        <v>Abrir facsímil</v>
      </c>
      <c r="K1619" s="15" t="s">
        <v>22</v>
      </c>
    </row>
    <row r="1620" spans="1:11" ht="42" customHeight="1">
      <c r="A1620" s="4" t="s">
        <v>3946</v>
      </c>
      <c r="B1620" s="5" t="s">
        <v>3947</v>
      </c>
      <c r="C1620" s="5" t="s">
        <v>31</v>
      </c>
      <c r="D1620" s="5" t="s">
        <v>32</v>
      </c>
      <c r="E1620" s="5" t="s">
        <v>348</v>
      </c>
      <c r="F1620" s="9">
        <v>88</v>
      </c>
      <c r="G1620" s="9">
        <v>910</v>
      </c>
      <c r="H1620" s="5" t="s">
        <v>20</v>
      </c>
      <c r="I1620" s="5" t="s">
        <v>3948</v>
      </c>
      <c r="J1620" s="12" t="str">
        <f>HYPERLINK("https://www.boe.es/gazeta/dias/1806/10/28/pdfs/GMD-1806-88.pdf#page=6","Abrir facsímil")</f>
        <v>Abrir facsímil</v>
      </c>
      <c r="K1620" s="15" t="s">
        <v>22</v>
      </c>
    </row>
    <row r="1621" spans="1:11" ht="42" customHeight="1">
      <c r="A1621" s="4" t="s">
        <v>3949</v>
      </c>
      <c r="B1621" s="5" t="s">
        <v>3950</v>
      </c>
      <c r="C1621" s="5" t="s">
        <v>31</v>
      </c>
      <c r="D1621" s="5" t="s">
        <v>32</v>
      </c>
      <c r="E1621" s="5" t="s">
        <v>24</v>
      </c>
      <c r="F1621" s="9">
        <v>32</v>
      </c>
      <c r="G1621" s="9">
        <v>316</v>
      </c>
      <c r="H1621" s="5" t="s">
        <v>20</v>
      </c>
      <c r="I1621" s="5" t="s">
        <v>3951</v>
      </c>
      <c r="J1621" s="12" t="str">
        <f>HYPERLINK("https://www.boe.es/gazeta/dias/1806/04/15/pdfs/GMD-1806-32.pdf#page=8","Abrir facsímil")</f>
        <v>Abrir facsímil</v>
      </c>
      <c r="K1621" s="15" t="s">
        <v>22</v>
      </c>
    </row>
    <row r="1622" spans="1:11" ht="42" customHeight="1">
      <c r="A1622" s="4" t="s">
        <v>3952</v>
      </c>
      <c r="B1622" s="5" t="s">
        <v>3952</v>
      </c>
      <c r="C1622" s="5" t="s">
        <v>36</v>
      </c>
      <c r="D1622" s="5" t="s">
        <v>37</v>
      </c>
      <c r="E1622" s="5" t="s">
        <v>231</v>
      </c>
      <c r="F1622" s="9">
        <v>89</v>
      </c>
      <c r="G1622" s="9">
        <v>923</v>
      </c>
      <c r="H1622" s="5" t="s">
        <v>20</v>
      </c>
      <c r="I1622" s="5" t="s">
        <v>3953</v>
      </c>
      <c r="J1622" s="12" t="str">
        <f>HYPERLINK("https://www.boe.es/gazeta/dias/1806/10/31/pdfs/GMD-1806-89.pdf#page=11","Abrir facsímil")</f>
        <v>Abrir facsímil</v>
      </c>
      <c r="K1622" s="15" t="s">
        <v>22</v>
      </c>
    </row>
    <row r="1623" spans="1:11" ht="42" customHeight="1">
      <c r="A1623" s="4" t="s">
        <v>3954</v>
      </c>
      <c r="B1623" s="5" t="s">
        <v>3955</v>
      </c>
      <c r="C1623" s="5" t="s">
        <v>31</v>
      </c>
      <c r="D1623" s="5" t="s">
        <v>32</v>
      </c>
      <c r="E1623" s="5" t="s">
        <v>689</v>
      </c>
      <c r="F1623" s="9">
        <v>37</v>
      </c>
      <c r="G1623" s="9">
        <v>361</v>
      </c>
      <c r="H1623" s="5" t="s">
        <v>20</v>
      </c>
      <c r="I1623" s="5" t="s">
        <v>3956</v>
      </c>
      <c r="J1623" s="12" t="str">
        <f>HYPERLINK("https://www.boe.es/gazeta/dias/1806/05/02/pdfs/GMD-1806-37.pdf#page=9","Abrir facsímil")</f>
        <v>Abrir facsímil</v>
      </c>
      <c r="K1623" s="15" t="s">
        <v>22</v>
      </c>
    </row>
    <row r="1624" spans="1:11" ht="42" customHeight="1">
      <c r="A1624" s="4" t="s">
        <v>3957</v>
      </c>
      <c r="B1624" s="5" t="s">
        <v>3958</v>
      </c>
      <c r="C1624" s="5" t="s">
        <v>31</v>
      </c>
      <c r="D1624" s="5" t="s">
        <v>32</v>
      </c>
      <c r="E1624" s="5" t="s">
        <v>554</v>
      </c>
      <c r="F1624" s="9">
        <v>90</v>
      </c>
      <c r="G1624" s="9">
        <v>934</v>
      </c>
      <c r="H1624" s="5" t="s">
        <v>20</v>
      </c>
      <c r="I1624" s="5" t="s">
        <v>3959</v>
      </c>
      <c r="J1624" s="12" t="str">
        <f>HYPERLINK("https://www.boe.es/gazeta/dias/1806/11/04/pdfs/GMD-1806-90.pdf#page=10","Abrir facsímil")</f>
        <v>Abrir facsímil</v>
      </c>
      <c r="K1624" s="15" t="s">
        <v>22</v>
      </c>
    </row>
    <row r="1625" spans="1:11" ht="42" customHeight="1">
      <c r="A1625" s="4" t="s">
        <v>3960</v>
      </c>
      <c r="B1625" s="5" t="s">
        <v>3961</v>
      </c>
      <c r="C1625" s="5" t="s">
        <v>31</v>
      </c>
      <c r="D1625" s="5" t="s">
        <v>32</v>
      </c>
      <c r="E1625" s="5" t="s">
        <v>44</v>
      </c>
      <c r="F1625" s="9">
        <v>42</v>
      </c>
      <c r="G1625" s="9">
        <v>421</v>
      </c>
      <c r="H1625" s="5" t="s">
        <v>20</v>
      </c>
      <c r="I1625" s="5" t="s">
        <v>3962</v>
      </c>
      <c r="J1625" s="12" t="str">
        <f>HYPERLINK("https://www.boe.es/gazeta/dias/1806/05/20/pdfs/GMD-1806-42.pdf#page=9","Abrir facsímil")</f>
        <v>Abrir facsímil</v>
      </c>
      <c r="K1625" s="15" t="s">
        <v>22</v>
      </c>
    </row>
    <row r="1626" spans="1:11" ht="42" customHeight="1">
      <c r="A1626" s="4" t="s">
        <v>3963</v>
      </c>
      <c r="B1626" s="5" t="s">
        <v>3964</v>
      </c>
      <c r="C1626" s="5" t="s">
        <v>17</v>
      </c>
      <c r="D1626" s="5" t="s">
        <v>18</v>
      </c>
      <c r="E1626" s="5" t="s">
        <v>780</v>
      </c>
      <c r="F1626" s="9">
        <v>33</v>
      </c>
      <c r="G1626" s="9">
        <v>326</v>
      </c>
      <c r="H1626" s="5" t="s">
        <v>20</v>
      </c>
      <c r="I1626" s="5" t="s">
        <v>3965</v>
      </c>
      <c r="J1626" s="12" t="str">
        <f>HYPERLINK("https://www.boe.es/gazeta/dias/1806/04/18/pdfs/GMD-1806-33.pdf#page=6","Abrir facsímil")</f>
        <v>Abrir facsímil</v>
      </c>
      <c r="K1626" s="15" t="s">
        <v>22</v>
      </c>
    </row>
    <row r="1627" spans="1:11" ht="42" customHeight="1">
      <c r="A1627" s="4" t="s">
        <v>3966</v>
      </c>
      <c r="B1627" s="5" t="s">
        <v>3967</v>
      </c>
      <c r="C1627" s="5" t="s">
        <v>31</v>
      </c>
      <c r="D1627" s="5" t="s">
        <v>32</v>
      </c>
      <c r="E1627" s="5" t="s">
        <v>220</v>
      </c>
      <c r="F1627" s="9">
        <v>24</v>
      </c>
      <c r="G1627" s="9">
        <v>232</v>
      </c>
      <c r="H1627" s="5" t="s">
        <v>20</v>
      </c>
      <c r="I1627" s="5" t="s">
        <v>3968</v>
      </c>
      <c r="J1627" s="12" t="str">
        <f>HYPERLINK("https://www.boe.es/gazeta/dias/1806/03/18/pdfs/GMD-1806-24.pdf#page=8","Abrir facsímil")</f>
        <v>Abrir facsímil</v>
      </c>
      <c r="K1627" s="15" t="s">
        <v>22</v>
      </c>
    </row>
    <row r="1628" spans="1:11" ht="42" customHeight="1">
      <c r="A1628" s="4" t="s">
        <v>3969</v>
      </c>
      <c r="B1628" s="5" t="s">
        <v>3969</v>
      </c>
      <c r="C1628" s="5" t="s">
        <v>36</v>
      </c>
      <c r="D1628" s="5" t="s">
        <v>37</v>
      </c>
      <c r="E1628" s="5" t="s">
        <v>661</v>
      </c>
      <c r="F1628" s="9">
        <v>38</v>
      </c>
      <c r="G1628" s="9">
        <v>376</v>
      </c>
      <c r="H1628" s="5" t="s">
        <v>20</v>
      </c>
      <c r="I1628" s="5" t="s">
        <v>3970</v>
      </c>
      <c r="J1628" s="12" t="str">
        <f>HYPERLINK("https://www.boe.es/gazeta/dias/1806/05/06/pdfs/GMD-1806-38.pdf#page=12","Abrir facsímil")</f>
        <v>Abrir facsímil</v>
      </c>
      <c r="K1628" s="15" t="s">
        <v>22</v>
      </c>
    </row>
    <row r="1629" spans="1:11" ht="42" customHeight="1">
      <c r="A1629" s="4" t="s">
        <v>3971</v>
      </c>
      <c r="B1629" s="5" t="s">
        <v>3971</v>
      </c>
      <c r="C1629" s="5" t="s">
        <v>69</v>
      </c>
      <c r="D1629" s="5" t="s">
        <v>70</v>
      </c>
      <c r="E1629" s="5" t="s">
        <v>110</v>
      </c>
      <c r="F1629" s="9">
        <v>55</v>
      </c>
      <c r="G1629" s="9">
        <v>569</v>
      </c>
      <c r="H1629" s="5" t="s">
        <v>20</v>
      </c>
      <c r="I1629" s="5" t="s">
        <v>3972</v>
      </c>
      <c r="J1629" s="12" t="str">
        <f>HYPERLINK("https://www.boe.es/gazeta/dias/1806/07/04/pdfs/GMD-1806-55.pdf#page=5","Abrir facsímil")</f>
        <v>Abrir facsímil</v>
      </c>
      <c r="K1629" s="15" t="s">
        <v>22</v>
      </c>
    </row>
    <row r="1630" spans="1:11" ht="42" customHeight="1">
      <c r="A1630" s="4" t="s">
        <v>3973</v>
      </c>
      <c r="B1630" s="5" t="s">
        <v>3973</v>
      </c>
      <c r="C1630" s="5" t="s">
        <v>31</v>
      </c>
      <c r="D1630" s="5" t="s">
        <v>32</v>
      </c>
      <c r="E1630" s="5" t="s">
        <v>79</v>
      </c>
      <c r="F1630" s="9">
        <v>68</v>
      </c>
      <c r="G1630" s="9">
        <v>708</v>
      </c>
      <c r="H1630" s="5" t="s">
        <v>20</v>
      </c>
      <c r="I1630" s="5" t="s">
        <v>3974</v>
      </c>
      <c r="J1630" s="12" t="str">
        <f>HYPERLINK("https://www.boe.es/gazeta/dias/1806/08/19/pdfs/GMD-1806-68.pdf#page=4","Abrir facsímil")</f>
        <v>Abrir facsímil</v>
      </c>
      <c r="K1630" s="15" t="s">
        <v>22</v>
      </c>
    </row>
    <row r="1631" spans="1:11" ht="42" customHeight="1">
      <c r="A1631" s="4" t="s">
        <v>3975</v>
      </c>
      <c r="B1631" s="5" t="s">
        <v>3975</v>
      </c>
      <c r="C1631" s="5" t="s">
        <v>69</v>
      </c>
      <c r="D1631" s="5" t="s">
        <v>70</v>
      </c>
      <c r="E1631" s="5" t="s">
        <v>474</v>
      </c>
      <c r="F1631" s="9">
        <v>10</v>
      </c>
      <c r="G1631" s="9">
        <v>88</v>
      </c>
      <c r="H1631" s="5" t="s">
        <v>20</v>
      </c>
      <c r="I1631" s="5" t="s">
        <v>3976</v>
      </c>
      <c r="J1631" s="12" t="str">
        <f>HYPERLINK("https://www.boe.es/gazeta/dias/1806/01/28/pdfs/GMD-1806-10.pdf#page=4","Abrir facsímil")</f>
        <v>Abrir facsímil</v>
      </c>
      <c r="K1631" s="15" t="s">
        <v>22</v>
      </c>
    </row>
    <row r="1632" spans="1:11" ht="42" customHeight="1">
      <c r="A1632" s="4" t="s">
        <v>3977</v>
      </c>
      <c r="B1632" s="5" t="s">
        <v>3977</v>
      </c>
      <c r="C1632" s="5" t="s">
        <v>69</v>
      </c>
      <c r="D1632" s="5" t="s">
        <v>70</v>
      </c>
      <c r="E1632" s="5" t="s">
        <v>285</v>
      </c>
      <c r="F1632" s="9">
        <v>13</v>
      </c>
      <c r="G1632" s="9">
        <v>110</v>
      </c>
      <c r="H1632" s="5" t="s">
        <v>20</v>
      </c>
      <c r="I1632" s="5" t="s">
        <v>3978</v>
      </c>
      <c r="J1632" s="12" t="str">
        <f>HYPERLINK("https://www.boe.es/gazeta/dias/1806/02/07/pdfs/GMD-1806-13.pdf#page=2","Abrir facsímil")</f>
        <v>Abrir facsímil</v>
      </c>
      <c r="K1632" s="15" t="s">
        <v>22</v>
      </c>
    </row>
    <row r="1633" spans="1:11" ht="42" customHeight="1">
      <c r="A1633" s="4" t="s">
        <v>3979</v>
      </c>
      <c r="B1633" s="5" t="s">
        <v>3979</v>
      </c>
      <c r="C1633" s="5" t="s">
        <v>69</v>
      </c>
      <c r="D1633" s="5" t="s">
        <v>70</v>
      </c>
      <c r="E1633" s="5" t="s">
        <v>110</v>
      </c>
      <c r="F1633" s="9">
        <v>55</v>
      </c>
      <c r="G1633" s="9">
        <v>569</v>
      </c>
      <c r="H1633" s="5" t="s">
        <v>20</v>
      </c>
      <c r="I1633" s="5" t="s">
        <v>3972</v>
      </c>
      <c r="J1633" s="12" t="str">
        <f>HYPERLINK("https://www.boe.es/gazeta/dias/1806/07/04/pdfs/GMD-1806-55.pdf#page=5","Abrir facsímil")</f>
        <v>Abrir facsímil</v>
      </c>
      <c r="K1633" s="15" t="s">
        <v>22</v>
      </c>
    </row>
    <row r="1634" spans="1:11" ht="42" customHeight="1">
      <c r="A1634" s="4" t="s">
        <v>3980</v>
      </c>
      <c r="B1634" s="5" t="s">
        <v>3980</v>
      </c>
      <c r="C1634" s="5" t="s">
        <v>31</v>
      </c>
      <c r="D1634" s="5" t="s">
        <v>32</v>
      </c>
      <c r="E1634" s="5" t="s">
        <v>309</v>
      </c>
      <c r="F1634" s="9">
        <v>41</v>
      </c>
      <c r="G1634" s="9">
        <v>405</v>
      </c>
      <c r="H1634" s="5" t="s">
        <v>20</v>
      </c>
      <c r="I1634" s="5" t="s">
        <v>3981</v>
      </c>
      <c r="J1634" s="12" t="str">
        <f>HYPERLINK("https://www.boe.es/gazeta/dias/1806/05/16/pdfs/GMD-1806-41.pdf#page=5","Abrir facsímil")</f>
        <v>Abrir facsímil</v>
      </c>
      <c r="K1634" s="15" t="s">
        <v>22</v>
      </c>
    </row>
    <row r="1635" spans="1:11" ht="42" customHeight="1">
      <c r="A1635" s="4" t="s">
        <v>3982</v>
      </c>
      <c r="B1635" s="5" t="s">
        <v>3983</v>
      </c>
      <c r="C1635" s="5" t="s">
        <v>75</v>
      </c>
      <c r="D1635" s="5" t="s">
        <v>43</v>
      </c>
      <c r="E1635" s="5" t="s">
        <v>290</v>
      </c>
      <c r="F1635" s="9">
        <v>1</v>
      </c>
      <c r="G1635" s="9">
        <v>8</v>
      </c>
      <c r="H1635" s="5" t="s">
        <v>20</v>
      </c>
      <c r="I1635" s="5" t="s">
        <v>3984</v>
      </c>
      <c r="J1635" s="12" t="str">
        <f>HYPERLINK("https://www.boe.es/gazeta/dias/1806/01/03/pdfs/GMD-1806-1.pdf#page=8","Abrir facsímil")</f>
        <v>Abrir facsímil</v>
      </c>
      <c r="K1635" s="15" t="s">
        <v>22</v>
      </c>
    </row>
    <row r="1636" spans="1:11" ht="42" customHeight="1">
      <c r="A1636" s="4" t="s">
        <v>3985</v>
      </c>
      <c r="B1636" s="5" t="s">
        <v>3985</v>
      </c>
      <c r="C1636" s="5" t="s">
        <v>75</v>
      </c>
      <c r="D1636" s="5" t="s">
        <v>43</v>
      </c>
      <c r="E1636" s="5" t="s">
        <v>1568</v>
      </c>
      <c r="F1636" s="9">
        <v>84</v>
      </c>
      <c r="G1636" s="9" t="s">
        <v>2031</v>
      </c>
      <c r="H1636" s="5" t="s">
        <v>20</v>
      </c>
      <c r="I1636" s="5" t="s">
        <v>3986</v>
      </c>
      <c r="J1636" s="12" t="str">
        <f>HYPERLINK("https://www.boe.es/gazeta/dias/1806/10/14/pdfs/GMD-C-1806-84.pdf#page=1","Abrir facsímil")</f>
        <v>Abrir facsímil</v>
      </c>
      <c r="K1636" s="15" t="s">
        <v>22</v>
      </c>
    </row>
    <row r="1637" spans="1:11" ht="42" customHeight="1">
      <c r="A1637" s="4" t="s">
        <v>3987</v>
      </c>
      <c r="B1637" s="5" t="s">
        <v>3987</v>
      </c>
      <c r="C1637" s="5" t="s">
        <v>17</v>
      </c>
      <c r="D1637" s="5" t="s">
        <v>18</v>
      </c>
      <c r="E1637" s="5" t="s">
        <v>580</v>
      </c>
      <c r="F1637" s="9">
        <v>23</v>
      </c>
      <c r="G1637" s="9">
        <v>218</v>
      </c>
      <c r="H1637" s="5" t="s">
        <v>20</v>
      </c>
      <c r="I1637" s="5" t="s">
        <v>3988</v>
      </c>
      <c r="J1637" s="12" t="str">
        <f>HYPERLINK("https://www.boe.es/gazeta/dias/1806/03/14/pdfs/GMD-1806-23.pdf#page=6","Abrir facsímil")</f>
        <v>Abrir facsímil</v>
      </c>
      <c r="K1637" s="15" t="s">
        <v>22</v>
      </c>
    </row>
    <row r="1638" spans="1:11" ht="42" customHeight="1">
      <c r="A1638" s="4" t="s">
        <v>3989</v>
      </c>
      <c r="B1638" s="5" t="s">
        <v>3989</v>
      </c>
      <c r="C1638" s="5" t="s">
        <v>17</v>
      </c>
      <c r="D1638" s="5" t="s">
        <v>18</v>
      </c>
      <c r="E1638" s="5" t="s">
        <v>580</v>
      </c>
      <c r="F1638" s="9">
        <v>23</v>
      </c>
      <c r="G1638" s="9">
        <v>219</v>
      </c>
      <c r="H1638" s="5" t="s">
        <v>20</v>
      </c>
      <c r="I1638" s="5" t="s">
        <v>3990</v>
      </c>
      <c r="J1638" s="12" t="str">
        <f>HYPERLINK("https://www.boe.es/gazeta/dias/1806/03/14/pdfs/GMD-1806-23.pdf#page=7","Abrir facsímil")</f>
        <v>Abrir facsímil</v>
      </c>
      <c r="K1638" s="15" t="s">
        <v>22</v>
      </c>
    </row>
    <row r="1639" spans="1:11" ht="42" customHeight="1">
      <c r="A1639" s="4" t="s">
        <v>3991</v>
      </c>
      <c r="B1639" s="5" t="s">
        <v>3991</v>
      </c>
      <c r="C1639" s="5" t="s">
        <v>17</v>
      </c>
      <c r="D1639" s="5" t="s">
        <v>18</v>
      </c>
      <c r="E1639" s="5" t="s">
        <v>188</v>
      </c>
      <c r="F1639" s="9">
        <v>2</v>
      </c>
      <c r="G1639" s="9">
        <v>18</v>
      </c>
      <c r="H1639" s="5" t="s">
        <v>20</v>
      </c>
      <c r="I1639" s="5" t="s">
        <v>3992</v>
      </c>
      <c r="J1639" s="12" t="str">
        <f>HYPERLINK("https://www.boe.es/gazeta/dias/1806/01/07/pdfs/GMD-1806-2.pdf#page=6","Abrir facsímil")</f>
        <v>Abrir facsímil</v>
      </c>
      <c r="K1639" s="15" t="s">
        <v>22</v>
      </c>
    </row>
    <row r="1640" spans="1:11" ht="42" customHeight="1">
      <c r="A1640" s="4" t="s">
        <v>3993</v>
      </c>
      <c r="B1640" s="5" t="s">
        <v>3993</v>
      </c>
      <c r="C1640" s="5" t="s">
        <v>75</v>
      </c>
      <c r="D1640" s="5" t="s">
        <v>43</v>
      </c>
      <c r="E1640" s="5" t="s">
        <v>290</v>
      </c>
      <c r="F1640" s="9">
        <v>1</v>
      </c>
      <c r="G1640" s="9">
        <v>7</v>
      </c>
      <c r="H1640" s="5" t="s">
        <v>20</v>
      </c>
      <c r="I1640" s="5" t="s">
        <v>3994</v>
      </c>
      <c r="J1640" s="12" t="str">
        <f>HYPERLINK("https://www.boe.es/gazeta/dias/1806/01/03/pdfs/GMD-1806-1.pdf#page=7","Abrir facsímil")</f>
        <v>Abrir facsímil</v>
      </c>
      <c r="K1640" s="15" t="s">
        <v>22</v>
      </c>
    </row>
    <row r="1641" spans="1:11" ht="42" customHeight="1">
      <c r="A1641" s="4" t="s">
        <v>3995</v>
      </c>
      <c r="B1641" s="5" t="s">
        <v>3995</v>
      </c>
      <c r="C1641" s="5" t="s">
        <v>69</v>
      </c>
      <c r="D1641" s="5" t="s">
        <v>70</v>
      </c>
      <c r="E1641" s="5" t="s">
        <v>474</v>
      </c>
      <c r="F1641" s="9">
        <v>10</v>
      </c>
      <c r="G1641" s="9">
        <v>88</v>
      </c>
      <c r="H1641" s="5" t="s">
        <v>20</v>
      </c>
      <c r="I1641" s="5" t="s">
        <v>3996</v>
      </c>
      <c r="J1641" s="12" t="str">
        <f>HYPERLINK("https://www.boe.es/gazeta/dias/1806/01/28/pdfs/GMD-1806-10.pdf#page=4","Abrir facsímil")</f>
        <v>Abrir facsímil</v>
      </c>
      <c r="K1641" s="15" t="s">
        <v>22</v>
      </c>
    </row>
    <row r="1642" spans="1:11" ht="42" customHeight="1">
      <c r="A1642" s="4" t="s">
        <v>3997</v>
      </c>
      <c r="B1642" s="5" t="s">
        <v>3997</v>
      </c>
      <c r="C1642" s="5" t="s">
        <v>31</v>
      </c>
      <c r="D1642" s="5" t="s">
        <v>32</v>
      </c>
      <c r="E1642" s="5" t="s">
        <v>367</v>
      </c>
      <c r="F1642" s="9">
        <v>87</v>
      </c>
      <c r="G1642" s="9">
        <v>901</v>
      </c>
      <c r="H1642" s="5" t="s">
        <v>20</v>
      </c>
      <c r="I1642" s="5" t="s">
        <v>3998</v>
      </c>
      <c r="J1642" s="12" t="str">
        <f>HYPERLINK("https://www.boe.es/gazeta/dias/1806/10/24/pdfs/GMD-1806-87.pdf#page=9","Abrir facsímil")</f>
        <v>Abrir facsímil</v>
      </c>
      <c r="K1642" s="15" t="s">
        <v>22</v>
      </c>
    </row>
    <row r="1643" spans="1:11" ht="42" customHeight="1">
      <c r="A1643" s="4" t="s">
        <v>3997</v>
      </c>
      <c r="B1643" s="5" t="s">
        <v>3997</v>
      </c>
      <c r="C1643" s="5" t="s">
        <v>31</v>
      </c>
      <c r="D1643" s="5" t="s">
        <v>32</v>
      </c>
      <c r="E1643" s="5" t="s">
        <v>312</v>
      </c>
      <c r="F1643" s="9">
        <v>100</v>
      </c>
      <c r="G1643" s="9">
        <v>1065</v>
      </c>
      <c r="H1643" s="5" t="s">
        <v>20</v>
      </c>
      <c r="I1643" s="5" t="s">
        <v>3999</v>
      </c>
      <c r="J1643" s="12" t="str">
        <f>HYPERLINK("https://www.boe.es/gazeta/dias/1806/12/09/pdfs/GMD-1806-100.pdf#page=9","Abrir facsímil")</f>
        <v>Abrir facsímil</v>
      </c>
      <c r="K1643" s="15" t="s">
        <v>22</v>
      </c>
    </row>
    <row r="1644" spans="1:11" ht="42" customHeight="1">
      <c r="A1644" s="4" t="s">
        <v>4000</v>
      </c>
      <c r="B1644" s="5" t="s">
        <v>4001</v>
      </c>
      <c r="C1644" s="5" t="s">
        <v>31</v>
      </c>
      <c r="D1644" s="5" t="s">
        <v>32</v>
      </c>
      <c r="E1644" s="5" t="s">
        <v>113</v>
      </c>
      <c r="F1644" s="9">
        <v>28</v>
      </c>
      <c r="G1644" s="9">
        <v>273</v>
      </c>
      <c r="H1644" s="5" t="s">
        <v>20</v>
      </c>
      <c r="I1644" s="5" t="s">
        <v>4002</v>
      </c>
      <c r="J1644" s="12" t="str">
        <f>HYPERLINK("https://www.boe.es/gazeta/dias/1806/04/01/pdfs/GMD-1806-28.pdf#page=1","Abrir facsímil")</f>
        <v>Abrir facsímil</v>
      </c>
      <c r="K1644" s="15" t="s">
        <v>22</v>
      </c>
    </row>
    <row r="1645" spans="1:11" ht="42" customHeight="1">
      <c r="A1645" s="4" t="s">
        <v>4003</v>
      </c>
      <c r="B1645" s="5" t="s">
        <v>4003</v>
      </c>
      <c r="C1645" s="5" t="s">
        <v>17</v>
      </c>
      <c r="D1645" s="5" t="s">
        <v>18</v>
      </c>
      <c r="E1645" s="5" t="s">
        <v>96</v>
      </c>
      <c r="F1645" s="9">
        <v>62</v>
      </c>
      <c r="G1645" s="9">
        <v>651</v>
      </c>
      <c r="H1645" s="5" t="s">
        <v>20</v>
      </c>
      <c r="I1645" s="5" t="s">
        <v>4004</v>
      </c>
      <c r="J1645" s="12" t="str">
        <f>HYPERLINK("https://www.boe.es/gazeta/dias/1806/07/29/pdfs/GMD-1806-62.pdf#page=11","Abrir facsímil")</f>
        <v>Abrir facsímil</v>
      </c>
      <c r="K1645" s="15" t="s">
        <v>22</v>
      </c>
    </row>
    <row r="1646" spans="1:11" ht="42" customHeight="1">
      <c r="A1646" s="4" t="s">
        <v>4005</v>
      </c>
      <c r="B1646" s="5" t="s">
        <v>4006</v>
      </c>
      <c r="C1646" s="5" t="s">
        <v>69</v>
      </c>
      <c r="D1646" s="5" t="s">
        <v>70</v>
      </c>
      <c r="E1646" s="5" t="s">
        <v>911</v>
      </c>
      <c r="F1646" s="9">
        <v>64</v>
      </c>
      <c r="G1646" s="9">
        <v>669</v>
      </c>
      <c r="H1646" s="5" t="s">
        <v>20</v>
      </c>
      <c r="I1646" s="5" t="s">
        <v>4007</v>
      </c>
      <c r="J1646" s="12" t="str">
        <f>HYPERLINK("https://www.boe.es/gazeta/dias/1806/08/05/pdfs/GMD-1806-64.pdf#page=5","Abrir facsímil")</f>
        <v>Abrir facsímil</v>
      </c>
      <c r="K1646" s="15" t="s">
        <v>22</v>
      </c>
    </row>
    <row r="1647" spans="1:11" ht="42" customHeight="1">
      <c r="A1647" s="4" t="s">
        <v>4008</v>
      </c>
      <c r="B1647" s="5" t="s">
        <v>4009</v>
      </c>
      <c r="C1647" s="5" t="s">
        <v>75</v>
      </c>
      <c r="D1647" s="5" t="s">
        <v>43</v>
      </c>
      <c r="E1647" s="5" t="s">
        <v>911</v>
      </c>
      <c r="F1647" s="9">
        <v>64</v>
      </c>
      <c r="G1647" s="9">
        <v>669</v>
      </c>
      <c r="H1647" s="5" t="s">
        <v>20</v>
      </c>
      <c r="I1647" s="5" t="s">
        <v>4010</v>
      </c>
      <c r="J1647" s="12" t="str">
        <f>HYPERLINK("https://www.boe.es/gazeta/dias/1806/08/05/pdfs/GMD-1806-64.pdf#page=5","Abrir facsímil")</f>
        <v>Abrir facsímil</v>
      </c>
      <c r="K1647" s="15" t="s">
        <v>22</v>
      </c>
    </row>
    <row r="1648" spans="1:11" ht="42" customHeight="1">
      <c r="A1648" s="4" t="s">
        <v>4008</v>
      </c>
      <c r="B1648" s="5" t="s">
        <v>4009</v>
      </c>
      <c r="C1648" s="5" t="s">
        <v>69</v>
      </c>
      <c r="D1648" s="5" t="s">
        <v>70</v>
      </c>
      <c r="E1648" s="5" t="s">
        <v>33</v>
      </c>
      <c r="F1648" s="9">
        <v>82</v>
      </c>
      <c r="G1648" s="9">
        <v>847</v>
      </c>
      <c r="H1648" s="5" t="s">
        <v>20</v>
      </c>
      <c r="I1648" s="5" t="s">
        <v>4011</v>
      </c>
      <c r="J1648" s="12" t="str">
        <f>HYPERLINK("https://www.boe.es/gazeta/dias/1806/10/07/pdfs/GMD-1806-82.pdf#page=7","Abrir facsímil")</f>
        <v>Abrir facsímil</v>
      </c>
      <c r="K1648" s="15" t="s">
        <v>22</v>
      </c>
    </row>
    <row r="1649" spans="1:11" ht="42" customHeight="1">
      <c r="A1649" s="4" t="s">
        <v>4012</v>
      </c>
      <c r="B1649" s="5" t="s">
        <v>4012</v>
      </c>
      <c r="C1649" s="5" t="s">
        <v>17</v>
      </c>
      <c r="D1649" s="5" t="s">
        <v>18</v>
      </c>
      <c r="E1649" s="5" t="s">
        <v>702</v>
      </c>
      <c r="F1649" s="9">
        <v>43</v>
      </c>
      <c r="G1649" s="9">
        <v>436</v>
      </c>
      <c r="H1649" s="5" t="s">
        <v>20</v>
      </c>
      <c r="I1649" s="5" t="s">
        <v>4013</v>
      </c>
      <c r="J1649" s="12" t="str">
        <f>HYPERLINK("https://www.boe.es/gazeta/dias/1806/05/23/pdfs/GMD-1806-43.pdf#page=12","Abrir facsímil")</f>
        <v>Abrir facsímil</v>
      </c>
      <c r="K1649" s="15" t="s">
        <v>22</v>
      </c>
    </row>
    <row r="1650" spans="1:11" ht="42" customHeight="1">
      <c r="A1650" s="4" t="s">
        <v>4014</v>
      </c>
      <c r="B1650" s="5" t="s">
        <v>4015</v>
      </c>
      <c r="C1650" s="5" t="s">
        <v>31</v>
      </c>
      <c r="D1650" s="5" t="s">
        <v>32</v>
      </c>
      <c r="E1650" s="5" t="s">
        <v>110</v>
      </c>
      <c r="F1650" s="9">
        <v>55</v>
      </c>
      <c r="G1650" s="9">
        <v>573</v>
      </c>
      <c r="H1650" s="5" t="s">
        <v>20</v>
      </c>
      <c r="I1650" s="5" t="s">
        <v>4016</v>
      </c>
      <c r="J1650" s="12" t="str">
        <f>HYPERLINK("https://www.boe.es/gazeta/dias/1806/07/04/pdfs/GMD-1806-55.pdf#page=9","Abrir facsímil")</f>
        <v>Abrir facsímil</v>
      </c>
      <c r="K1650" s="15" t="s">
        <v>22</v>
      </c>
    </row>
    <row r="1651" spans="1:11" ht="42" customHeight="1">
      <c r="A1651" s="4" t="s">
        <v>4017</v>
      </c>
      <c r="B1651" s="5" t="s">
        <v>4018</v>
      </c>
      <c r="C1651" s="5" t="s">
        <v>31</v>
      </c>
      <c r="D1651" s="5" t="s">
        <v>32</v>
      </c>
      <c r="E1651" s="5" t="s">
        <v>124</v>
      </c>
      <c r="F1651" s="9">
        <v>25</v>
      </c>
      <c r="G1651" s="9">
        <v>238</v>
      </c>
      <c r="H1651" s="5" t="s">
        <v>20</v>
      </c>
      <c r="I1651" s="5" t="s">
        <v>4019</v>
      </c>
      <c r="J1651" s="12" t="str">
        <f>HYPERLINK("https://www.boe.es/gazeta/dias/1806/03/21/pdfs/GMD-1806-25.pdf#page=2","Abrir facsímil")</f>
        <v>Abrir facsímil</v>
      </c>
      <c r="K1651" s="15" t="s">
        <v>22</v>
      </c>
    </row>
    <row r="1652" spans="1:11" ht="42" customHeight="1">
      <c r="A1652" s="4" t="s">
        <v>4017</v>
      </c>
      <c r="B1652" s="5" t="s">
        <v>4018</v>
      </c>
      <c r="C1652" s="5" t="s">
        <v>36</v>
      </c>
      <c r="D1652" s="5" t="s">
        <v>37</v>
      </c>
      <c r="E1652" s="5" t="s">
        <v>340</v>
      </c>
      <c r="F1652" s="9">
        <v>31</v>
      </c>
      <c r="G1652" s="9">
        <v>302</v>
      </c>
      <c r="H1652" s="5" t="s">
        <v>20</v>
      </c>
      <c r="I1652" s="5" t="s">
        <v>4020</v>
      </c>
      <c r="J1652" s="12" t="str">
        <f>HYPERLINK("https://www.boe.es/gazeta/dias/1806/04/11/pdfs/GMD-1806-31.pdf#page=6","Abrir facsímil")</f>
        <v>Abrir facsímil</v>
      </c>
      <c r="K1652" s="15" t="s">
        <v>22</v>
      </c>
    </row>
    <row r="1653" spans="1:11" ht="42" customHeight="1">
      <c r="A1653" s="4" t="s">
        <v>4021</v>
      </c>
      <c r="B1653" s="5" t="s">
        <v>4022</v>
      </c>
      <c r="C1653" s="5" t="s">
        <v>69</v>
      </c>
      <c r="D1653" s="5" t="s">
        <v>70</v>
      </c>
      <c r="E1653" s="5" t="s">
        <v>24</v>
      </c>
      <c r="F1653" s="9">
        <v>32</v>
      </c>
      <c r="G1653" s="9">
        <v>310</v>
      </c>
      <c r="H1653" s="5" t="s">
        <v>20</v>
      </c>
      <c r="I1653" s="5" t="s">
        <v>4023</v>
      </c>
      <c r="J1653" s="12" t="str">
        <f>HYPERLINK("https://www.boe.es/gazeta/dias/1806/04/15/pdfs/GMD-1806-32.pdf#page=2","Abrir facsímil")</f>
        <v>Abrir facsímil</v>
      </c>
      <c r="K1653" s="15" t="s">
        <v>22</v>
      </c>
    </row>
    <row r="1654" spans="1:11" ht="42" customHeight="1">
      <c r="A1654" s="4" t="s">
        <v>4024</v>
      </c>
      <c r="B1654" s="5" t="s">
        <v>4024</v>
      </c>
      <c r="C1654" s="5" t="s">
        <v>75</v>
      </c>
      <c r="D1654" s="5" t="s">
        <v>43</v>
      </c>
      <c r="E1654" s="5" t="s">
        <v>195</v>
      </c>
      <c r="F1654" s="9">
        <v>4</v>
      </c>
      <c r="G1654" s="9">
        <v>39</v>
      </c>
      <c r="H1654" s="5" t="s">
        <v>20</v>
      </c>
      <c r="I1654" s="5" t="s">
        <v>4025</v>
      </c>
      <c r="J1654" s="12" t="str">
        <f>HYPERLINK("https://www.boe.es/gazeta/dias/1806/01/14/pdfs/GMD-1806-4.pdf#page=11","Abrir facsímil")</f>
        <v>Abrir facsímil</v>
      </c>
      <c r="K1654" s="15" t="s">
        <v>22</v>
      </c>
    </row>
    <row r="1655" spans="1:11" ht="42" customHeight="1">
      <c r="A1655" s="4" t="s">
        <v>4026</v>
      </c>
      <c r="B1655" s="5" t="s">
        <v>4027</v>
      </c>
      <c r="C1655" s="5" t="s">
        <v>31</v>
      </c>
      <c r="D1655" s="5" t="s">
        <v>32</v>
      </c>
      <c r="E1655" s="5" t="s">
        <v>124</v>
      </c>
      <c r="F1655" s="9">
        <v>25</v>
      </c>
      <c r="G1655" s="9">
        <v>245</v>
      </c>
      <c r="H1655" s="5" t="s">
        <v>20</v>
      </c>
      <c r="I1655" s="5" t="s">
        <v>4028</v>
      </c>
      <c r="J1655" s="12" t="str">
        <f>HYPERLINK("https://www.boe.es/gazeta/dias/1806/03/21/pdfs/GMD-1806-25.pdf#page=9","Abrir facsímil")</f>
        <v>Abrir facsímil</v>
      </c>
      <c r="K1655" s="15" t="s">
        <v>22</v>
      </c>
    </row>
    <row r="1656" spans="1:11" ht="42" customHeight="1">
      <c r="A1656" s="4" t="s">
        <v>4029</v>
      </c>
      <c r="B1656" s="5" t="s">
        <v>4030</v>
      </c>
      <c r="C1656" s="5" t="s">
        <v>17</v>
      </c>
      <c r="D1656" s="5" t="s">
        <v>18</v>
      </c>
      <c r="E1656" s="5" t="s">
        <v>118</v>
      </c>
      <c r="F1656" s="9">
        <v>15</v>
      </c>
      <c r="G1656" s="9">
        <v>134</v>
      </c>
      <c r="H1656" s="5" t="s">
        <v>20</v>
      </c>
      <c r="I1656" s="5" t="s">
        <v>4031</v>
      </c>
      <c r="J1656" s="12" t="str">
        <f>HYPERLINK("https://www.boe.es/gazeta/dias/1806/02/14/pdfs/GMD-1806-15.pdf#page=10","Abrir facsímil")</f>
        <v>Abrir facsímil</v>
      </c>
      <c r="K1656" s="15" t="s">
        <v>22</v>
      </c>
    </row>
    <row r="1657" spans="1:11" ht="42" customHeight="1">
      <c r="A1657" s="4" t="s">
        <v>4032</v>
      </c>
      <c r="B1657" s="5" t="s">
        <v>4033</v>
      </c>
      <c r="C1657" s="5" t="s">
        <v>31</v>
      </c>
      <c r="D1657" s="5" t="s">
        <v>32</v>
      </c>
      <c r="E1657" s="5" t="s">
        <v>59</v>
      </c>
      <c r="F1657" s="9">
        <v>21</v>
      </c>
      <c r="G1657" s="9">
        <v>196</v>
      </c>
      <c r="H1657" s="5" t="s">
        <v>20</v>
      </c>
      <c r="I1657" s="5" t="s">
        <v>4034</v>
      </c>
      <c r="J1657" s="12" t="str">
        <f>HYPERLINK("https://www.boe.es/gazeta/dias/1806/03/07/pdfs/GMD-1806-21.pdf#page=8","Abrir facsímil")</f>
        <v>Abrir facsímil</v>
      </c>
      <c r="K1657" s="15" t="s">
        <v>22</v>
      </c>
    </row>
    <row r="1658" spans="1:11" ht="42" customHeight="1">
      <c r="A1658" s="4" t="s">
        <v>4035</v>
      </c>
      <c r="B1658" s="5" t="s">
        <v>4036</v>
      </c>
      <c r="C1658" s="5" t="s">
        <v>31</v>
      </c>
      <c r="D1658" s="5" t="s">
        <v>32</v>
      </c>
      <c r="E1658" s="5" t="s">
        <v>245</v>
      </c>
      <c r="F1658" s="9">
        <v>106</v>
      </c>
      <c r="G1658" s="9">
        <v>1118</v>
      </c>
      <c r="H1658" s="5" t="s">
        <v>20</v>
      </c>
      <c r="I1658" s="5" t="s">
        <v>4037</v>
      </c>
      <c r="J1658" s="12" t="str">
        <f>HYPERLINK("https://www.boe.es/gazeta/dias/1806/12/26/pdfs/GMD-1806-106.pdf#page=2","Abrir facsímil")</f>
        <v>Abrir facsímil</v>
      </c>
      <c r="K1658" s="15" t="s">
        <v>22</v>
      </c>
    </row>
    <row r="1659" spans="1:11" ht="42" customHeight="1">
      <c r="A1659" s="4" t="s">
        <v>4038</v>
      </c>
      <c r="B1659" s="5" t="s">
        <v>4039</v>
      </c>
      <c r="C1659" s="5" t="s">
        <v>31</v>
      </c>
      <c r="D1659" s="5" t="s">
        <v>32</v>
      </c>
      <c r="E1659" s="5" t="s">
        <v>245</v>
      </c>
      <c r="F1659" s="9">
        <v>106</v>
      </c>
      <c r="G1659" s="9">
        <v>1117</v>
      </c>
      <c r="H1659" s="5" t="s">
        <v>20</v>
      </c>
      <c r="I1659" s="5" t="s">
        <v>4040</v>
      </c>
      <c r="J1659" s="12" t="str">
        <f>HYPERLINK("https://www.boe.es/gazeta/dias/1806/12/26/pdfs/GMD-1806-106.pdf#page=1","Abrir facsímil")</f>
        <v>Abrir facsímil</v>
      </c>
      <c r="K1659" s="15" t="s">
        <v>22</v>
      </c>
    </row>
    <row r="1660" spans="1:11" ht="42" customHeight="1">
      <c r="A1660" s="4" t="s">
        <v>4041</v>
      </c>
      <c r="B1660" s="5" t="s">
        <v>4042</v>
      </c>
      <c r="C1660" s="5" t="s">
        <v>69</v>
      </c>
      <c r="D1660" s="5" t="s">
        <v>70</v>
      </c>
      <c r="E1660" s="5" t="s">
        <v>1031</v>
      </c>
      <c r="F1660" s="9">
        <v>107</v>
      </c>
      <c r="G1660" s="9">
        <v>1125</v>
      </c>
      <c r="H1660" s="5" t="s">
        <v>20</v>
      </c>
      <c r="I1660" s="5" t="s">
        <v>4043</v>
      </c>
      <c r="J1660" s="12" t="str">
        <f>HYPERLINK("https://www.boe.es/gazeta/dias/1806/12/30/pdfs/GMD-1806-107.pdf#page=1","Abrir facsímil")</f>
        <v>Abrir facsímil</v>
      </c>
      <c r="K1660" s="15" t="s">
        <v>22</v>
      </c>
    </row>
    <row r="1661" spans="1:11" ht="42" customHeight="1">
      <c r="A1661" s="4" t="s">
        <v>4044</v>
      </c>
      <c r="B1661" s="5" t="s">
        <v>4045</v>
      </c>
      <c r="C1661" s="5" t="s">
        <v>17</v>
      </c>
      <c r="D1661" s="5" t="s">
        <v>18</v>
      </c>
      <c r="E1661" s="5" t="s">
        <v>494</v>
      </c>
      <c r="F1661" s="9">
        <v>69</v>
      </c>
      <c r="G1661" s="9">
        <v>721</v>
      </c>
      <c r="H1661" s="5" t="s">
        <v>20</v>
      </c>
      <c r="I1661" s="5" t="s">
        <v>4046</v>
      </c>
      <c r="J1661" s="12" t="str">
        <f>HYPERLINK("https://www.boe.es/gazeta/dias/1806/08/22/pdfs/GMD-1806-69.pdf#page=9","Abrir facsímil")</f>
        <v>Abrir facsímil</v>
      </c>
      <c r="K1661" s="15" t="s">
        <v>22</v>
      </c>
    </row>
    <row r="1662" spans="1:11" ht="42" customHeight="1">
      <c r="A1662" s="4" t="s">
        <v>4047</v>
      </c>
      <c r="B1662" s="5" t="s">
        <v>4048</v>
      </c>
      <c r="C1662" s="5" t="s">
        <v>31</v>
      </c>
      <c r="D1662" s="5" t="s">
        <v>32</v>
      </c>
      <c r="E1662" s="5" t="s">
        <v>540</v>
      </c>
      <c r="F1662" s="9">
        <v>51</v>
      </c>
      <c r="G1662" s="9">
        <v>530</v>
      </c>
      <c r="H1662" s="5" t="s">
        <v>20</v>
      </c>
      <c r="I1662" s="5" t="s">
        <v>4049</v>
      </c>
      <c r="J1662" s="12" t="str">
        <f>HYPERLINK("https://www.boe.es/gazeta/dias/1806/06/20/pdfs/GMD-1806-51.pdf#page=10","Abrir facsímil")</f>
        <v>Abrir facsímil</v>
      </c>
      <c r="K1662" s="15" t="s">
        <v>22</v>
      </c>
    </row>
    <row r="1663" spans="1:11" ht="42" customHeight="1">
      <c r="A1663" s="4" t="s">
        <v>4050</v>
      </c>
      <c r="B1663" s="5" t="s">
        <v>4051</v>
      </c>
      <c r="C1663" s="5" t="s">
        <v>31</v>
      </c>
      <c r="D1663" s="5" t="s">
        <v>32</v>
      </c>
      <c r="E1663" s="5" t="s">
        <v>28</v>
      </c>
      <c r="F1663" s="9">
        <v>102</v>
      </c>
      <c r="G1663" s="9">
        <v>1085</v>
      </c>
      <c r="H1663" s="5" t="s">
        <v>20</v>
      </c>
      <c r="I1663" s="5" t="s">
        <v>4052</v>
      </c>
      <c r="J1663" s="12" t="str">
        <f>HYPERLINK("https://www.boe.es/gazeta/dias/1806/12/16/pdfs/GMD-1806-102.pdf#page=9","Abrir facsímil")</f>
        <v>Abrir facsímil</v>
      </c>
      <c r="K1663" s="15" t="s">
        <v>22</v>
      </c>
    </row>
    <row r="1664" spans="1:11" ht="42" customHeight="1">
      <c r="A1664" s="4" t="s">
        <v>4053</v>
      </c>
      <c r="B1664" s="5" t="s">
        <v>4053</v>
      </c>
      <c r="C1664" s="5" t="s">
        <v>69</v>
      </c>
      <c r="D1664" s="5" t="s">
        <v>70</v>
      </c>
      <c r="E1664" s="5" t="s">
        <v>271</v>
      </c>
      <c r="F1664" s="9">
        <v>6</v>
      </c>
      <c r="G1664" s="9">
        <v>46</v>
      </c>
      <c r="H1664" s="5" t="s">
        <v>20</v>
      </c>
      <c r="I1664" s="5" t="s">
        <v>4054</v>
      </c>
      <c r="J1664" s="12" t="str">
        <f>HYPERLINK("https://www.boe.es/gazeta/dias/1806/01/17/pdfs/GMD-1806-6.pdf#page=2","Abrir facsímil")</f>
        <v>Abrir facsímil</v>
      </c>
      <c r="K1664" s="15" t="s">
        <v>22</v>
      </c>
    </row>
    <row r="1665" spans="1:11" ht="42" customHeight="1">
      <c r="A1665" s="4" t="s">
        <v>4055</v>
      </c>
      <c r="B1665" s="5" t="s">
        <v>4056</v>
      </c>
      <c r="C1665" s="5" t="s">
        <v>69</v>
      </c>
      <c r="D1665" s="5" t="s">
        <v>70</v>
      </c>
      <c r="E1665" s="5" t="s">
        <v>271</v>
      </c>
      <c r="F1665" s="9">
        <v>6</v>
      </c>
      <c r="G1665" s="9">
        <v>47</v>
      </c>
      <c r="H1665" s="5" t="s">
        <v>20</v>
      </c>
      <c r="I1665" s="5" t="s">
        <v>4057</v>
      </c>
      <c r="J1665" s="12" t="str">
        <f>HYPERLINK("https://www.boe.es/gazeta/dias/1806/01/17/pdfs/GMD-1806-6.pdf#page=3","Abrir facsímil")</f>
        <v>Abrir facsímil</v>
      </c>
      <c r="K1665" s="15" t="s">
        <v>22</v>
      </c>
    </row>
    <row r="1666" spans="1:11" ht="42" customHeight="1">
      <c r="A1666" s="4" t="s">
        <v>4055</v>
      </c>
      <c r="B1666" s="5" t="s">
        <v>4056</v>
      </c>
      <c r="C1666" s="5" t="s">
        <v>31</v>
      </c>
      <c r="D1666" s="5" t="s">
        <v>32</v>
      </c>
      <c r="E1666" s="5" t="s">
        <v>100</v>
      </c>
      <c r="F1666" s="9">
        <v>7</v>
      </c>
      <c r="G1666" s="9">
        <v>61</v>
      </c>
      <c r="H1666" s="5" t="s">
        <v>20</v>
      </c>
      <c r="I1666" s="5" t="s">
        <v>4058</v>
      </c>
      <c r="J1666" s="12" t="str">
        <f>HYPERLINK("https://www.boe.es/gazeta/dias/1806/01/21/pdfs/GMD-1806-7.pdf#page=5","Abrir facsímil")</f>
        <v>Abrir facsímil</v>
      </c>
      <c r="K1666" s="15" t="s">
        <v>22</v>
      </c>
    </row>
    <row r="1667" spans="1:11" ht="42" customHeight="1">
      <c r="A1667" s="4" t="s">
        <v>4059</v>
      </c>
      <c r="B1667" s="5" t="s">
        <v>4059</v>
      </c>
      <c r="C1667" s="5" t="s">
        <v>31</v>
      </c>
      <c r="D1667" s="5" t="s">
        <v>32</v>
      </c>
      <c r="E1667" s="5" t="s">
        <v>405</v>
      </c>
      <c r="F1667" s="9">
        <v>80</v>
      </c>
      <c r="G1667" s="9">
        <v>823</v>
      </c>
      <c r="H1667" s="5" t="s">
        <v>20</v>
      </c>
      <c r="I1667" s="5" t="s">
        <v>4060</v>
      </c>
      <c r="J1667" s="12" t="str">
        <f>HYPERLINK("https://www.boe.es/gazeta/dias/1806/09/30/pdfs/GMD-1806-80.pdf#page=3","Abrir facsímil")</f>
        <v>Abrir facsímil</v>
      </c>
      <c r="K1667" s="15" t="s">
        <v>22</v>
      </c>
    </row>
    <row r="1668" spans="1:11" ht="42" customHeight="1">
      <c r="A1668" s="4" t="s">
        <v>4061</v>
      </c>
      <c r="B1668" s="5" t="s">
        <v>4062</v>
      </c>
      <c r="C1668" s="5" t="s">
        <v>31</v>
      </c>
      <c r="D1668" s="5" t="s">
        <v>32</v>
      </c>
      <c r="E1668" s="5" t="s">
        <v>79</v>
      </c>
      <c r="F1668" s="9">
        <v>68</v>
      </c>
      <c r="G1668" s="9">
        <v>709</v>
      </c>
      <c r="H1668" s="5" t="s">
        <v>20</v>
      </c>
      <c r="I1668" s="5" t="s">
        <v>4063</v>
      </c>
      <c r="J1668" s="12" t="str">
        <f>HYPERLINK("https://www.boe.es/gazeta/dias/1806/08/19/pdfs/GMD-1806-68.pdf#page=5","Abrir facsímil")</f>
        <v>Abrir facsímil</v>
      </c>
      <c r="K1668" s="15" t="s">
        <v>22</v>
      </c>
    </row>
    <row r="1669" spans="1:11" ht="42" customHeight="1">
      <c r="A1669" s="4" t="s">
        <v>4064</v>
      </c>
      <c r="B1669" s="5" t="s">
        <v>4065</v>
      </c>
      <c r="C1669" s="5" t="s">
        <v>69</v>
      </c>
      <c r="D1669" s="5" t="s">
        <v>70</v>
      </c>
      <c r="E1669" s="5" t="s">
        <v>271</v>
      </c>
      <c r="F1669" s="9">
        <v>6</v>
      </c>
      <c r="G1669" s="9">
        <v>48</v>
      </c>
      <c r="H1669" s="5" t="s">
        <v>20</v>
      </c>
      <c r="I1669" s="5" t="s">
        <v>4066</v>
      </c>
      <c r="J1669" s="12" t="str">
        <f>HYPERLINK("https://www.boe.es/gazeta/dias/1806/01/17/pdfs/GMD-1806-6.pdf#page=4","Abrir facsímil")</f>
        <v>Abrir facsímil</v>
      </c>
      <c r="K1669" s="15" t="s">
        <v>22</v>
      </c>
    </row>
    <row r="1670" spans="1:11" ht="42" customHeight="1">
      <c r="A1670" s="4" t="s">
        <v>4067</v>
      </c>
      <c r="B1670" s="5" t="s">
        <v>4068</v>
      </c>
      <c r="C1670" s="5" t="s">
        <v>42</v>
      </c>
      <c r="D1670" s="5" t="s">
        <v>43</v>
      </c>
      <c r="E1670" s="5" t="s">
        <v>327</v>
      </c>
      <c r="F1670" s="9">
        <v>104</v>
      </c>
      <c r="G1670" s="9">
        <v>1110</v>
      </c>
      <c r="H1670" s="5" t="s">
        <v>20</v>
      </c>
      <c r="I1670" s="5" t="s">
        <v>4069</v>
      </c>
      <c r="J1670" s="12" t="str">
        <f>HYPERLINK("https://www.boe.es/gazeta/dias/1806/12/23/pdfs/GMD-1806-104.pdf#page=10","Abrir facsímil")</f>
        <v>Abrir facsímil</v>
      </c>
      <c r="K1670" s="15" t="s">
        <v>22</v>
      </c>
    </row>
    <row r="1671" spans="1:11" ht="42" customHeight="1">
      <c r="A1671" s="4" t="s">
        <v>4070</v>
      </c>
      <c r="B1671" s="5" t="s">
        <v>4070</v>
      </c>
      <c r="C1671" s="5" t="s">
        <v>69</v>
      </c>
      <c r="D1671" s="5" t="s">
        <v>70</v>
      </c>
      <c r="E1671" s="5" t="s">
        <v>837</v>
      </c>
      <c r="F1671" s="9">
        <v>26</v>
      </c>
      <c r="G1671" s="9">
        <v>252</v>
      </c>
      <c r="H1671" s="5" t="s">
        <v>20</v>
      </c>
      <c r="I1671" s="5" t="s">
        <v>4071</v>
      </c>
      <c r="J1671" s="12" t="str">
        <f>HYPERLINK("https://www.boe.es/gazeta/dias/1806/03/25/pdfs/GMD-1806-26.pdf#page=4","Abrir facsímil")</f>
        <v>Abrir facsímil</v>
      </c>
      <c r="K1671" s="15" t="s">
        <v>22</v>
      </c>
    </row>
    <row r="1672" spans="1:11" ht="42" customHeight="1">
      <c r="A1672" s="4" t="s">
        <v>4072</v>
      </c>
      <c r="B1672" s="5" t="s">
        <v>4073</v>
      </c>
      <c r="C1672" s="5" t="s">
        <v>69</v>
      </c>
      <c r="D1672" s="5" t="s">
        <v>70</v>
      </c>
      <c r="E1672" s="5" t="s">
        <v>837</v>
      </c>
      <c r="F1672" s="9">
        <v>26</v>
      </c>
      <c r="G1672" s="9">
        <v>252</v>
      </c>
      <c r="H1672" s="5" t="s">
        <v>20</v>
      </c>
      <c r="I1672" s="5" t="s">
        <v>4074</v>
      </c>
      <c r="J1672" s="12" t="str">
        <f>HYPERLINK("https://www.boe.es/gazeta/dias/1806/03/25/pdfs/GMD-1806-26.pdf#page=4","Abrir facsímil")</f>
        <v>Abrir facsímil</v>
      </c>
      <c r="K1672" s="15" t="s">
        <v>22</v>
      </c>
    </row>
    <row r="1673" spans="1:11" ht="42" customHeight="1">
      <c r="A1673" s="4" t="s">
        <v>4075</v>
      </c>
      <c r="B1673" s="5" t="s">
        <v>4076</v>
      </c>
      <c r="C1673" s="5" t="s">
        <v>36</v>
      </c>
      <c r="D1673" s="5" t="s">
        <v>37</v>
      </c>
      <c r="E1673" s="5" t="s">
        <v>309</v>
      </c>
      <c r="F1673" s="9">
        <v>41</v>
      </c>
      <c r="G1673" s="9">
        <v>412</v>
      </c>
      <c r="H1673" s="5" t="s">
        <v>20</v>
      </c>
      <c r="I1673" s="5" t="s">
        <v>4077</v>
      </c>
      <c r="J1673" s="12" t="str">
        <f>HYPERLINK("https://www.boe.es/gazeta/dias/1806/05/16/pdfs/GMD-1806-41.pdf#page=12","Abrir facsímil")</f>
        <v>Abrir facsímil</v>
      </c>
      <c r="K1673" s="15" t="s">
        <v>22</v>
      </c>
    </row>
    <row r="1674" spans="1:11" ht="42" customHeight="1">
      <c r="A1674" s="4" t="s">
        <v>4078</v>
      </c>
      <c r="B1674" s="5" t="s">
        <v>4079</v>
      </c>
      <c r="C1674" s="5" t="s">
        <v>17</v>
      </c>
      <c r="D1674" s="5" t="s">
        <v>18</v>
      </c>
      <c r="E1674" s="5" t="s">
        <v>76</v>
      </c>
      <c r="F1674" s="9">
        <v>98</v>
      </c>
      <c r="G1674" s="9">
        <v>1036</v>
      </c>
      <c r="H1674" s="5" t="s">
        <v>20</v>
      </c>
      <c r="I1674" s="5" t="s">
        <v>4080</v>
      </c>
      <c r="J1674" s="12" t="str">
        <f>HYPERLINK("https://www.boe.es/gazeta/dias/1806/12/02/pdfs/GMD-1806-98.pdf#page=4","Abrir facsímil")</f>
        <v>Abrir facsímil</v>
      </c>
      <c r="K1674" s="15" t="s">
        <v>22</v>
      </c>
    </row>
    <row r="1675" spans="1:11" ht="42" customHeight="1">
      <c r="A1675" s="4" t="s">
        <v>4078</v>
      </c>
      <c r="B1675" s="5" t="s">
        <v>4079</v>
      </c>
      <c r="C1675" s="5" t="s">
        <v>69</v>
      </c>
      <c r="D1675" s="5" t="s">
        <v>70</v>
      </c>
      <c r="E1675" s="5" t="s">
        <v>312</v>
      </c>
      <c r="F1675" s="9">
        <v>100</v>
      </c>
      <c r="G1675" s="9">
        <v>1061</v>
      </c>
      <c r="H1675" s="5" t="s">
        <v>20</v>
      </c>
      <c r="I1675" s="5" t="s">
        <v>4081</v>
      </c>
      <c r="J1675" s="12" t="str">
        <f>HYPERLINK("https://www.boe.es/gazeta/dias/1806/12/09/pdfs/GMD-1806-100.pdf#page=5","Abrir facsímil")</f>
        <v>Abrir facsímil</v>
      </c>
      <c r="K1675" s="15" t="s">
        <v>22</v>
      </c>
    </row>
    <row r="1676" spans="1:11" ht="42" customHeight="1">
      <c r="A1676" s="4" t="s">
        <v>4078</v>
      </c>
      <c r="B1676" s="5" t="s">
        <v>4079</v>
      </c>
      <c r="C1676" s="5" t="s">
        <v>42</v>
      </c>
      <c r="D1676" s="5" t="s">
        <v>43</v>
      </c>
      <c r="E1676" s="5" t="s">
        <v>327</v>
      </c>
      <c r="F1676" s="9">
        <v>104</v>
      </c>
      <c r="G1676" s="9">
        <v>1103</v>
      </c>
      <c r="H1676" s="5" t="s">
        <v>20</v>
      </c>
      <c r="I1676" s="5" t="s">
        <v>4082</v>
      </c>
      <c r="J1676" s="12" t="str">
        <f>HYPERLINK("https://www.boe.es/gazeta/dias/1806/12/23/pdfs/GMD-1806-104.pdf#page=3","Abrir facsímil")</f>
        <v>Abrir facsímil</v>
      </c>
      <c r="K1676" s="15" t="s">
        <v>22</v>
      </c>
    </row>
    <row r="1677" spans="1:11" ht="42" customHeight="1">
      <c r="A1677" s="4" t="s">
        <v>4083</v>
      </c>
      <c r="B1677" s="5" t="s">
        <v>4083</v>
      </c>
      <c r="C1677" s="5" t="s">
        <v>69</v>
      </c>
      <c r="D1677" s="5" t="s">
        <v>70</v>
      </c>
      <c r="E1677" s="5" t="s">
        <v>501</v>
      </c>
      <c r="F1677" s="9">
        <v>39</v>
      </c>
      <c r="G1677" s="9">
        <v>377</v>
      </c>
      <c r="H1677" s="5" t="s">
        <v>20</v>
      </c>
      <c r="I1677" s="5" t="s">
        <v>4084</v>
      </c>
      <c r="J1677" s="12" t="str">
        <f>HYPERLINK("https://www.boe.es/gazeta/dias/1806/05/09/pdfs/GMD-1806-39.pdf#page=1","Abrir facsímil")</f>
        <v>Abrir facsímil</v>
      </c>
      <c r="K1677" s="15" t="s">
        <v>22</v>
      </c>
    </row>
    <row r="1678" spans="1:11" ht="42" customHeight="1">
      <c r="A1678" s="4" t="s">
        <v>4085</v>
      </c>
      <c r="B1678" s="5" t="s">
        <v>4086</v>
      </c>
      <c r="C1678" s="5" t="s">
        <v>69</v>
      </c>
      <c r="D1678" s="5" t="s">
        <v>70</v>
      </c>
      <c r="E1678" s="5" t="s">
        <v>118</v>
      </c>
      <c r="F1678" s="9">
        <v>15</v>
      </c>
      <c r="G1678" s="9">
        <v>130</v>
      </c>
      <c r="H1678" s="5" t="s">
        <v>20</v>
      </c>
      <c r="I1678" s="5" t="s">
        <v>4087</v>
      </c>
      <c r="J1678" s="12" t="str">
        <f>HYPERLINK("https://www.boe.es/gazeta/dias/1806/02/14/pdfs/GMD-1806-15.pdf#page=6","Abrir facsímil")</f>
        <v>Abrir facsímil</v>
      </c>
      <c r="K1678" s="15" t="s">
        <v>22</v>
      </c>
    </row>
    <row r="1679" spans="1:11" ht="42" customHeight="1">
      <c r="A1679" s="4" t="s">
        <v>4088</v>
      </c>
      <c r="B1679" s="5" t="s">
        <v>4089</v>
      </c>
      <c r="C1679" s="5" t="s">
        <v>17</v>
      </c>
      <c r="D1679" s="5" t="s">
        <v>18</v>
      </c>
      <c r="E1679" s="5" t="s">
        <v>689</v>
      </c>
      <c r="F1679" s="9">
        <v>37</v>
      </c>
      <c r="G1679" s="9">
        <v>357</v>
      </c>
      <c r="H1679" s="5" t="s">
        <v>20</v>
      </c>
      <c r="I1679" s="5" t="s">
        <v>4090</v>
      </c>
      <c r="J1679" s="12" t="str">
        <f>HYPERLINK("https://www.boe.es/gazeta/dias/1806/05/02/pdfs/GMD-1806-37.pdf#page=5","Abrir facsímil")</f>
        <v>Abrir facsímil</v>
      </c>
      <c r="K1679" s="15" t="s">
        <v>22</v>
      </c>
    </row>
    <row r="1680" spans="1:11" ht="42" customHeight="1">
      <c r="A1680" s="4" t="s">
        <v>4088</v>
      </c>
      <c r="B1680" s="5" t="s">
        <v>4089</v>
      </c>
      <c r="C1680" s="5" t="s">
        <v>69</v>
      </c>
      <c r="D1680" s="5" t="s">
        <v>70</v>
      </c>
      <c r="E1680" s="5" t="s">
        <v>661</v>
      </c>
      <c r="F1680" s="9">
        <v>38</v>
      </c>
      <c r="G1680" s="9">
        <v>367</v>
      </c>
      <c r="H1680" s="5" t="s">
        <v>20</v>
      </c>
      <c r="I1680" s="5" t="s">
        <v>4091</v>
      </c>
      <c r="J1680" s="12" t="str">
        <f>HYPERLINK("https://www.boe.es/gazeta/dias/1806/05/06/pdfs/GMD-1806-38.pdf#page=3","Abrir facsímil")</f>
        <v>Abrir facsímil</v>
      </c>
      <c r="K1680" s="15" t="s">
        <v>22</v>
      </c>
    </row>
    <row r="1681" spans="1:11" ht="42" customHeight="1">
      <c r="A1681" s="4" t="s">
        <v>4088</v>
      </c>
      <c r="B1681" s="5" t="s">
        <v>4089</v>
      </c>
      <c r="C1681" s="5" t="s">
        <v>69</v>
      </c>
      <c r="D1681" s="5" t="s">
        <v>70</v>
      </c>
      <c r="E1681" s="5" t="s">
        <v>62</v>
      </c>
      <c r="F1681" s="9">
        <v>45</v>
      </c>
      <c r="G1681" s="9">
        <v>454</v>
      </c>
      <c r="H1681" s="5" t="s">
        <v>20</v>
      </c>
      <c r="I1681" s="5" t="s">
        <v>4092</v>
      </c>
      <c r="J1681" s="12" t="str">
        <f>HYPERLINK("https://www.boe.es/gazeta/dias/1806/05/30/pdfs/GMD-1806-45.pdf#page=6","Abrir facsímil")</f>
        <v>Abrir facsímil</v>
      </c>
      <c r="K1681" s="15" t="s">
        <v>22</v>
      </c>
    </row>
    <row r="1682" spans="1:11" ht="42" customHeight="1">
      <c r="A1682" s="4" t="s">
        <v>4088</v>
      </c>
      <c r="B1682" s="5" t="s">
        <v>4089</v>
      </c>
      <c r="C1682" s="5" t="s">
        <v>31</v>
      </c>
      <c r="D1682" s="5" t="s">
        <v>32</v>
      </c>
      <c r="E1682" s="5" t="s">
        <v>304</v>
      </c>
      <c r="F1682" s="9">
        <v>47</v>
      </c>
      <c r="G1682" s="9">
        <v>476</v>
      </c>
      <c r="H1682" s="5" t="s">
        <v>20</v>
      </c>
      <c r="I1682" s="5" t="s">
        <v>4093</v>
      </c>
      <c r="J1682" s="12" t="str">
        <f>HYPERLINK("https://www.boe.es/gazeta/dias/1806/06/06/pdfs/GMD-1806-47.pdf#page=4","Abrir facsímil")</f>
        <v>Abrir facsímil</v>
      </c>
      <c r="K1682" s="15" t="s">
        <v>22</v>
      </c>
    </row>
    <row r="1683" spans="1:11" ht="42" customHeight="1">
      <c r="A1683" s="4" t="s">
        <v>4088</v>
      </c>
      <c r="B1683" s="5" t="s">
        <v>4089</v>
      </c>
      <c r="C1683" s="5" t="s">
        <v>17</v>
      </c>
      <c r="D1683" s="5" t="s">
        <v>18</v>
      </c>
      <c r="E1683" s="5" t="s">
        <v>279</v>
      </c>
      <c r="F1683" s="9">
        <v>52</v>
      </c>
      <c r="G1683" s="9">
        <v>542</v>
      </c>
      <c r="H1683" s="5" t="s">
        <v>20</v>
      </c>
      <c r="I1683" s="5" t="s">
        <v>4094</v>
      </c>
      <c r="J1683" s="12" t="str">
        <f>HYPERLINK("https://www.boe.es/gazeta/dias/1806/06/24/pdfs/GMD-1806-52.pdf#page=10","Abrir facsímil")</f>
        <v>Abrir facsímil</v>
      </c>
      <c r="K1683" s="15" t="s">
        <v>22</v>
      </c>
    </row>
    <row r="1684" spans="1:11" ht="42" customHeight="1">
      <c r="A1684" s="4" t="s">
        <v>4088</v>
      </c>
      <c r="B1684" s="5" t="s">
        <v>4089</v>
      </c>
      <c r="C1684" s="5" t="s">
        <v>69</v>
      </c>
      <c r="D1684" s="5" t="s">
        <v>70</v>
      </c>
      <c r="E1684" s="5" t="s">
        <v>348</v>
      </c>
      <c r="F1684" s="9">
        <v>88</v>
      </c>
      <c r="G1684" s="9">
        <v>908</v>
      </c>
      <c r="H1684" s="5" t="s">
        <v>20</v>
      </c>
      <c r="I1684" s="5" t="s">
        <v>4095</v>
      </c>
      <c r="J1684" s="12" t="str">
        <f>HYPERLINK("https://www.boe.es/gazeta/dias/1806/10/28/pdfs/GMD-1806-88.pdf#page=4","Abrir facsímil")</f>
        <v>Abrir facsímil</v>
      </c>
      <c r="K1684" s="15" t="s">
        <v>22</v>
      </c>
    </row>
    <row r="1685" spans="1:11" ht="42" customHeight="1">
      <c r="A1685" s="4" t="s">
        <v>4096</v>
      </c>
      <c r="B1685" s="5" t="s">
        <v>4097</v>
      </c>
      <c r="C1685" s="5" t="s">
        <v>69</v>
      </c>
      <c r="D1685" s="5" t="s">
        <v>70</v>
      </c>
      <c r="E1685" s="5" t="s">
        <v>144</v>
      </c>
      <c r="F1685" s="9">
        <v>79</v>
      </c>
      <c r="G1685" s="9">
        <v>817</v>
      </c>
      <c r="H1685" s="5" t="s">
        <v>20</v>
      </c>
      <c r="I1685" s="5" t="s">
        <v>4098</v>
      </c>
      <c r="J1685" s="12" t="str">
        <f>HYPERLINK("https://www.boe.es/gazeta/dias/1806/09/26/pdfs/GMD-1806-79.pdf#page=9","Abrir facsímil")</f>
        <v>Abrir facsímil</v>
      </c>
      <c r="K1685" s="15" t="s">
        <v>22</v>
      </c>
    </row>
    <row r="1686" spans="1:11" ht="42" customHeight="1">
      <c r="A1686" s="4" t="s">
        <v>4099</v>
      </c>
      <c r="B1686" s="5" t="s">
        <v>4100</v>
      </c>
      <c r="C1686" s="5" t="s">
        <v>31</v>
      </c>
      <c r="D1686" s="5" t="s">
        <v>32</v>
      </c>
      <c r="E1686" s="5" t="s">
        <v>209</v>
      </c>
      <c r="F1686" s="9">
        <v>95</v>
      </c>
      <c r="G1686" s="9">
        <v>1005</v>
      </c>
      <c r="H1686" s="5" t="s">
        <v>20</v>
      </c>
      <c r="I1686" s="5" t="s">
        <v>4101</v>
      </c>
      <c r="J1686" s="12" t="str">
        <f>HYPERLINK("https://www.boe.es/gazeta/dias/1806/11/21/pdfs/GMD-1806-95.pdf#page=13","Abrir facsímil")</f>
        <v>Abrir facsímil</v>
      </c>
      <c r="K1686" s="15" t="s">
        <v>22</v>
      </c>
    </row>
    <row r="1687" spans="1:11" ht="42" customHeight="1">
      <c r="A1687" s="4" t="s">
        <v>4102</v>
      </c>
      <c r="B1687" s="5" t="s">
        <v>4103</v>
      </c>
      <c r="C1687" s="5" t="s">
        <v>17</v>
      </c>
      <c r="D1687" s="5" t="s">
        <v>18</v>
      </c>
      <c r="E1687" s="5" t="s">
        <v>26</v>
      </c>
      <c r="F1687" s="9">
        <v>65</v>
      </c>
      <c r="G1687" s="9">
        <v>678</v>
      </c>
      <c r="H1687" s="5" t="s">
        <v>20</v>
      </c>
      <c r="I1687" s="5" t="s">
        <v>4104</v>
      </c>
      <c r="J1687" s="12" t="str">
        <f>HYPERLINK("https://www.boe.es/gazeta/dias/1806/08/08/pdfs/GMD-1806-65.pdf#page=6","Abrir facsímil")</f>
        <v>Abrir facsímil</v>
      </c>
      <c r="K1687" s="15" t="s">
        <v>22</v>
      </c>
    </row>
    <row r="1688" spans="1:11" ht="42" customHeight="1">
      <c r="A1688" s="4" t="s">
        <v>4105</v>
      </c>
      <c r="B1688" s="5" t="s">
        <v>4106</v>
      </c>
      <c r="C1688" s="5" t="s">
        <v>17</v>
      </c>
      <c r="D1688" s="5" t="s">
        <v>18</v>
      </c>
      <c r="E1688" s="5" t="s">
        <v>55</v>
      </c>
      <c r="F1688" s="9">
        <v>20</v>
      </c>
      <c r="G1688" s="9">
        <v>187</v>
      </c>
      <c r="H1688" s="5" t="s">
        <v>20</v>
      </c>
      <c r="I1688" s="5" t="s">
        <v>4107</v>
      </c>
      <c r="J1688" s="12" t="str">
        <f>HYPERLINK("https://www.boe.es/gazeta/dias/1806/03/04/pdfs/GMD-1806-20.pdf#page=11","Abrir facsímil")</f>
        <v>Abrir facsímil</v>
      </c>
      <c r="K1688" s="15" t="s">
        <v>22</v>
      </c>
    </row>
    <row r="1689" spans="1:11" ht="42" customHeight="1">
      <c r="A1689" s="4" t="s">
        <v>4108</v>
      </c>
      <c r="B1689" s="5" t="s">
        <v>4109</v>
      </c>
      <c r="C1689" s="5" t="s">
        <v>31</v>
      </c>
      <c r="D1689" s="5" t="s">
        <v>32</v>
      </c>
      <c r="E1689" s="5" t="s">
        <v>859</v>
      </c>
      <c r="F1689" s="9">
        <v>63</v>
      </c>
      <c r="G1689" s="9">
        <v>657</v>
      </c>
      <c r="H1689" s="5" t="s">
        <v>20</v>
      </c>
      <c r="I1689" s="5" t="s">
        <v>4110</v>
      </c>
      <c r="J1689" s="12" t="str">
        <f>HYPERLINK("https://www.boe.es/gazeta/dias/1806/08/01/pdfs/GMD-1806-63.pdf#page=5","Abrir facsímil")</f>
        <v>Abrir facsímil</v>
      </c>
      <c r="K1689" s="15" t="s">
        <v>22</v>
      </c>
    </row>
    <row r="1690" spans="1:11" ht="42" customHeight="1">
      <c r="A1690" s="4" t="s">
        <v>4111</v>
      </c>
      <c r="B1690" s="5" t="s">
        <v>4112</v>
      </c>
      <c r="C1690" s="5" t="s">
        <v>69</v>
      </c>
      <c r="D1690" s="5" t="s">
        <v>70</v>
      </c>
      <c r="E1690" s="5" t="s">
        <v>400</v>
      </c>
      <c r="F1690" s="9">
        <v>22</v>
      </c>
      <c r="G1690" s="9">
        <v>202</v>
      </c>
      <c r="H1690" s="5" t="s">
        <v>20</v>
      </c>
      <c r="I1690" s="5" t="s">
        <v>4113</v>
      </c>
      <c r="J1690" s="12" t="str">
        <f>HYPERLINK("https://www.boe.es/gazeta/dias/1806/03/11/pdfs/GMD-1806-22.pdf#page=2","Abrir facsímil")</f>
        <v>Abrir facsímil</v>
      </c>
      <c r="K1690" s="15" t="s">
        <v>22</v>
      </c>
    </row>
    <row r="1691" spans="1:11" ht="42" customHeight="1">
      <c r="A1691" s="4" t="s">
        <v>4111</v>
      </c>
      <c r="B1691" s="5" t="s">
        <v>4112</v>
      </c>
      <c r="C1691" s="5" t="s">
        <v>69</v>
      </c>
      <c r="D1691" s="5" t="s">
        <v>70</v>
      </c>
      <c r="E1691" s="5" t="s">
        <v>124</v>
      </c>
      <c r="F1691" s="9">
        <v>25</v>
      </c>
      <c r="G1691" s="9">
        <v>242</v>
      </c>
      <c r="H1691" s="5" t="s">
        <v>20</v>
      </c>
      <c r="I1691" s="5" t="s">
        <v>4114</v>
      </c>
      <c r="J1691" s="12" t="str">
        <f>HYPERLINK("https://www.boe.es/gazeta/dias/1806/03/21/pdfs/GMD-1806-25.pdf#page=6","Abrir facsímil")</f>
        <v>Abrir facsímil</v>
      </c>
      <c r="K1691" s="15" t="s">
        <v>22</v>
      </c>
    </row>
    <row r="1692" spans="1:11" ht="42" customHeight="1">
      <c r="A1692" s="4" t="s">
        <v>4111</v>
      </c>
      <c r="B1692" s="5" t="s">
        <v>4112</v>
      </c>
      <c r="C1692" s="5" t="s">
        <v>69</v>
      </c>
      <c r="D1692" s="5" t="s">
        <v>70</v>
      </c>
      <c r="E1692" s="5" t="s">
        <v>227</v>
      </c>
      <c r="F1692" s="9">
        <v>27</v>
      </c>
      <c r="G1692" s="9">
        <v>266</v>
      </c>
      <c r="H1692" s="5" t="s">
        <v>20</v>
      </c>
      <c r="I1692" s="5" t="s">
        <v>4115</v>
      </c>
      <c r="J1692" s="12" t="str">
        <f>HYPERLINK("https://www.boe.es/gazeta/dias/1806/03/28/pdfs/GMD-1806-27.pdf#page=6","Abrir facsímil")</f>
        <v>Abrir facsímil</v>
      </c>
      <c r="K1692" s="15" t="s">
        <v>22</v>
      </c>
    </row>
    <row r="1693" spans="1:11" ht="42" customHeight="1">
      <c r="A1693" s="4" t="s">
        <v>4111</v>
      </c>
      <c r="B1693" s="5" t="s">
        <v>4112</v>
      </c>
      <c r="C1693" s="5" t="s">
        <v>69</v>
      </c>
      <c r="D1693" s="5" t="s">
        <v>70</v>
      </c>
      <c r="E1693" s="5" t="s">
        <v>340</v>
      </c>
      <c r="F1693" s="9">
        <v>31</v>
      </c>
      <c r="G1693" s="9">
        <v>303</v>
      </c>
      <c r="H1693" s="5" t="s">
        <v>20</v>
      </c>
      <c r="I1693" s="5" t="s">
        <v>4116</v>
      </c>
      <c r="J1693" s="12" t="str">
        <f>HYPERLINK("https://www.boe.es/gazeta/dias/1806/04/11/pdfs/GMD-1806-31.pdf#page=7","Abrir facsímil")</f>
        <v>Abrir facsímil</v>
      </c>
      <c r="K1693" s="15" t="s">
        <v>22</v>
      </c>
    </row>
    <row r="1694" spans="1:11" ht="42" customHeight="1">
      <c r="A1694" s="4" t="s">
        <v>4111</v>
      </c>
      <c r="B1694" s="5" t="s">
        <v>4112</v>
      </c>
      <c r="C1694" s="5" t="s">
        <v>69</v>
      </c>
      <c r="D1694" s="5" t="s">
        <v>70</v>
      </c>
      <c r="E1694" s="5" t="s">
        <v>259</v>
      </c>
      <c r="F1694" s="9">
        <v>34</v>
      </c>
      <c r="G1694" s="9">
        <v>333</v>
      </c>
      <c r="H1694" s="5" t="s">
        <v>20</v>
      </c>
      <c r="I1694" s="5" t="s">
        <v>4117</v>
      </c>
      <c r="J1694" s="12" t="str">
        <f>HYPERLINK("https://www.boe.es/gazeta/dias/1806/04/22/pdfs/GMD-1806-34.pdf#page=5","Abrir facsímil")</f>
        <v>Abrir facsímil</v>
      </c>
      <c r="K1694" s="15" t="s">
        <v>22</v>
      </c>
    </row>
    <row r="1695" spans="1:11" ht="42" customHeight="1">
      <c r="A1695" s="4" t="s">
        <v>4111</v>
      </c>
      <c r="B1695" s="5" t="s">
        <v>4112</v>
      </c>
      <c r="C1695" s="5" t="s">
        <v>69</v>
      </c>
      <c r="D1695" s="5" t="s">
        <v>70</v>
      </c>
      <c r="E1695" s="5" t="s">
        <v>367</v>
      </c>
      <c r="F1695" s="9">
        <v>87</v>
      </c>
      <c r="G1695" s="9">
        <v>896</v>
      </c>
      <c r="H1695" s="5" t="s">
        <v>20</v>
      </c>
      <c r="I1695" s="5" t="s">
        <v>4118</v>
      </c>
      <c r="J1695" s="12" t="str">
        <f>HYPERLINK("https://www.boe.es/gazeta/dias/1806/10/24/pdfs/GMD-1806-87.pdf#page=4","Abrir facsímil")</f>
        <v>Abrir facsímil</v>
      </c>
      <c r="K1695" s="15" t="s">
        <v>22</v>
      </c>
    </row>
    <row r="1696" spans="1:11" ht="42" customHeight="1">
      <c r="A1696" s="4" t="s">
        <v>4111</v>
      </c>
      <c r="B1696" s="5" t="s">
        <v>4112</v>
      </c>
      <c r="C1696" s="5" t="s">
        <v>31</v>
      </c>
      <c r="D1696" s="5" t="s">
        <v>32</v>
      </c>
      <c r="E1696" s="5" t="s">
        <v>367</v>
      </c>
      <c r="F1696" s="9">
        <v>87</v>
      </c>
      <c r="G1696" s="9">
        <v>897</v>
      </c>
      <c r="H1696" s="5" t="s">
        <v>20</v>
      </c>
      <c r="I1696" s="5" t="s">
        <v>4119</v>
      </c>
      <c r="J1696" s="12" t="str">
        <f>HYPERLINK("https://www.boe.es/gazeta/dias/1806/10/24/pdfs/GMD-1806-87.pdf#page=5","Abrir facsímil")</f>
        <v>Abrir facsímil</v>
      </c>
      <c r="K1696" s="15" t="s">
        <v>22</v>
      </c>
    </row>
    <row r="1697" spans="1:11" ht="42" customHeight="1">
      <c r="A1697" s="4" t="s">
        <v>4120</v>
      </c>
      <c r="B1697" s="5" t="s">
        <v>4120</v>
      </c>
      <c r="C1697" s="5" t="s">
        <v>69</v>
      </c>
      <c r="D1697" s="5" t="s">
        <v>70</v>
      </c>
      <c r="E1697" s="5" t="s">
        <v>870</v>
      </c>
      <c r="F1697" s="9">
        <v>35</v>
      </c>
      <c r="G1697" s="9">
        <v>340</v>
      </c>
      <c r="H1697" s="5" t="s">
        <v>20</v>
      </c>
      <c r="I1697" s="5" t="s">
        <v>4121</v>
      </c>
      <c r="J1697" s="12" t="str">
        <f>HYPERLINK("https://www.boe.es/gazeta/dias/1806/04/25/pdfs/GMD-1806-35.pdf#page=4","Abrir facsímil")</f>
        <v>Abrir facsímil</v>
      </c>
      <c r="K1697" s="15" t="s">
        <v>22</v>
      </c>
    </row>
    <row r="1698" spans="1:11" ht="42" customHeight="1">
      <c r="A1698" s="4" t="s">
        <v>4120</v>
      </c>
      <c r="B1698" s="5" t="s">
        <v>4120</v>
      </c>
      <c r="C1698" s="5" t="s">
        <v>31</v>
      </c>
      <c r="D1698" s="5" t="s">
        <v>32</v>
      </c>
      <c r="E1698" s="5" t="s">
        <v>130</v>
      </c>
      <c r="F1698" s="9">
        <v>66</v>
      </c>
      <c r="G1698" s="9">
        <v>688</v>
      </c>
      <c r="H1698" s="5" t="s">
        <v>20</v>
      </c>
      <c r="I1698" s="5" t="s">
        <v>4122</v>
      </c>
      <c r="J1698" s="12" t="str">
        <f>HYPERLINK("https://www.boe.es/gazeta/dias/1806/08/12/pdfs/GMD-1806-66.pdf#page=4","Abrir facsímil")</f>
        <v>Abrir facsímil</v>
      </c>
      <c r="K1698" s="15" t="s">
        <v>22</v>
      </c>
    </row>
    <row r="1699" spans="1:11" ht="42" customHeight="1">
      <c r="A1699" s="4" t="s">
        <v>4123</v>
      </c>
      <c r="B1699" s="5" t="s">
        <v>4124</v>
      </c>
      <c r="C1699" s="5" t="s">
        <v>31</v>
      </c>
      <c r="D1699" s="5" t="s">
        <v>32</v>
      </c>
      <c r="E1699" s="5" t="s">
        <v>19</v>
      </c>
      <c r="F1699" s="9">
        <v>3</v>
      </c>
      <c r="G1699" s="9">
        <v>23</v>
      </c>
      <c r="H1699" s="5" t="s">
        <v>20</v>
      </c>
      <c r="I1699" s="5" t="s">
        <v>4125</v>
      </c>
      <c r="J1699" s="12" t="str">
        <f>HYPERLINK("https://www.boe.es/gazeta/dias/1806/01/10/pdfs/GMD-1806-3.pdf#page=3","Abrir facsímil")</f>
        <v>Abrir facsímil</v>
      </c>
      <c r="K1699" s="15" t="s">
        <v>22</v>
      </c>
    </row>
    <row r="1700" spans="1:11" ht="42" customHeight="1">
      <c r="A1700" s="4" t="s">
        <v>4123</v>
      </c>
      <c r="B1700" s="5" t="s">
        <v>4124</v>
      </c>
      <c r="C1700" s="5" t="s">
        <v>31</v>
      </c>
      <c r="D1700" s="5" t="s">
        <v>32</v>
      </c>
      <c r="E1700" s="5" t="s">
        <v>195</v>
      </c>
      <c r="F1700" s="9">
        <v>4</v>
      </c>
      <c r="G1700" s="9">
        <v>32</v>
      </c>
      <c r="H1700" s="5" t="s">
        <v>20</v>
      </c>
      <c r="I1700" s="5" t="s">
        <v>4126</v>
      </c>
      <c r="J1700" s="12" t="str">
        <f>HYPERLINK("https://www.boe.es/gazeta/dias/1806/01/14/pdfs/GMD-1806-4.pdf#page=4","Abrir facsímil")</f>
        <v>Abrir facsímil</v>
      </c>
      <c r="K1700" s="15" t="s">
        <v>22</v>
      </c>
    </row>
    <row r="1701" spans="1:11" ht="42" customHeight="1">
      <c r="A1701" s="4" t="s">
        <v>4127</v>
      </c>
      <c r="B1701" s="5" t="s">
        <v>4127</v>
      </c>
      <c r="C1701" s="5" t="s">
        <v>31</v>
      </c>
      <c r="D1701" s="5" t="s">
        <v>32</v>
      </c>
      <c r="E1701" s="5" t="s">
        <v>19</v>
      </c>
      <c r="F1701" s="9">
        <v>3</v>
      </c>
      <c r="G1701" s="9">
        <v>25</v>
      </c>
      <c r="H1701" s="5" t="s">
        <v>20</v>
      </c>
      <c r="I1701" s="5" t="s">
        <v>4128</v>
      </c>
      <c r="J1701" s="12" t="str">
        <f>HYPERLINK("https://www.boe.es/gazeta/dias/1806/01/10/pdfs/GMD-1806-3.pdf#page=5","Abrir facsímil")</f>
        <v>Abrir facsímil</v>
      </c>
      <c r="K1701" s="15" t="s">
        <v>22</v>
      </c>
    </row>
    <row r="1702" spans="1:11" ht="42" customHeight="1">
      <c r="A1702" s="4" t="s">
        <v>4129</v>
      </c>
      <c r="B1702" s="5" t="s">
        <v>4130</v>
      </c>
      <c r="C1702" s="5" t="s">
        <v>69</v>
      </c>
      <c r="D1702" s="5" t="s">
        <v>70</v>
      </c>
      <c r="E1702" s="5" t="s">
        <v>24</v>
      </c>
      <c r="F1702" s="9">
        <v>32</v>
      </c>
      <c r="G1702" s="9">
        <v>311</v>
      </c>
      <c r="H1702" s="5" t="s">
        <v>20</v>
      </c>
      <c r="I1702" s="5" t="s">
        <v>4131</v>
      </c>
      <c r="J1702" s="12" t="str">
        <f>HYPERLINK("https://www.boe.es/gazeta/dias/1806/04/15/pdfs/GMD-1806-32.pdf#page=3","Abrir facsímil")</f>
        <v>Abrir facsímil</v>
      </c>
      <c r="K1702" s="15" t="s">
        <v>22</v>
      </c>
    </row>
    <row r="1703" spans="1:11" ht="42" customHeight="1">
      <c r="A1703" s="4" t="s">
        <v>4129</v>
      </c>
      <c r="B1703" s="5" t="s">
        <v>4130</v>
      </c>
      <c r="C1703" s="5" t="s">
        <v>69</v>
      </c>
      <c r="D1703" s="5" t="s">
        <v>70</v>
      </c>
      <c r="E1703" s="5" t="s">
        <v>540</v>
      </c>
      <c r="F1703" s="9">
        <v>51</v>
      </c>
      <c r="G1703" s="9">
        <v>524</v>
      </c>
      <c r="H1703" s="5" t="s">
        <v>20</v>
      </c>
      <c r="I1703" s="5" t="s">
        <v>4132</v>
      </c>
      <c r="J1703" s="12" t="str">
        <f>HYPERLINK("https://www.boe.es/gazeta/dias/1806/06/20/pdfs/GMD-1806-51.pdf#page=4","Abrir facsímil")</f>
        <v>Abrir facsímil</v>
      </c>
      <c r="K1703" s="15" t="s">
        <v>22</v>
      </c>
    </row>
    <row r="1704" spans="1:11" ht="42" customHeight="1">
      <c r="A1704" s="4" t="s">
        <v>4129</v>
      </c>
      <c r="B1704" s="5" t="s">
        <v>4130</v>
      </c>
      <c r="C1704" s="5" t="s">
        <v>69</v>
      </c>
      <c r="D1704" s="5" t="s">
        <v>70</v>
      </c>
      <c r="E1704" s="5" t="s">
        <v>38</v>
      </c>
      <c r="F1704" s="9">
        <v>92</v>
      </c>
      <c r="G1704" s="9">
        <v>958</v>
      </c>
      <c r="H1704" s="5" t="s">
        <v>20</v>
      </c>
      <c r="I1704" s="5" t="s">
        <v>4133</v>
      </c>
      <c r="J1704" s="12" t="str">
        <f>HYPERLINK("https://www.boe.es/gazeta/dias/1806/11/11/pdfs/GMD-1806-92.pdf#page=10","Abrir facsímil")</f>
        <v>Abrir facsímil</v>
      </c>
      <c r="K1704" s="15" t="s">
        <v>22</v>
      </c>
    </row>
    <row r="1705" spans="1:11" ht="42" customHeight="1">
      <c r="A1705" s="4" t="s">
        <v>4129</v>
      </c>
      <c r="B1705" s="5" t="s">
        <v>4130</v>
      </c>
      <c r="C1705" s="5" t="s">
        <v>69</v>
      </c>
      <c r="D1705" s="5" t="s">
        <v>70</v>
      </c>
      <c r="E1705" s="5" t="s">
        <v>38</v>
      </c>
      <c r="F1705" s="9">
        <v>92</v>
      </c>
      <c r="G1705" s="9">
        <v>959</v>
      </c>
      <c r="H1705" s="5" t="s">
        <v>20</v>
      </c>
      <c r="I1705" s="5" t="s">
        <v>4134</v>
      </c>
      <c r="J1705" s="12" t="str">
        <f>HYPERLINK("https://www.boe.es/gazeta/dias/1806/11/11/pdfs/GMD-1806-92.pdf#page=11","Abrir facsímil")</f>
        <v>Abrir facsímil</v>
      </c>
      <c r="K1705" s="15" t="s">
        <v>22</v>
      </c>
    </row>
    <row r="1706" spans="1:11" ht="42" customHeight="1">
      <c r="A1706" s="4" t="s">
        <v>4135</v>
      </c>
      <c r="B1706" s="5" t="s">
        <v>4136</v>
      </c>
      <c r="C1706" s="5" t="s">
        <v>69</v>
      </c>
      <c r="D1706" s="5" t="s">
        <v>70</v>
      </c>
      <c r="E1706" s="5" t="s">
        <v>540</v>
      </c>
      <c r="F1706" s="9">
        <v>51</v>
      </c>
      <c r="G1706" s="9">
        <v>524</v>
      </c>
      <c r="H1706" s="5" t="s">
        <v>20</v>
      </c>
      <c r="I1706" s="5" t="s">
        <v>4137</v>
      </c>
      <c r="J1706" s="12" t="str">
        <f>HYPERLINK("https://www.boe.es/gazeta/dias/1806/06/20/pdfs/GMD-1806-51.pdf#page=4","Abrir facsímil")</f>
        <v>Abrir facsímil</v>
      </c>
      <c r="K1706" s="15" t="s">
        <v>22</v>
      </c>
    </row>
    <row r="1707" spans="1:11" ht="42" customHeight="1">
      <c r="A1707" s="4" t="s">
        <v>4138</v>
      </c>
      <c r="B1707" s="5" t="s">
        <v>4139</v>
      </c>
      <c r="C1707" s="5" t="s">
        <v>69</v>
      </c>
      <c r="D1707" s="5" t="s">
        <v>70</v>
      </c>
      <c r="E1707" s="5" t="s">
        <v>367</v>
      </c>
      <c r="F1707" s="9">
        <v>87</v>
      </c>
      <c r="G1707" s="9">
        <v>899</v>
      </c>
      <c r="H1707" s="5" t="s">
        <v>20</v>
      </c>
      <c r="I1707" s="5" t="s">
        <v>4140</v>
      </c>
      <c r="J1707" s="12" t="str">
        <f>HYPERLINK("https://www.boe.es/gazeta/dias/1806/10/24/pdfs/GMD-1806-87.pdf#page=7","Abrir facsímil")</f>
        <v>Abrir facsímil</v>
      </c>
      <c r="K1707" s="15" t="s">
        <v>22</v>
      </c>
    </row>
    <row r="1708" spans="1:11" ht="42" customHeight="1">
      <c r="A1708" s="4" t="s">
        <v>4141</v>
      </c>
      <c r="B1708" s="5" t="s">
        <v>4142</v>
      </c>
      <c r="C1708" s="5" t="s">
        <v>31</v>
      </c>
      <c r="D1708" s="5" t="s">
        <v>32</v>
      </c>
      <c r="E1708" s="5" t="s">
        <v>220</v>
      </c>
      <c r="F1708" s="9">
        <v>24</v>
      </c>
      <c r="G1708" s="9">
        <v>232</v>
      </c>
      <c r="H1708" s="5" t="s">
        <v>20</v>
      </c>
      <c r="I1708" s="5" t="s">
        <v>4143</v>
      </c>
      <c r="J1708" s="12" t="str">
        <f>HYPERLINK("https://www.boe.es/gazeta/dias/1806/03/18/pdfs/GMD-1806-24.pdf#page=8","Abrir facsímil")</f>
        <v>Abrir facsímil</v>
      </c>
      <c r="K1708" s="15" t="s">
        <v>22</v>
      </c>
    </row>
    <row r="1709" spans="1:11" ht="42" customHeight="1">
      <c r="A1709" s="4" t="s">
        <v>4144</v>
      </c>
      <c r="B1709" s="5" t="s">
        <v>4145</v>
      </c>
      <c r="C1709" s="5" t="s">
        <v>31</v>
      </c>
      <c r="D1709" s="5" t="s">
        <v>32</v>
      </c>
      <c r="E1709" s="5" t="s">
        <v>124</v>
      </c>
      <c r="F1709" s="9">
        <v>25</v>
      </c>
      <c r="G1709" s="9">
        <v>238</v>
      </c>
      <c r="H1709" s="5" t="s">
        <v>20</v>
      </c>
      <c r="I1709" s="5" t="s">
        <v>4146</v>
      </c>
      <c r="J1709" s="12" t="str">
        <f>HYPERLINK("https://www.boe.es/gazeta/dias/1806/03/21/pdfs/GMD-1806-25.pdf#page=2","Abrir facsímil")</f>
        <v>Abrir facsímil</v>
      </c>
      <c r="K1709" s="15" t="s">
        <v>22</v>
      </c>
    </row>
    <row r="1710" spans="1:11" ht="42" customHeight="1">
      <c r="A1710" s="4" t="s">
        <v>4147</v>
      </c>
      <c r="B1710" s="5" t="s">
        <v>4148</v>
      </c>
      <c r="C1710" s="5" t="s">
        <v>42</v>
      </c>
      <c r="D1710" s="5" t="s">
        <v>43</v>
      </c>
      <c r="E1710" s="5" t="s">
        <v>279</v>
      </c>
      <c r="F1710" s="9">
        <v>52</v>
      </c>
      <c r="G1710" s="9">
        <v>540</v>
      </c>
      <c r="H1710" s="5" t="s">
        <v>20</v>
      </c>
      <c r="I1710" s="5" t="s">
        <v>4149</v>
      </c>
      <c r="J1710" s="12" t="str">
        <f>HYPERLINK("https://www.boe.es/gazeta/dias/1806/06/24/pdfs/GMD-1806-52.pdf#page=8","Abrir facsímil")</f>
        <v>Abrir facsímil</v>
      </c>
      <c r="K1710" s="15" t="s">
        <v>22</v>
      </c>
    </row>
    <row r="1711" spans="1:11" ht="42" customHeight="1">
      <c r="A1711" s="4" t="s">
        <v>4150</v>
      </c>
      <c r="B1711" s="5" t="s">
        <v>4151</v>
      </c>
      <c r="C1711" s="5" t="s">
        <v>31</v>
      </c>
      <c r="D1711" s="5" t="s">
        <v>32</v>
      </c>
      <c r="E1711" s="5" t="s">
        <v>118</v>
      </c>
      <c r="F1711" s="9">
        <v>15</v>
      </c>
      <c r="G1711" s="9">
        <v>134</v>
      </c>
      <c r="H1711" s="5" t="s">
        <v>20</v>
      </c>
      <c r="I1711" s="5" t="s">
        <v>4152</v>
      </c>
      <c r="J1711" s="12" t="str">
        <f>HYPERLINK("https://www.boe.es/gazeta/dias/1806/02/14/pdfs/GMD-1806-15.pdf#page=10","Abrir facsímil")</f>
        <v>Abrir facsímil</v>
      </c>
      <c r="K1711" s="15" t="s">
        <v>22</v>
      </c>
    </row>
    <row r="1712" spans="1:11" ht="42" customHeight="1">
      <c r="A1712" s="4" t="s">
        <v>4153</v>
      </c>
      <c r="B1712" s="5" t="s">
        <v>4154</v>
      </c>
      <c r="C1712" s="5" t="s">
        <v>31</v>
      </c>
      <c r="D1712" s="5" t="s">
        <v>32</v>
      </c>
      <c r="E1712" s="5" t="s">
        <v>148</v>
      </c>
      <c r="F1712" s="9">
        <v>78</v>
      </c>
      <c r="G1712" s="9">
        <v>803</v>
      </c>
      <c r="H1712" s="5" t="s">
        <v>20</v>
      </c>
      <c r="I1712" s="5" t="s">
        <v>4155</v>
      </c>
      <c r="J1712" s="12" t="str">
        <f>HYPERLINK("https://www.boe.es/gazeta/dias/1806/09/23/pdfs/GMD-1806-78.pdf#page=7","Abrir facsímil")</f>
        <v>Abrir facsímil</v>
      </c>
      <c r="K1712" s="15" t="s">
        <v>22</v>
      </c>
    </row>
    <row r="1713" spans="1:11" ht="42" customHeight="1">
      <c r="A1713" s="4" t="s">
        <v>4156</v>
      </c>
      <c r="B1713" s="5" t="s">
        <v>4156</v>
      </c>
      <c r="C1713" s="5" t="s">
        <v>69</v>
      </c>
      <c r="D1713" s="5" t="s">
        <v>70</v>
      </c>
      <c r="E1713" s="5" t="s">
        <v>367</v>
      </c>
      <c r="F1713" s="9">
        <v>87</v>
      </c>
      <c r="G1713" s="9">
        <v>894</v>
      </c>
      <c r="H1713" s="5" t="s">
        <v>20</v>
      </c>
      <c r="I1713" s="5" t="s">
        <v>4157</v>
      </c>
      <c r="J1713" s="12" t="str">
        <f>HYPERLINK("https://www.boe.es/gazeta/dias/1806/10/24/pdfs/GMD-1806-87.pdf#page=2","Abrir facsímil")</f>
        <v>Abrir facsímil</v>
      </c>
      <c r="K1713" s="15" t="s">
        <v>22</v>
      </c>
    </row>
    <row r="1714" spans="1:11" ht="42" customHeight="1">
      <c r="A1714" s="4" t="s">
        <v>4156</v>
      </c>
      <c r="B1714" s="5" t="s">
        <v>4156</v>
      </c>
      <c r="C1714" s="5" t="s">
        <v>69</v>
      </c>
      <c r="D1714" s="5" t="s">
        <v>70</v>
      </c>
      <c r="E1714" s="5" t="s">
        <v>191</v>
      </c>
      <c r="F1714" s="9">
        <v>103</v>
      </c>
      <c r="G1714" s="9">
        <v>1092</v>
      </c>
      <c r="H1714" s="5" t="s">
        <v>20</v>
      </c>
      <c r="I1714" s="5" t="s">
        <v>4158</v>
      </c>
      <c r="J1714" s="12" t="str">
        <f>HYPERLINK("https://www.boe.es/gazeta/dias/1806/12/19/pdfs/GMD-1806-103.pdf#page=4","Abrir facsímil")</f>
        <v>Abrir facsímil</v>
      </c>
      <c r="K1714" s="15" t="s">
        <v>22</v>
      </c>
    </row>
    <row r="1715" spans="1:11" ht="42" customHeight="1">
      <c r="A1715" s="4" t="s">
        <v>4159</v>
      </c>
      <c r="B1715" s="5" t="s">
        <v>4160</v>
      </c>
      <c r="C1715" s="5" t="s">
        <v>75</v>
      </c>
      <c r="D1715" s="5" t="s">
        <v>43</v>
      </c>
      <c r="E1715" s="5" t="s">
        <v>220</v>
      </c>
      <c r="F1715" s="9">
        <v>24</v>
      </c>
      <c r="G1715" s="9">
        <v>235</v>
      </c>
      <c r="H1715" s="5" t="s">
        <v>20</v>
      </c>
      <c r="I1715" s="5" t="s">
        <v>4161</v>
      </c>
      <c r="J1715" s="12" t="str">
        <f>HYPERLINK("https://www.boe.es/gazeta/dias/1806/03/18/pdfs/GMD-1806-24.pdf#page=11","Abrir facsímil")</f>
        <v>Abrir facsímil</v>
      </c>
      <c r="K1715" s="15" t="s">
        <v>22</v>
      </c>
    </row>
    <row r="1716" spans="1:11" ht="42" customHeight="1">
      <c r="A1716" s="4" t="s">
        <v>4159</v>
      </c>
      <c r="B1716" s="5" t="s">
        <v>4160</v>
      </c>
      <c r="C1716" s="5" t="s">
        <v>75</v>
      </c>
      <c r="D1716" s="5" t="s">
        <v>43</v>
      </c>
      <c r="E1716" s="5" t="s">
        <v>90</v>
      </c>
      <c r="F1716" s="9">
        <v>60</v>
      </c>
      <c r="G1716" s="9">
        <v>625</v>
      </c>
      <c r="H1716" s="5" t="s">
        <v>20</v>
      </c>
      <c r="I1716" s="5" t="s">
        <v>4162</v>
      </c>
      <c r="J1716" s="12" t="str">
        <f>HYPERLINK("https://www.boe.es/gazeta/dias/1806/07/22/pdfs/GMD-1806-60.pdf#page=9","Abrir facsímil")</f>
        <v>Abrir facsímil</v>
      </c>
      <c r="K1716" s="15" t="s">
        <v>22</v>
      </c>
    </row>
    <row r="1717" spans="1:11" ht="42" customHeight="1">
      <c r="A1717" s="4" t="s">
        <v>4159</v>
      </c>
      <c r="B1717" s="5" t="s">
        <v>4160</v>
      </c>
      <c r="C1717" s="5" t="s">
        <v>75</v>
      </c>
      <c r="D1717" s="5" t="s">
        <v>43</v>
      </c>
      <c r="E1717" s="5" t="s">
        <v>209</v>
      </c>
      <c r="F1717" s="9">
        <v>95</v>
      </c>
      <c r="G1717" s="9">
        <v>1007</v>
      </c>
      <c r="H1717" s="5" t="s">
        <v>20</v>
      </c>
      <c r="I1717" s="5" t="s">
        <v>4163</v>
      </c>
      <c r="J1717" s="12" t="str">
        <f>HYPERLINK("https://www.boe.es/gazeta/dias/1806/11/21/pdfs/GMD-1806-95.pdf#page=15","Abrir facsímil")</f>
        <v>Abrir facsímil</v>
      </c>
      <c r="K1717" s="15" t="s">
        <v>22</v>
      </c>
    </row>
    <row r="1718" spans="1:11" ht="42" customHeight="1">
      <c r="A1718" s="4" t="s">
        <v>4164</v>
      </c>
      <c r="B1718" s="5" t="s">
        <v>4164</v>
      </c>
      <c r="C1718" s="5" t="s">
        <v>75</v>
      </c>
      <c r="D1718" s="5" t="s">
        <v>43</v>
      </c>
      <c r="E1718" s="5" t="s">
        <v>48</v>
      </c>
      <c r="F1718" s="9">
        <v>67</v>
      </c>
      <c r="G1718" s="9">
        <v>699</v>
      </c>
      <c r="H1718" s="5" t="s">
        <v>20</v>
      </c>
      <c r="I1718" s="5" t="s">
        <v>4165</v>
      </c>
      <c r="J1718" s="12" t="str">
        <f>HYPERLINK("https://www.boe.es/gazeta/dias/1806/08/15/pdfs/GMD-1806-67.pdf#page=7","Abrir facsímil")</f>
        <v>Abrir facsímil</v>
      </c>
      <c r="K1718" s="15" t="s">
        <v>22</v>
      </c>
    </row>
    <row r="1719" spans="1:11" ht="42" customHeight="1">
      <c r="A1719" s="4" t="s">
        <v>4166</v>
      </c>
      <c r="B1719" s="5" t="s">
        <v>4167</v>
      </c>
      <c r="C1719" s="5" t="s">
        <v>69</v>
      </c>
      <c r="D1719" s="5" t="s">
        <v>70</v>
      </c>
      <c r="E1719" s="5" t="s">
        <v>271</v>
      </c>
      <c r="F1719" s="9">
        <v>6</v>
      </c>
      <c r="G1719" s="9">
        <v>45</v>
      </c>
      <c r="H1719" s="5" t="s">
        <v>20</v>
      </c>
      <c r="I1719" s="5" t="s">
        <v>4168</v>
      </c>
      <c r="J1719" s="12" t="str">
        <f>HYPERLINK("https://www.boe.es/gazeta/dias/1806/01/17/pdfs/GMD-1806-6.pdf#page=1","Abrir facsímil")</f>
        <v>Abrir facsímil</v>
      </c>
      <c r="K1719" s="15" t="s">
        <v>22</v>
      </c>
    </row>
    <row r="1720" spans="1:11" ht="42" customHeight="1">
      <c r="A1720" s="4" t="s">
        <v>4166</v>
      </c>
      <c r="B1720" s="5" t="s">
        <v>4167</v>
      </c>
      <c r="C1720" s="5" t="s">
        <v>31</v>
      </c>
      <c r="D1720" s="5" t="s">
        <v>32</v>
      </c>
      <c r="E1720" s="5" t="s">
        <v>474</v>
      </c>
      <c r="F1720" s="9">
        <v>10</v>
      </c>
      <c r="G1720" s="9">
        <v>91</v>
      </c>
      <c r="H1720" s="5" t="s">
        <v>20</v>
      </c>
      <c r="I1720" s="5" t="s">
        <v>4169</v>
      </c>
      <c r="J1720" s="12" t="str">
        <f>HYPERLINK("https://www.boe.es/gazeta/dias/1806/01/28/pdfs/GMD-1806-10.pdf#page=7","Abrir facsímil")</f>
        <v>Abrir facsímil</v>
      </c>
      <c r="K1720" s="15" t="s">
        <v>22</v>
      </c>
    </row>
    <row r="1721" spans="1:11" ht="42" customHeight="1">
      <c r="A1721" s="4" t="s">
        <v>4170</v>
      </c>
      <c r="B1721" s="5" t="s">
        <v>4171</v>
      </c>
      <c r="C1721" s="5" t="s">
        <v>69</v>
      </c>
      <c r="D1721" s="5" t="s">
        <v>70</v>
      </c>
      <c r="E1721" s="5" t="s">
        <v>657</v>
      </c>
      <c r="F1721" s="9">
        <v>96</v>
      </c>
      <c r="G1721" s="9">
        <v>1017</v>
      </c>
      <c r="H1721" s="5" t="s">
        <v>20</v>
      </c>
      <c r="I1721" s="5" t="s">
        <v>4172</v>
      </c>
      <c r="J1721" s="12" t="str">
        <f>HYPERLINK("https://www.boe.es/gazeta/dias/1806/11/25/pdfs/GMD-1806-96.pdf#page=9","Abrir facsímil")</f>
        <v>Abrir facsímil</v>
      </c>
      <c r="K1721" s="15" t="s">
        <v>22</v>
      </c>
    </row>
    <row r="1722" spans="1:11" ht="42" customHeight="1">
      <c r="A1722" s="4" t="s">
        <v>4173</v>
      </c>
      <c r="B1722" s="5" t="s">
        <v>4174</v>
      </c>
      <c r="C1722" s="5" t="s">
        <v>17</v>
      </c>
      <c r="D1722" s="5" t="s">
        <v>18</v>
      </c>
      <c r="E1722" s="5" t="s">
        <v>290</v>
      </c>
      <c r="F1722" s="9">
        <v>1</v>
      </c>
      <c r="G1722" s="9">
        <v>7</v>
      </c>
      <c r="H1722" s="5" t="s">
        <v>20</v>
      </c>
      <c r="I1722" s="5" t="s">
        <v>4175</v>
      </c>
      <c r="J1722" s="12" t="str">
        <f>HYPERLINK("https://www.boe.es/gazeta/dias/1806/01/03/pdfs/GMD-1806-1.pdf#page=7","Abrir facsímil")</f>
        <v>Abrir facsímil</v>
      </c>
      <c r="K1722" s="15" t="s">
        <v>22</v>
      </c>
    </row>
    <row r="1723" spans="1:11" ht="42" customHeight="1">
      <c r="A1723" s="4" t="s">
        <v>4176</v>
      </c>
      <c r="B1723" s="5" t="s">
        <v>4176</v>
      </c>
      <c r="C1723" s="5" t="s">
        <v>31</v>
      </c>
      <c r="D1723" s="5" t="s">
        <v>32</v>
      </c>
      <c r="E1723" s="5" t="s">
        <v>220</v>
      </c>
      <c r="F1723" s="9">
        <v>24</v>
      </c>
      <c r="G1723" s="9">
        <v>235</v>
      </c>
      <c r="H1723" s="5" t="s">
        <v>20</v>
      </c>
      <c r="I1723" s="5" t="s">
        <v>4177</v>
      </c>
      <c r="J1723" s="12" t="str">
        <f>HYPERLINK("https://www.boe.es/gazeta/dias/1806/03/18/pdfs/GMD-1806-24.pdf#page=11","Abrir facsímil")</f>
        <v>Abrir facsímil</v>
      </c>
      <c r="K1723" s="15" t="s">
        <v>22</v>
      </c>
    </row>
    <row r="1724" spans="1:11" ht="42" customHeight="1">
      <c r="A1724" s="4" t="s">
        <v>4178</v>
      </c>
      <c r="B1724" s="5" t="s">
        <v>4178</v>
      </c>
      <c r="C1724" s="5" t="s">
        <v>69</v>
      </c>
      <c r="D1724" s="5" t="s">
        <v>70</v>
      </c>
      <c r="E1724" s="5" t="s">
        <v>202</v>
      </c>
      <c r="F1724" s="9">
        <v>30</v>
      </c>
      <c r="G1724" s="9">
        <v>292</v>
      </c>
      <c r="H1724" s="5" t="s">
        <v>20</v>
      </c>
      <c r="I1724" s="5" t="s">
        <v>4179</v>
      </c>
      <c r="J1724" s="12" t="str">
        <f>HYPERLINK("https://www.boe.es/gazeta/dias/1806/04/08/pdfs/GMD-1806-30.pdf#page=4","Abrir facsímil")</f>
        <v>Abrir facsímil</v>
      </c>
      <c r="K1724" s="15" t="s">
        <v>22</v>
      </c>
    </row>
    <row r="1725" spans="1:11" ht="42" customHeight="1">
      <c r="A1725" s="4" t="s">
        <v>4180</v>
      </c>
      <c r="B1725" s="5" t="s">
        <v>4181</v>
      </c>
      <c r="C1725" s="5" t="s">
        <v>69</v>
      </c>
      <c r="D1725" s="5" t="s">
        <v>70</v>
      </c>
      <c r="E1725" s="5" t="s">
        <v>271</v>
      </c>
      <c r="F1725" s="9">
        <v>6</v>
      </c>
      <c r="G1725" s="9">
        <v>46</v>
      </c>
      <c r="H1725" s="5" t="s">
        <v>20</v>
      </c>
      <c r="I1725" s="5" t="s">
        <v>4182</v>
      </c>
      <c r="J1725" s="12" t="str">
        <f>HYPERLINK("https://www.boe.es/gazeta/dias/1806/01/17/pdfs/GMD-1806-6.pdf#page=2","Abrir facsímil")</f>
        <v>Abrir facsímil</v>
      </c>
      <c r="K1725" s="15" t="s">
        <v>22</v>
      </c>
    </row>
    <row r="1726" spans="1:11" ht="42" customHeight="1">
      <c r="A1726" s="4" t="s">
        <v>4183</v>
      </c>
      <c r="B1726" s="5" t="s">
        <v>4184</v>
      </c>
      <c r="C1726" s="5" t="s">
        <v>69</v>
      </c>
      <c r="D1726" s="5" t="s">
        <v>70</v>
      </c>
      <c r="E1726" s="5" t="s">
        <v>540</v>
      </c>
      <c r="F1726" s="9">
        <v>51</v>
      </c>
      <c r="G1726" s="9">
        <v>524</v>
      </c>
      <c r="H1726" s="5" t="s">
        <v>20</v>
      </c>
      <c r="I1726" s="5" t="s">
        <v>4185</v>
      </c>
      <c r="J1726" s="12" t="str">
        <f>HYPERLINK("https://www.boe.es/gazeta/dias/1806/06/20/pdfs/GMD-1806-51.pdf#page=4","Abrir facsímil")</f>
        <v>Abrir facsímil</v>
      </c>
      <c r="K1726" s="15" t="s">
        <v>22</v>
      </c>
    </row>
    <row r="1727" spans="1:11" ht="42" customHeight="1">
      <c r="A1727" s="4" t="s">
        <v>4186</v>
      </c>
      <c r="B1727" s="5" t="s">
        <v>4187</v>
      </c>
      <c r="C1727" s="5" t="s">
        <v>17</v>
      </c>
      <c r="D1727" s="5" t="s">
        <v>18</v>
      </c>
      <c r="E1727" s="5" t="s">
        <v>103</v>
      </c>
      <c r="F1727" s="9">
        <v>61</v>
      </c>
      <c r="G1727" s="9">
        <v>640</v>
      </c>
      <c r="H1727" s="5" t="s">
        <v>20</v>
      </c>
      <c r="I1727" s="5" t="s">
        <v>4188</v>
      </c>
      <c r="J1727" s="12" t="str">
        <f>HYPERLINK("https://www.boe.es/gazeta/dias/1806/07/25/pdfs/GMD-1806-61.pdf#page=12","Abrir facsímil")</f>
        <v>Abrir facsímil</v>
      </c>
      <c r="K1727" s="15" t="s">
        <v>22</v>
      </c>
    </row>
    <row r="1728" spans="1:11" ht="42" customHeight="1">
      <c r="A1728" s="4" t="s">
        <v>4189</v>
      </c>
      <c r="B1728" s="5" t="s">
        <v>4190</v>
      </c>
      <c r="C1728" s="5" t="s">
        <v>31</v>
      </c>
      <c r="D1728" s="5" t="s">
        <v>32</v>
      </c>
      <c r="E1728" s="5" t="s">
        <v>55</v>
      </c>
      <c r="F1728" s="9">
        <v>20</v>
      </c>
      <c r="G1728" s="9">
        <v>185</v>
      </c>
      <c r="H1728" s="5" t="s">
        <v>20</v>
      </c>
      <c r="I1728" s="5" t="s">
        <v>4191</v>
      </c>
      <c r="J1728" s="12" t="str">
        <f>HYPERLINK("https://www.boe.es/gazeta/dias/1806/03/04/pdfs/GMD-1806-20.pdf#page=9","Abrir facsímil")</f>
        <v>Abrir facsímil</v>
      </c>
      <c r="K1728" s="15" t="s">
        <v>22</v>
      </c>
    </row>
    <row r="1729" spans="1:11" ht="42" customHeight="1">
      <c r="A1729" s="4" t="s">
        <v>4192</v>
      </c>
      <c r="B1729" s="5" t="s">
        <v>4193</v>
      </c>
      <c r="C1729" s="5" t="s">
        <v>17</v>
      </c>
      <c r="D1729" s="5" t="s">
        <v>18</v>
      </c>
      <c r="E1729" s="5" t="s">
        <v>209</v>
      </c>
      <c r="F1729" s="9">
        <v>95</v>
      </c>
      <c r="G1729" s="9">
        <v>998</v>
      </c>
      <c r="H1729" s="5" t="s">
        <v>20</v>
      </c>
      <c r="I1729" s="5" t="s">
        <v>4194</v>
      </c>
      <c r="J1729" s="12" t="str">
        <f>HYPERLINK("https://www.boe.es/gazeta/dias/1806/11/21/pdfs/GMD-1806-95.pdf#page=6","Abrir facsímil")</f>
        <v>Abrir facsímil</v>
      </c>
      <c r="K1729" s="15" t="s">
        <v>22</v>
      </c>
    </row>
    <row r="1730" spans="1:11" ht="42" customHeight="1">
      <c r="A1730" s="4" t="s">
        <v>4195</v>
      </c>
      <c r="B1730" s="5" t="s">
        <v>4195</v>
      </c>
      <c r="C1730" s="5" t="s">
        <v>69</v>
      </c>
      <c r="D1730" s="5" t="s">
        <v>70</v>
      </c>
      <c r="E1730" s="5" t="s">
        <v>363</v>
      </c>
      <c r="F1730" s="9">
        <v>8</v>
      </c>
      <c r="G1730" s="9">
        <v>72</v>
      </c>
      <c r="H1730" s="5" t="s">
        <v>20</v>
      </c>
      <c r="I1730" s="5" t="s">
        <v>4196</v>
      </c>
      <c r="J1730" s="12" t="str">
        <f>HYPERLINK("https://www.boe.es/gazeta/dias/1806/01/24/pdfs/GMD-1806-8.pdf#page=4","Abrir facsímil")</f>
        <v>Abrir facsímil</v>
      </c>
      <c r="K1730" s="15" t="s">
        <v>22</v>
      </c>
    </row>
    <row r="1731" spans="1:11" ht="42" customHeight="1">
      <c r="A1731" s="4" t="s">
        <v>4197</v>
      </c>
      <c r="B1731" s="5" t="s">
        <v>4197</v>
      </c>
      <c r="C1731" s="5" t="s">
        <v>69</v>
      </c>
      <c r="D1731" s="5" t="s">
        <v>70</v>
      </c>
      <c r="E1731" s="5" t="s">
        <v>494</v>
      </c>
      <c r="F1731" s="9">
        <v>69</v>
      </c>
      <c r="G1731" s="9">
        <v>719</v>
      </c>
      <c r="H1731" s="5" t="s">
        <v>20</v>
      </c>
      <c r="I1731" s="5" t="s">
        <v>4198</v>
      </c>
      <c r="J1731" s="12" t="str">
        <f>HYPERLINK("https://www.boe.es/gazeta/dias/1806/08/22/pdfs/GMD-1806-69.pdf#page=7","Abrir facsímil")</f>
        <v>Abrir facsímil</v>
      </c>
      <c r="K1731" s="15" t="s">
        <v>22</v>
      </c>
    </row>
    <row r="1732" spans="1:11" ht="42" customHeight="1">
      <c r="A1732" s="4" t="s">
        <v>4197</v>
      </c>
      <c r="B1732" s="5" t="s">
        <v>4197</v>
      </c>
      <c r="C1732" s="5" t="s">
        <v>69</v>
      </c>
      <c r="D1732" s="5" t="s">
        <v>70</v>
      </c>
      <c r="E1732" s="5" t="s">
        <v>140</v>
      </c>
      <c r="F1732" s="9">
        <v>83</v>
      </c>
      <c r="G1732" s="9">
        <v>856</v>
      </c>
      <c r="H1732" s="5" t="s">
        <v>20</v>
      </c>
      <c r="I1732" s="5" t="s">
        <v>4199</v>
      </c>
      <c r="J1732" s="12" t="str">
        <f>HYPERLINK("https://www.boe.es/gazeta/dias/1806/10/10/pdfs/GMD-1806-83.pdf#page=4","Abrir facsímil")</f>
        <v>Abrir facsímil</v>
      </c>
      <c r="K1732" s="15" t="s">
        <v>22</v>
      </c>
    </row>
    <row r="1733" spans="1:11" ht="42" customHeight="1">
      <c r="A1733" s="4" t="s">
        <v>4200</v>
      </c>
      <c r="B1733" s="5" t="s">
        <v>4200</v>
      </c>
      <c r="C1733" s="5" t="s">
        <v>69</v>
      </c>
      <c r="D1733" s="5" t="s">
        <v>70</v>
      </c>
      <c r="E1733" s="5" t="s">
        <v>494</v>
      </c>
      <c r="F1733" s="9">
        <v>69</v>
      </c>
      <c r="G1733" s="9">
        <v>719</v>
      </c>
      <c r="H1733" s="5" t="s">
        <v>20</v>
      </c>
      <c r="I1733" s="5" t="s">
        <v>4201</v>
      </c>
      <c r="J1733" s="12" t="str">
        <f>HYPERLINK("https://www.boe.es/gazeta/dias/1806/08/22/pdfs/GMD-1806-69.pdf#page=7","Abrir facsímil")</f>
        <v>Abrir facsímil</v>
      </c>
      <c r="K1733" s="15" t="s">
        <v>22</v>
      </c>
    </row>
    <row r="1734" spans="1:11" ht="42" customHeight="1">
      <c r="A1734" s="4" t="s">
        <v>4202</v>
      </c>
      <c r="B1734" s="5" t="s">
        <v>4202</v>
      </c>
      <c r="C1734" s="5" t="s">
        <v>69</v>
      </c>
      <c r="D1734" s="5" t="s">
        <v>70</v>
      </c>
      <c r="E1734" s="5" t="s">
        <v>140</v>
      </c>
      <c r="F1734" s="9">
        <v>83</v>
      </c>
      <c r="G1734" s="9">
        <v>856</v>
      </c>
      <c r="H1734" s="5" t="s">
        <v>20</v>
      </c>
      <c r="I1734" s="5" t="s">
        <v>4203</v>
      </c>
      <c r="J1734" s="12" t="str">
        <f>HYPERLINK("https://www.boe.es/gazeta/dias/1806/10/10/pdfs/GMD-1806-83.pdf#page=4","Abrir facsímil")</f>
        <v>Abrir facsímil</v>
      </c>
      <c r="K1734" s="15" t="s">
        <v>22</v>
      </c>
    </row>
    <row r="1735" spans="1:11" ht="42" customHeight="1">
      <c r="A1735" s="4" t="s">
        <v>4204</v>
      </c>
      <c r="B1735" s="5" t="s">
        <v>4204</v>
      </c>
      <c r="C1735" s="5" t="s">
        <v>75</v>
      </c>
      <c r="D1735" s="5" t="s">
        <v>43</v>
      </c>
      <c r="E1735" s="5" t="s">
        <v>304</v>
      </c>
      <c r="F1735" s="9">
        <v>47</v>
      </c>
      <c r="G1735" s="9">
        <v>474</v>
      </c>
      <c r="H1735" s="5" t="s">
        <v>20</v>
      </c>
      <c r="I1735" s="5" t="s">
        <v>4205</v>
      </c>
      <c r="J1735" s="12" t="str">
        <f>HYPERLINK("https://www.boe.es/gazeta/dias/1806/06/06/pdfs/GMD-1806-47.pdf#page=2","Abrir facsímil")</f>
        <v>Abrir facsímil</v>
      </c>
      <c r="K1735" s="15" t="s">
        <v>22</v>
      </c>
    </row>
    <row r="1736" spans="1:11" ht="42" customHeight="1">
      <c r="A1736" s="4" t="s">
        <v>4206</v>
      </c>
      <c r="B1736" s="5" t="s">
        <v>4207</v>
      </c>
      <c r="C1736" s="5" t="s">
        <v>17</v>
      </c>
      <c r="D1736" s="5" t="s">
        <v>18</v>
      </c>
      <c r="E1736" s="5" t="s">
        <v>430</v>
      </c>
      <c r="F1736" s="9">
        <v>12</v>
      </c>
      <c r="G1736" s="9">
        <v>106</v>
      </c>
      <c r="H1736" s="5" t="s">
        <v>20</v>
      </c>
      <c r="I1736" s="5" t="s">
        <v>4208</v>
      </c>
      <c r="J1736" s="12" t="str">
        <f>HYPERLINK("https://www.boe.es/gazeta/dias/1806/02/04/pdfs/GMD-1806-12.pdf#page=6","Abrir facsímil")</f>
        <v>Abrir facsímil</v>
      </c>
      <c r="K1736" s="15" t="s">
        <v>22</v>
      </c>
    </row>
    <row r="1737" spans="1:11" ht="42" customHeight="1">
      <c r="A1737" s="4" t="s">
        <v>4209</v>
      </c>
      <c r="B1737" s="5" t="s">
        <v>4210</v>
      </c>
      <c r="C1737" s="5" t="s">
        <v>69</v>
      </c>
      <c r="D1737" s="5" t="s">
        <v>70</v>
      </c>
      <c r="E1737" s="5" t="s">
        <v>483</v>
      </c>
      <c r="F1737" s="9">
        <v>58</v>
      </c>
      <c r="G1737" s="9">
        <v>598</v>
      </c>
      <c r="H1737" s="5" t="s">
        <v>20</v>
      </c>
      <c r="I1737" s="5" t="s">
        <v>4211</v>
      </c>
      <c r="J1737" s="12" t="str">
        <f>HYPERLINK("https://www.boe.es/gazeta/dias/1806/07/15/pdfs/GMD-1806-58.pdf#page=2","Abrir facsímil")</f>
        <v>Abrir facsímil</v>
      </c>
      <c r="K1737" s="15" t="s">
        <v>22</v>
      </c>
    </row>
    <row r="1738" spans="1:11" ht="42" customHeight="1">
      <c r="A1738" s="4" t="s">
        <v>4212</v>
      </c>
      <c r="B1738" s="5" t="s">
        <v>4213</v>
      </c>
      <c r="C1738" s="5" t="s">
        <v>36</v>
      </c>
      <c r="D1738" s="5" t="s">
        <v>37</v>
      </c>
      <c r="E1738" s="5" t="s">
        <v>501</v>
      </c>
      <c r="F1738" s="9">
        <v>39</v>
      </c>
      <c r="G1738" s="9">
        <v>387</v>
      </c>
      <c r="H1738" s="5" t="s">
        <v>20</v>
      </c>
      <c r="I1738" s="5" t="s">
        <v>4214</v>
      </c>
      <c r="J1738" s="12" t="str">
        <f>HYPERLINK("https://www.boe.es/gazeta/dias/1806/05/09/pdfs/GMD-1806-39.pdf#page=11","Abrir facsímil")</f>
        <v>Abrir facsímil</v>
      </c>
      <c r="K1738" s="15" t="s">
        <v>22</v>
      </c>
    </row>
    <row r="1739" spans="1:11" ht="42" customHeight="1">
      <c r="A1739" s="4" t="s">
        <v>4215</v>
      </c>
      <c r="B1739" s="5" t="s">
        <v>4215</v>
      </c>
      <c r="C1739" s="5" t="s">
        <v>31</v>
      </c>
      <c r="D1739" s="5" t="s">
        <v>32</v>
      </c>
      <c r="E1739" s="5" t="s">
        <v>689</v>
      </c>
      <c r="F1739" s="9">
        <v>37</v>
      </c>
      <c r="G1739" s="9">
        <v>363</v>
      </c>
      <c r="H1739" s="5" t="s">
        <v>20</v>
      </c>
      <c r="I1739" s="5" t="s">
        <v>4216</v>
      </c>
      <c r="J1739" s="12" t="str">
        <f>HYPERLINK("https://www.boe.es/gazeta/dias/1806/05/02/pdfs/GMD-1806-37.pdf#page=11","Abrir facsímil")</f>
        <v>Abrir facsímil</v>
      </c>
      <c r="K1739" s="15" t="s">
        <v>22</v>
      </c>
    </row>
    <row r="1740" spans="1:11" ht="42" customHeight="1">
      <c r="A1740" s="4" t="s">
        <v>4217</v>
      </c>
      <c r="B1740" s="5" t="s">
        <v>4218</v>
      </c>
      <c r="C1740" s="5" t="s">
        <v>17</v>
      </c>
      <c r="D1740" s="5" t="s">
        <v>18</v>
      </c>
      <c r="E1740" s="5" t="s">
        <v>220</v>
      </c>
      <c r="F1740" s="9">
        <v>24</v>
      </c>
      <c r="G1740" s="9">
        <v>234</v>
      </c>
      <c r="H1740" s="5" t="s">
        <v>20</v>
      </c>
      <c r="I1740" s="5" t="s">
        <v>4219</v>
      </c>
      <c r="J1740" s="12" t="str">
        <f>HYPERLINK("https://www.boe.es/gazeta/dias/1806/03/18/pdfs/GMD-1806-24.pdf#page=10","Abrir facsímil")</f>
        <v>Abrir facsímil</v>
      </c>
      <c r="K1740" s="15" t="s">
        <v>22</v>
      </c>
    </row>
    <row r="1741" spans="1:11" ht="42" customHeight="1">
      <c r="A1741" s="4" t="s">
        <v>4220</v>
      </c>
      <c r="B1741" s="5" t="s">
        <v>4221</v>
      </c>
      <c r="C1741" s="5" t="s">
        <v>17</v>
      </c>
      <c r="D1741" s="5" t="s">
        <v>18</v>
      </c>
      <c r="E1741" s="5" t="s">
        <v>209</v>
      </c>
      <c r="F1741" s="9">
        <v>95</v>
      </c>
      <c r="G1741" s="9">
        <v>1007</v>
      </c>
      <c r="H1741" s="5" t="s">
        <v>20</v>
      </c>
      <c r="I1741" s="5" t="s">
        <v>4222</v>
      </c>
      <c r="J1741" s="12" t="str">
        <f>HYPERLINK("https://www.boe.es/gazeta/dias/1806/11/21/pdfs/GMD-1806-95.pdf#page=15","Abrir facsímil")</f>
        <v>Abrir facsímil</v>
      </c>
      <c r="K1741" s="15" t="s">
        <v>22</v>
      </c>
    </row>
    <row r="1742" spans="1:11" ht="42" customHeight="1">
      <c r="A1742" s="4" t="s">
        <v>4223</v>
      </c>
      <c r="B1742" s="5" t="s">
        <v>4223</v>
      </c>
      <c r="C1742" s="5" t="s">
        <v>69</v>
      </c>
      <c r="D1742" s="5" t="s">
        <v>70</v>
      </c>
      <c r="E1742" s="5" t="s">
        <v>86</v>
      </c>
      <c r="F1742" s="9">
        <v>53</v>
      </c>
      <c r="G1742" s="9">
        <v>547</v>
      </c>
      <c r="H1742" s="5" t="s">
        <v>20</v>
      </c>
      <c r="I1742" s="5" t="s">
        <v>4224</v>
      </c>
      <c r="J1742" s="12" t="str">
        <f>HYPERLINK("https://www.boe.es/gazeta/dias/1806/06/27/pdfs/GMD-1806-53.pdf#page=3","Abrir facsímil")</f>
        <v>Abrir facsímil</v>
      </c>
      <c r="K1742" s="15" t="s">
        <v>22</v>
      </c>
    </row>
    <row r="1743" spans="1:11" ht="42" customHeight="1">
      <c r="A1743" s="4" t="s">
        <v>4225</v>
      </c>
      <c r="B1743" s="5" t="s">
        <v>4225</v>
      </c>
      <c r="C1743" s="5" t="s">
        <v>17</v>
      </c>
      <c r="D1743" s="5" t="s">
        <v>18</v>
      </c>
      <c r="E1743" s="5" t="s">
        <v>580</v>
      </c>
      <c r="F1743" s="9">
        <v>23</v>
      </c>
      <c r="G1743" s="9">
        <v>218</v>
      </c>
      <c r="H1743" s="5" t="s">
        <v>20</v>
      </c>
      <c r="I1743" s="5" t="s">
        <v>4226</v>
      </c>
      <c r="J1743" s="12" t="str">
        <f>HYPERLINK("https://www.boe.es/gazeta/dias/1806/03/14/pdfs/GMD-1806-23.pdf#page=6","Abrir facsímil")</f>
        <v>Abrir facsímil</v>
      </c>
      <c r="K1743" s="15" t="s">
        <v>22</v>
      </c>
    </row>
    <row r="1744" spans="1:11" ht="42" customHeight="1">
      <c r="A1744" s="4" t="s">
        <v>4227</v>
      </c>
      <c r="B1744" s="5" t="s">
        <v>4227</v>
      </c>
      <c r="C1744" s="5" t="s">
        <v>69</v>
      </c>
      <c r="D1744" s="5" t="s">
        <v>70</v>
      </c>
      <c r="E1744" s="5" t="s">
        <v>93</v>
      </c>
      <c r="F1744" s="9">
        <v>72</v>
      </c>
      <c r="G1744" s="9">
        <v>743</v>
      </c>
      <c r="H1744" s="5" t="s">
        <v>20</v>
      </c>
      <c r="I1744" s="5" t="s">
        <v>4228</v>
      </c>
      <c r="J1744" s="12" t="str">
        <f>HYPERLINK("https://www.boe.es/gazeta/dias/1806/09/02/pdfs/GMD-1806-72.pdf#page=3","Abrir facsímil")</f>
        <v>Abrir facsímil</v>
      </c>
      <c r="K1744" s="15" t="s">
        <v>22</v>
      </c>
    </row>
    <row r="1745" spans="1:11" ht="42" customHeight="1">
      <c r="A1745" s="4" t="s">
        <v>4229</v>
      </c>
      <c r="B1745" s="5" t="s">
        <v>4229</v>
      </c>
      <c r="C1745" s="5" t="s">
        <v>69</v>
      </c>
      <c r="D1745" s="5" t="s">
        <v>70</v>
      </c>
      <c r="E1745" s="5" t="s">
        <v>434</v>
      </c>
      <c r="F1745" s="9">
        <v>74</v>
      </c>
      <c r="G1745" s="9">
        <v>764</v>
      </c>
      <c r="H1745" s="5" t="s">
        <v>20</v>
      </c>
      <c r="I1745" s="5" t="s">
        <v>4230</v>
      </c>
      <c r="J1745" s="12" t="str">
        <f>HYPERLINK("https://www.boe.es/gazeta/dias/1806/09/09/pdfs/GMD-1806-74.pdf#page=4","Abrir facsímil")</f>
        <v>Abrir facsímil</v>
      </c>
      <c r="K1745" s="15" t="s">
        <v>22</v>
      </c>
    </row>
    <row r="1746" spans="1:11" ht="42" customHeight="1">
      <c r="A1746" s="4" t="s">
        <v>4229</v>
      </c>
      <c r="B1746" s="5" t="s">
        <v>4229</v>
      </c>
      <c r="C1746" s="5" t="s">
        <v>31</v>
      </c>
      <c r="D1746" s="5" t="s">
        <v>32</v>
      </c>
      <c r="E1746" s="5" t="s">
        <v>570</v>
      </c>
      <c r="F1746" s="9">
        <v>93</v>
      </c>
      <c r="G1746" s="9">
        <v>966</v>
      </c>
      <c r="H1746" s="5" t="s">
        <v>20</v>
      </c>
      <c r="I1746" s="5" t="s">
        <v>4231</v>
      </c>
      <c r="J1746" s="12" t="str">
        <f>HYPERLINK("https://www.boe.es/gazeta/dias/1806/11/14/pdfs/GMD-1806-93.pdf#page=2","Abrir facsímil")</f>
        <v>Abrir facsímil</v>
      </c>
      <c r="K1746" s="15" t="s">
        <v>22</v>
      </c>
    </row>
    <row r="1747" spans="1:11" ht="42" customHeight="1">
      <c r="A1747" s="4" t="s">
        <v>4232</v>
      </c>
      <c r="B1747" s="5" t="s">
        <v>4232</v>
      </c>
      <c r="C1747" s="5" t="s">
        <v>69</v>
      </c>
      <c r="D1747" s="5" t="s">
        <v>70</v>
      </c>
      <c r="E1747" s="5" t="s">
        <v>175</v>
      </c>
      <c r="F1747" s="9">
        <v>40</v>
      </c>
      <c r="G1747" s="9">
        <v>390</v>
      </c>
      <c r="H1747" s="5" t="s">
        <v>20</v>
      </c>
      <c r="I1747" s="5" t="s">
        <v>4233</v>
      </c>
      <c r="J1747" s="12" t="str">
        <f>HYPERLINK("https://www.boe.es/gazeta/dias/1806/05/13/pdfs/GMD-1806-40.pdf#page=2","Abrir facsímil")</f>
        <v>Abrir facsímil</v>
      </c>
      <c r="K1747" s="15" t="s">
        <v>22</v>
      </c>
    </row>
    <row r="1748" spans="1:11" ht="42" customHeight="1">
      <c r="A1748" s="4" t="s">
        <v>4232</v>
      </c>
      <c r="B1748" s="5" t="s">
        <v>4232</v>
      </c>
      <c r="C1748" s="5" t="s">
        <v>69</v>
      </c>
      <c r="D1748" s="5" t="s">
        <v>70</v>
      </c>
      <c r="E1748" s="5" t="s">
        <v>702</v>
      </c>
      <c r="F1748" s="9">
        <v>43</v>
      </c>
      <c r="G1748" s="9">
        <v>427</v>
      </c>
      <c r="H1748" s="5" t="s">
        <v>20</v>
      </c>
      <c r="I1748" s="5" t="s">
        <v>4234</v>
      </c>
      <c r="J1748" s="12" t="str">
        <f>HYPERLINK("https://www.boe.es/gazeta/dias/1806/05/23/pdfs/GMD-1806-43.pdf#page=3","Abrir facsímil")</f>
        <v>Abrir facsímil</v>
      </c>
      <c r="K1748" s="15" t="s">
        <v>22</v>
      </c>
    </row>
    <row r="1749" spans="1:11" ht="42" customHeight="1">
      <c r="A1749" s="4" t="s">
        <v>4235</v>
      </c>
      <c r="B1749" s="5" t="s">
        <v>4235</v>
      </c>
      <c r="C1749" s="5" t="s">
        <v>69</v>
      </c>
      <c r="D1749" s="5" t="s">
        <v>70</v>
      </c>
      <c r="E1749" s="5" t="s">
        <v>309</v>
      </c>
      <c r="F1749" s="9">
        <v>41</v>
      </c>
      <c r="G1749" s="9">
        <v>402</v>
      </c>
      <c r="H1749" s="5" t="s">
        <v>20</v>
      </c>
      <c r="I1749" s="5" t="s">
        <v>4236</v>
      </c>
      <c r="J1749" s="12" t="str">
        <f>HYPERLINK("https://www.boe.es/gazeta/dias/1806/05/16/pdfs/GMD-1806-41.pdf#page=2","Abrir facsímil")</f>
        <v>Abrir facsímil</v>
      </c>
      <c r="K1749" s="15" t="s">
        <v>22</v>
      </c>
    </row>
    <row r="1750" spans="1:11" ht="42" customHeight="1">
      <c r="A1750" s="4" t="s">
        <v>4237</v>
      </c>
      <c r="B1750" s="5" t="s">
        <v>4237</v>
      </c>
      <c r="C1750" s="5" t="s">
        <v>69</v>
      </c>
      <c r="D1750" s="5" t="s">
        <v>70</v>
      </c>
      <c r="E1750" s="5" t="s">
        <v>62</v>
      </c>
      <c r="F1750" s="9">
        <v>45</v>
      </c>
      <c r="G1750" s="9">
        <v>451</v>
      </c>
      <c r="H1750" s="5" t="s">
        <v>20</v>
      </c>
      <c r="I1750" s="5" t="s">
        <v>4238</v>
      </c>
      <c r="J1750" s="12" t="str">
        <f>HYPERLINK("https://www.boe.es/gazeta/dias/1806/05/30/pdfs/GMD-1806-45.pdf#page=3","Abrir facsímil")</f>
        <v>Abrir facsímil</v>
      </c>
      <c r="K1750" s="15" t="s">
        <v>22</v>
      </c>
    </row>
    <row r="1751" spans="1:11" ht="42" customHeight="1">
      <c r="A1751" s="4" t="s">
        <v>4239</v>
      </c>
      <c r="B1751" s="5" t="s">
        <v>4239</v>
      </c>
      <c r="C1751" s="5" t="s">
        <v>17</v>
      </c>
      <c r="D1751" s="5" t="s">
        <v>18</v>
      </c>
      <c r="E1751" s="5" t="s">
        <v>689</v>
      </c>
      <c r="F1751" s="9">
        <v>37</v>
      </c>
      <c r="G1751" s="9">
        <v>358</v>
      </c>
      <c r="H1751" s="5" t="s">
        <v>20</v>
      </c>
      <c r="I1751" s="5" t="s">
        <v>4240</v>
      </c>
      <c r="J1751" s="12" t="str">
        <f>HYPERLINK("https://www.boe.es/gazeta/dias/1806/05/02/pdfs/GMD-1806-37.pdf#page=6","Abrir facsímil")</f>
        <v>Abrir facsímil</v>
      </c>
      <c r="K1751" s="15" t="s">
        <v>22</v>
      </c>
    </row>
    <row r="1752" spans="1:11" ht="42" customHeight="1">
      <c r="A1752" s="4" t="s">
        <v>4241</v>
      </c>
      <c r="B1752" s="5" t="s">
        <v>4241</v>
      </c>
      <c r="C1752" s="5" t="s">
        <v>69</v>
      </c>
      <c r="D1752" s="5" t="s">
        <v>70</v>
      </c>
      <c r="E1752" s="5" t="s">
        <v>501</v>
      </c>
      <c r="F1752" s="9">
        <v>39</v>
      </c>
      <c r="G1752" s="9">
        <v>378</v>
      </c>
      <c r="H1752" s="5" t="s">
        <v>20</v>
      </c>
      <c r="I1752" s="5" t="s">
        <v>4242</v>
      </c>
      <c r="J1752" s="12" t="str">
        <f>HYPERLINK("https://www.boe.es/gazeta/dias/1806/05/09/pdfs/GMD-1806-39.pdf#page=2","Abrir facsímil")</f>
        <v>Abrir facsímil</v>
      </c>
      <c r="K1752" s="15" t="s">
        <v>22</v>
      </c>
    </row>
    <row r="1753" spans="1:11" ht="42" customHeight="1">
      <c r="A1753" s="4" t="s">
        <v>4243</v>
      </c>
      <c r="B1753" s="5" t="s">
        <v>4243</v>
      </c>
      <c r="C1753" s="5" t="s">
        <v>75</v>
      </c>
      <c r="D1753" s="5" t="s">
        <v>43</v>
      </c>
      <c r="E1753" s="5" t="s">
        <v>55</v>
      </c>
      <c r="F1753" s="9">
        <v>20</v>
      </c>
      <c r="G1753" s="9">
        <v>178</v>
      </c>
      <c r="H1753" s="5" t="s">
        <v>20</v>
      </c>
      <c r="I1753" s="5" t="s">
        <v>4244</v>
      </c>
      <c r="J1753" s="12" t="str">
        <f>HYPERLINK("https://www.boe.es/gazeta/dias/1806/03/04/pdfs/GMD-1806-20.pdf#page=2","Abrir facsímil")</f>
        <v>Abrir facsímil</v>
      </c>
      <c r="K1753" s="15" t="s">
        <v>22</v>
      </c>
    </row>
    <row r="1754" spans="1:11" ht="42" customHeight="1">
      <c r="A1754" s="4" t="s">
        <v>4245</v>
      </c>
      <c r="B1754" s="5" t="s">
        <v>4245</v>
      </c>
      <c r="C1754" s="5" t="s">
        <v>69</v>
      </c>
      <c r="D1754" s="5" t="s">
        <v>70</v>
      </c>
      <c r="E1754" s="5" t="s">
        <v>348</v>
      </c>
      <c r="F1754" s="9">
        <v>88</v>
      </c>
      <c r="G1754" s="9">
        <v>909</v>
      </c>
      <c r="H1754" s="5" t="s">
        <v>20</v>
      </c>
      <c r="I1754" s="5" t="s">
        <v>4246</v>
      </c>
      <c r="J1754" s="12" t="str">
        <f>HYPERLINK("https://www.boe.es/gazeta/dias/1806/10/28/pdfs/GMD-1806-88.pdf#page=5","Abrir facsímil")</f>
        <v>Abrir facsímil</v>
      </c>
      <c r="K1754" s="15" t="s">
        <v>22</v>
      </c>
    </row>
    <row r="1755" spans="1:11" ht="42" customHeight="1">
      <c r="A1755" s="4" t="s">
        <v>4247</v>
      </c>
      <c r="B1755" s="5" t="s">
        <v>4247</v>
      </c>
      <c r="C1755" s="5" t="s">
        <v>17</v>
      </c>
      <c r="D1755" s="5" t="s">
        <v>18</v>
      </c>
      <c r="E1755" s="5" t="s">
        <v>580</v>
      </c>
      <c r="F1755" s="9">
        <v>23</v>
      </c>
      <c r="G1755" s="9">
        <v>217</v>
      </c>
      <c r="H1755" s="5" t="s">
        <v>20</v>
      </c>
      <c r="I1755" s="5" t="s">
        <v>4248</v>
      </c>
      <c r="J1755" s="12" t="str">
        <f>HYPERLINK("https://www.boe.es/gazeta/dias/1806/03/14/pdfs/GMD-1806-23.pdf#page=5","Abrir facsímil")</f>
        <v>Abrir facsímil</v>
      </c>
      <c r="K1755" s="15" t="s">
        <v>22</v>
      </c>
    </row>
    <row r="1756" spans="1:11" ht="42" customHeight="1">
      <c r="A1756" s="4" t="s">
        <v>4249</v>
      </c>
      <c r="B1756" s="5" t="s">
        <v>4249</v>
      </c>
      <c r="C1756" s="5" t="s">
        <v>31</v>
      </c>
      <c r="D1756" s="5" t="s">
        <v>32</v>
      </c>
      <c r="E1756" s="5" t="s">
        <v>816</v>
      </c>
      <c r="F1756" s="9">
        <v>86</v>
      </c>
      <c r="G1756" s="9">
        <v>890</v>
      </c>
      <c r="H1756" s="5" t="s">
        <v>20</v>
      </c>
      <c r="I1756" s="5" t="s">
        <v>4250</v>
      </c>
      <c r="J1756" s="12" t="str">
        <f>HYPERLINK("https://www.boe.es/gazeta/dias/1806/10/21/pdfs/GMD-1806-86.pdf#page=6","Abrir facsímil")</f>
        <v>Abrir facsímil</v>
      </c>
      <c r="K1756" s="15" t="s">
        <v>22</v>
      </c>
    </row>
    <row r="1757" spans="1:11" ht="42" customHeight="1">
      <c r="A1757" s="4" t="s">
        <v>4251</v>
      </c>
      <c r="B1757" s="5" t="s">
        <v>4251</v>
      </c>
      <c r="C1757" s="5" t="s">
        <v>42</v>
      </c>
      <c r="D1757" s="5" t="s">
        <v>43</v>
      </c>
      <c r="E1757" s="5" t="s">
        <v>657</v>
      </c>
      <c r="F1757" s="9">
        <v>96</v>
      </c>
      <c r="G1757" s="9">
        <v>1010</v>
      </c>
      <c r="H1757" s="5" t="s">
        <v>20</v>
      </c>
      <c r="I1757" s="5" t="s">
        <v>4252</v>
      </c>
      <c r="J1757" s="12" t="str">
        <f>HYPERLINK("https://www.boe.es/gazeta/dias/1806/11/25/pdfs/GMD-1806-96.pdf#page=2","Abrir facsímil")</f>
        <v>Abrir facsímil</v>
      </c>
      <c r="K1757" s="15" t="s">
        <v>22</v>
      </c>
    </row>
    <row r="1758" spans="1:11" ht="42" customHeight="1">
      <c r="A1758" s="4" t="s">
        <v>4253</v>
      </c>
      <c r="B1758" s="5" t="s">
        <v>4253</v>
      </c>
      <c r="C1758" s="5" t="s">
        <v>69</v>
      </c>
      <c r="D1758" s="5" t="s">
        <v>70</v>
      </c>
      <c r="E1758" s="5" t="s">
        <v>271</v>
      </c>
      <c r="F1758" s="9">
        <v>6</v>
      </c>
      <c r="G1758" s="9">
        <v>45</v>
      </c>
      <c r="H1758" s="5" t="s">
        <v>20</v>
      </c>
      <c r="I1758" s="5" t="s">
        <v>4254</v>
      </c>
      <c r="J1758" s="12" t="str">
        <f>HYPERLINK("https://www.boe.es/gazeta/dias/1806/01/17/pdfs/GMD-1806-6.pdf#page=1","Abrir facsímil")</f>
        <v>Abrir facsímil</v>
      </c>
      <c r="K1758" s="15" t="s">
        <v>22</v>
      </c>
    </row>
    <row r="1759" spans="1:11" ht="42" customHeight="1">
      <c r="A1759" s="4" t="s">
        <v>4255</v>
      </c>
      <c r="B1759" s="5" t="s">
        <v>4255</v>
      </c>
      <c r="C1759" s="5" t="s">
        <v>69</v>
      </c>
      <c r="D1759" s="5" t="s">
        <v>70</v>
      </c>
      <c r="E1759" s="5" t="s">
        <v>383</v>
      </c>
      <c r="F1759" s="9">
        <v>54</v>
      </c>
      <c r="G1759" s="9">
        <v>558</v>
      </c>
      <c r="H1759" s="5" t="s">
        <v>20</v>
      </c>
      <c r="I1759" s="5" t="s">
        <v>4256</v>
      </c>
      <c r="J1759" s="12" t="str">
        <f>HYPERLINK("https://www.boe.es/gazeta/dias/1806/07/01/pdfs/GMD-1806-54.pdf#page=2","Abrir facsímil")</f>
        <v>Abrir facsímil</v>
      </c>
      <c r="K1759" s="15" t="s">
        <v>22</v>
      </c>
    </row>
    <row r="1760" spans="1:11" ht="42" customHeight="1">
      <c r="A1760" s="4" t="s">
        <v>4257</v>
      </c>
      <c r="B1760" s="5" t="s">
        <v>4257</v>
      </c>
      <c r="C1760" s="5" t="s">
        <v>69</v>
      </c>
      <c r="D1760" s="5" t="s">
        <v>70</v>
      </c>
      <c r="E1760" s="5" t="s">
        <v>400</v>
      </c>
      <c r="F1760" s="9">
        <v>22</v>
      </c>
      <c r="G1760" s="9">
        <v>205</v>
      </c>
      <c r="H1760" s="5" t="s">
        <v>20</v>
      </c>
      <c r="I1760" s="5" t="s">
        <v>4258</v>
      </c>
      <c r="J1760" s="12" t="str">
        <f>HYPERLINK("https://www.boe.es/gazeta/dias/1806/03/11/pdfs/GMD-1806-22.pdf#page=5","Abrir facsímil")</f>
        <v>Abrir facsímil</v>
      </c>
      <c r="K1760" s="15" t="s">
        <v>22</v>
      </c>
    </row>
    <row r="1761" spans="1:11" ht="42" customHeight="1">
      <c r="A1761" s="4" t="s">
        <v>4259</v>
      </c>
      <c r="B1761" s="5" t="s">
        <v>4259</v>
      </c>
      <c r="C1761" s="5" t="s">
        <v>31</v>
      </c>
      <c r="D1761" s="5" t="s">
        <v>32</v>
      </c>
      <c r="E1761" s="5" t="s">
        <v>55</v>
      </c>
      <c r="F1761" s="9">
        <v>20</v>
      </c>
      <c r="G1761" s="9">
        <v>183</v>
      </c>
      <c r="H1761" s="5" t="s">
        <v>20</v>
      </c>
      <c r="I1761" s="5" t="s">
        <v>4260</v>
      </c>
      <c r="J1761" s="12" t="str">
        <f>HYPERLINK("https://www.boe.es/gazeta/dias/1806/03/04/pdfs/GMD-1806-20.pdf#page=7","Abrir facsímil")</f>
        <v>Abrir facsímil</v>
      </c>
      <c r="K1761" s="15" t="s">
        <v>22</v>
      </c>
    </row>
    <row r="1762" spans="1:11" ht="42" customHeight="1">
      <c r="A1762" s="4" t="s">
        <v>4261</v>
      </c>
      <c r="B1762" s="5" t="s">
        <v>4261</v>
      </c>
      <c r="C1762" s="5" t="s">
        <v>69</v>
      </c>
      <c r="D1762" s="5" t="s">
        <v>70</v>
      </c>
      <c r="E1762" s="5" t="s">
        <v>657</v>
      </c>
      <c r="F1762" s="9">
        <v>96</v>
      </c>
      <c r="G1762" s="9">
        <v>1015</v>
      </c>
      <c r="H1762" s="5" t="s">
        <v>20</v>
      </c>
      <c r="I1762" s="5" t="s">
        <v>4262</v>
      </c>
      <c r="J1762" s="12" t="str">
        <f>HYPERLINK("https://www.boe.es/gazeta/dias/1806/11/25/pdfs/GMD-1806-96.pdf#page=7","Abrir facsímil")</f>
        <v>Abrir facsímil</v>
      </c>
      <c r="K1762" s="15" t="s">
        <v>22</v>
      </c>
    </row>
    <row r="1763" spans="1:11" ht="42" customHeight="1">
      <c r="A1763" s="4" t="s">
        <v>4261</v>
      </c>
      <c r="B1763" s="5" t="s">
        <v>4261</v>
      </c>
      <c r="C1763" s="5" t="s">
        <v>69</v>
      </c>
      <c r="D1763" s="5" t="s">
        <v>70</v>
      </c>
      <c r="E1763" s="5" t="s">
        <v>312</v>
      </c>
      <c r="F1763" s="9">
        <v>100</v>
      </c>
      <c r="G1763" s="9">
        <v>1057</v>
      </c>
      <c r="H1763" s="5" t="s">
        <v>20</v>
      </c>
      <c r="I1763" s="5" t="s">
        <v>4263</v>
      </c>
      <c r="J1763" s="12" t="str">
        <f>HYPERLINK("https://www.boe.es/gazeta/dias/1806/12/09/pdfs/GMD-1806-100.pdf#page=1","Abrir facsímil")</f>
        <v>Abrir facsímil</v>
      </c>
      <c r="K1763" s="15" t="s">
        <v>22</v>
      </c>
    </row>
    <row r="1764" spans="1:11" ht="42" customHeight="1">
      <c r="A1764" s="4" t="s">
        <v>4264</v>
      </c>
      <c r="B1764" s="5" t="s">
        <v>4264</v>
      </c>
      <c r="C1764" s="5" t="s">
        <v>69</v>
      </c>
      <c r="D1764" s="5" t="s">
        <v>70</v>
      </c>
      <c r="E1764" s="5" t="s">
        <v>93</v>
      </c>
      <c r="F1764" s="9">
        <v>72</v>
      </c>
      <c r="G1764" s="9">
        <v>742</v>
      </c>
      <c r="H1764" s="5" t="s">
        <v>20</v>
      </c>
      <c r="I1764" s="5" t="s">
        <v>4265</v>
      </c>
      <c r="J1764" s="12" t="str">
        <f>HYPERLINK("https://www.boe.es/gazeta/dias/1806/09/02/pdfs/GMD-1806-72.pdf#page=2","Abrir facsímil")</f>
        <v>Abrir facsímil</v>
      </c>
      <c r="K1764" s="15" t="s">
        <v>22</v>
      </c>
    </row>
    <row r="1765" spans="1:11" ht="42" customHeight="1">
      <c r="A1765" s="4" t="s">
        <v>4266</v>
      </c>
      <c r="B1765" s="5" t="s">
        <v>4266</v>
      </c>
      <c r="C1765" s="5" t="s">
        <v>69</v>
      </c>
      <c r="D1765" s="5" t="s">
        <v>70</v>
      </c>
      <c r="E1765" s="5" t="s">
        <v>405</v>
      </c>
      <c r="F1765" s="9">
        <v>80</v>
      </c>
      <c r="G1765" s="9">
        <v>825</v>
      </c>
      <c r="H1765" s="5" t="s">
        <v>20</v>
      </c>
      <c r="I1765" s="5" t="s">
        <v>4267</v>
      </c>
      <c r="J1765" s="12" t="str">
        <f>HYPERLINK("https://www.boe.es/gazeta/dias/1806/09/30/pdfs/GMD-1806-80.pdf#page=5","Abrir facsímil")</f>
        <v>Abrir facsímil</v>
      </c>
      <c r="K1765" s="15" t="s">
        <v>22</v>
      </c>
    </row>
    <row r="1766" spans="1:11" ht="42" customHeight="1">
      <c r="A1766" s="4" t="s">
        <v>4268</v>
      </c>
      <c r="B1766" s="5" t="s">
        <v>4269</v>
      </c>
      <c r="C1766" s="5" t="s">
        <v>69</v>
      </c>
      <c r="D1766" s="5" t="s">
        <v>70</v>
      </c>
      <c r="E1766" s="5" t="s">
        <v>1778</v>
      </c>
      <c r="F1766" s="9">
        <v>16</v>
      </c>
      <c r="G1766" s="9">
        <v>142</v>
      </c>
      <c r="H1766" s="5" t="s">
        <v>20</v>
      </c>
      <c r="I1766" s="5" t="s">
        <v>4270</v>
      </c>
      <c r="J1766" s="12" t="str">
        <f>HYPERLINK("https://www.boe.es/gazeta/dias/1806/02/18/pdfs/GMD-1806-16.pdf#page=6","Abrir facsímil")</f>
        <v>Abrir facsímil</v>
      </c>
      <c r="K1766" s="15" t="s">
        <v>22</v>
      </c>
    </row>
    <row r="1767" spans="1:11" ht="42" customHeight="1">
      <c r="A1767" s="4" t="s">
        <v>4268</v>
      </c>
      <c r="B1767" s="5" t="s">
        <v>4269</v>
      </c>
      <c r="C1767" s="5" t="s">
        <v>42</v>
      </c>
      <c r="D1767" s="5" t="s">
        <v>43</v>
      </c>
      <c r="E1767" s="5" t="s">
        <v>202</v>
      </c>
      <c r="F1767" s="9">
        <v>30</v>
      </c>
      <c r="G1767" s="9">
        <v>294</v>
      </c>
      <c r="H1767" s="5" t="s">
        <v>20</v>
      </c>
      <c r="I1767" s="5" t="s">
        <v>4271</v>
      </c>
      <c r="J1767" s="12" t="str">
        <f>HYPERLINK("https://www.boe.es/gazeta/dias/1806/04/08/pdfs/GMD-1806-30.pdf#page=6","Abrir facsímil")</f>
        <v>Abrir facsímil</v>
      </c>
      <c r="K1767" s="15" t="s">
        <v>22</v>
      </c>
    </row>
    <row r="1768" spans="1:11" ht="42" customHeight="1">
      <c r="A1768" s="4" t="s">
        <v>4268</v>
      </c>
      <c r="B1768" s="5" t="s">
        <v>4269</v>
      </c>
      <c r="C1768" s="5" t="s">
        <v>17</v>
      </c>
      <c r="D1768" s="5" t="s">
        <v>18</v>
      </c>
      <c r="E1768" s="5" t="s">
        <v>178</v>
      </c>
      <c r="F1768" s="9">
        <v>36</v>
      </c>
      <c r="G1768" s="9">
        <v>349</v>
      </c>
      <c r="H1768" s="5" t="s">
        <v>20</v>
      </c>
      <c r="I1768" s="5" t="s">
        <v>4272</v>
      </c>
      <c r="J1768" s="12" t="str">
        <f>HYPERLINK("https://www.boe.es/gazeta/dias/1806/04/29/pdfs/GMD-1806-36.pdf#page=5","Abrir facsímil")</f>
        <v>Abrir facsímil</v>
      </c>
      <c r="K1768" s="15" t="s">
        <v>22</v>
      </c>
    </row>
    <row r="1769" spans="1:11" ht="42" customHeight="1">
      <c r="A1769" s="4" t="s">
        <v>4268</v>
      </c>
      <c r="B1769" s="5" t="s">
        <v>4269</v>
      </c>
      <c r="C1769" s="5" t="s">
        <v>42</v>
      </c>
      <c r="D1769" s="5" t="s">
        <v>43</v>
      </c>
      <c r="E1769" s="5" t="s">
        <v>90</v>
      </c>
      <c r="F1769" s="9">
        <v>60</v>
      </c>
      <c r="G1769" s="9">
        <v>623</v>
      </c>
      <c r="H1769" s="5" t="s">
        <v>20</v>
      </c>
      <c r="I1769" s="5" t="s">
        <v>4273</v>
      </c>
      <c r="J1769" s="12" t="str">
        <f>HYPERLINK("https://www.boe.es/gazeta/dias/1806/07/22/pdfs/GMD-1806-60.pdf#page=7","Abrir facsímil")</f>
        <v>Abrir facsímil</v>
      </c>
      <c r="K1769" s="15" t="s">
        <v>22</v>
      </c>
    </row>
    <row r="1770" spans="1:11" ht="42" customHeight="1">
      <c r="A1770" s="4" t="s">
        <v>4274</v>
      </c>
      <c r="B1770" s="5" t="s">
        <v>4275</v>
      </c>
      <c r="C1770" s="5" t="s">
        <v>17</v>
      </c>
      <c r="D1770" s="5" t="s">
        <v>18</v>
      </c>
      <c r="E1770" s="5" t="s">
        <v>209</v>
      </c>
      <c r="F1770" s="9">
        <v>95</v>
      </c>
      <c r="G1770" s="9">
        <v>997</v>
      </c>
      <c r="H1770" s="5" t="s">
        <v>20</v>
      </c>
      <c r="I1770" s="5" t="s">
        <v>4276</v>
      </c>
      <c r="J1770" s="12" t="str">
        <f>HYPERLINK("https://www.boe.es/gazeta/dias/1806/11/21/pdfs/GMD-1806-95.pdf#page=5","Abrir facsímil")</f>
        <v>Abrir facsímil</v>
      </c>
      <c r="K1770" s="15" t="s">
        <v>22</v>
      </c>
    </row>
    <row r="1771" spans="1:11" ht="42" customHeight="1">
      <c r="A1771" s="4" t="s">
        <v>4277</v>
      </c>
      <c r="B1771" s="5" t="s">
        <v>4278</v>
      </c>
      <c r="C1771" s="5" t="s">
        <v>69</v>
      </c>
      <c r="D1771" s="5" t="s">
        <v>70</v>
      </c>
      <c r="E1771" s="5" t="s">
        <v>127</v>
      </c>
      <c r="F1771" s="9">
        <v>81</v>
      </c>
      <c r="G1771" s="9">
        <v>835</v>
      </c>
      <c r="H1771" s="5" t="s">
        <v>20</v>
      </c>
      <c r="I1771" s="5" t="s">
        <v>4279</v>
      </c>
      <c r="J1771" s="12" t="str">
        <f>HYPERLINK("https://www.boe.es/gazeta/dias/1806/10/03/pdfs/GMD-1806-81.pdf#page=3","Abrir facsímil")</f>
        <v>Abrir facsímil</v>
      </c>
      <c r="K1771" s="15" t="s">
        <v>22</v>
      </c>
    </row>
    <row r="1772" spans="1:11" ht="42" customHeight="1">
      <c r="A1772" s="4" t="s">
        <v>4280</v>
      </c>
      <c r="B1772" s="5" t="s">
        <v>4281</v>
      </c>
      <c r="C1772" s="5" t="s">
        <v>706</v>
      </c>
      <c r="D1772" s="5" t="s">
        <v>707</v>
      </c>
      <c r="E1772" s="5" t="s">
        <v>195</v>
      </c>
      <c r="F1772" s="9" t="s">
        <v>708</v>
      </c>
      <c r="G1772" s="9">
        <v>42</v>
      </c>
      <c r="H1772" s="5" t="s">
        <v>20</v>
      </c>
      <c r="I1772" s="5" t="s">
        <v>4282</v>
      </c>
      <c r="J1772" s="12" t="str">
        <f>HYPERLINK("https://www.boe.es/gazeta/dias/1806/01/14/pdfs/GMD-1806-5E.pdf#page=2","Abrir facsímil")</f>
        <v>Abrir facsímil</v>
      </c>
      <c r="K1772" s="15" t="s">
        <v>22</v>
      </c>
    </row>
    <row r="1773" spans="1:11" ht="42" customHeight="1">
      <c r="A1773" s="4" t="s">
        <v>4283</v>
      </c>
      <c r="B1773" s="5" t="s">
        <v>4284</v>
      </c>
      <c r="C1773" s="5" t="s">
        <v>31</v>
      </c>
      <c r="D1773" s="5" t="s">
        <v>32</v>
      </c>
      <c r="E1773" s="5" t="s">
        <v>55</v>
      </c>
      <c r="F1773" s="9">
        <v>20</v>
      </c>
      <c r="G1773" s="9">
        <v>185</v>
      </c>
      <c r="H1773" s="5" t="s">
        <v>20</v>
      </c>
      <c r="I1773" s="5" t="s">
        <v>4285</v>
      </c>
      <c r="J1773" s="12" t="str">
        <f>HYPERLINK("https://www.boe.es/gazeta/dias/1806/03/04/pdfs/GMD-1806-20.pdf#page=9","Abrir facsímil")</f>
        <v>Abrir facsímil</v>
      </c>
      <c r="K1773" s="15" t="s">
        <v>22</v>
      </c>
    </row>
    <row r="1774" spans="1:11" ht="42" customHeight="1">
      <c r="A1774" s="4" t="s">
        <v>4286</v>
      </c>
      <c r="B1774" s="5" t="s">
        <v>4286</v>
      </c>
      <c r="C1774" s="5" t="s">
        <v>31</v>
      </c>
      <c r="D1774" s="5" t="s">
        <v>32</v>
      </c>
      <c r="E1774" s="5" t="s">
        <v>367</v>
      </c>
      <c r="F1774" s="9">
        <v>87</v>
      </c>
      <c r="G1774" s="9">
        <v>901</v>
      </c>
      <c r="H1774" s="5" t="s">
        <v>20</v>
      </c>
      <c r="I1774" s="5" t="s">
        <v>4287</v>
      </c>
      <c r="J1774" s="12" t="str">
        <f>HYPERLINK("https://www.boe.es/gazeta/dias/1806/10/24/pdfs/GMD-1806-87.pdf#page=9","Abrir facsímil")</f>
        <v>Abrir facsímil</v>
      </c>
      <c r="K1774" s="15" t="s">
        <v>22</v>
      </c>
    </row>
    <row r="1775" spans="1:11" ht="42" customHeight="1">
      <c r="A1775" s="4" t="s">
        <v>4288</v>
      </c>
      <c r="B1775" s="5" t="s">
        <v>4289</v>
      </c>
      <c r="C1775" s="5" t="s">
        <v>31</v>
      </c>
      <c r="D1775" s="5" t="s">
        <v>32</v>
      </c>
      <c r="E1775" s="5" t="s">
        <v>309</v>
      </c>
      <c r="F1775" s="9">
        <v>41</v>
      </c>
      <c r="G1775" s="9">
        <v>407</v>
      </c>
      <c r="H1775" s="5" t="s">
        <v>20</v>
      </c>
      <c r="I1775" s="5" t="s">
        <v>4290</v>
      </c>
      <c r="J1775" s="12" t="str">
        <f>HYPERLINK("https://www.boe.es/gazeta/dias/1806/05/16/pdfs/GMD-1806-41.pdf#page=7","Abrir facsímil")</f>
        <v>Abrir facsímil</v>
      </c>
      <c r="K1775" s="15" t="s">
        <v>22</v>
      </c>
    </row>
    <row r="1776" spans="1:11" ht="42" customHeight="1">
      <c r="A1776" s="4" t="s">
        <v>4291</v>
      </c>
      <c r="B1776" s="5" t="s">
        <v>4292</v>
      </c>
      <c r="C1776" s="5" t="s">
        <v>17</v>
      </c>
      <c r="D1776" s="5" t="s">
        <v>18</v>
      </c>
      <c r="E1776" s="5" t="s">
        <v>90</v>
      </c>
      <c r="F1776" s="9">
        <v>60</v>
      </c>
      <c r="G1776" s="9">
        <v>625</v>
      </c>
      <c r="H1776" s="5" t="s">
        <v>20</v>
      </c>
      <c r="I1776" s="5" t="s">
        <v>4293</v>
      </c>
      <c r="J1776" s="12" t="str">
        <f>HYPERLINK("https://www.boe.es/gazeta/dias/1806/07/22/pdfs/GMD-1806-60.pdf#page=9","Abrir facsímil")</f>
        <v>Abrir facsímil</v>
      </c>
      <c r="K1776" s="15" t="s">
        <v>22</v>
      </c>
    </row>
    <row r="1777" spans="1:11" ht="42" customHeight="1">
      <c r="A1777" s="4" t="s">
        <v>4291</v>
      </c>
      <c r="B1777" s="5" t="s">
        <v>4292</v>
      </c>
      <c r="C1777" s="5" t="s">
        <v>17</v>
      </c>
      <c r="D1777" s="5" t="s">
        <v>18</v>
      </c>
      <c r="E1777" s="5" t="s">
        <v>209</v>
      </c>
      <c r="F1777" s="9">
        <v>95</v>
      </c>
      <c r="G1777" s="9">
        <v>1007</v>
      </c>
      <c r="H1777" s="5" t="s">
        <v>20</v>
      </c>
      <c r="I1777" s="5" t="s">
        <v>4294</v>
      </c>
      <c r="J1777" s="12" t="str">
        <f>HYPERLINK("https://www.boe.es/gazeta/dias/1806/11/21/pdfs/GMD-1806-95.pdf#page=15","Abrir facsímil")</f>
        <v>Abrir facsímil</v>
      </c>
      <c r="K1777" s="15" t="s">
        <v>22</v>
      </c>
    </row>
    <row r="1778" spans="1:11" ht="42" customHeight="1">
      <c r="A1778" s="4" t="s">
        <v>4295</v>
      </c>
      <c r="B1778" s="5" t="s">
        <v>4296</v>
      </c>
      <c r="C1778" s="5" t="s">
        <v>31</v>
      </c>
      <c r="D1778" s="5" t="s">
        <v>32</v>
      </c>
      <c r="E1778" s="5" t="s">
        <v>238</v>
      </c>
      <c r="F1778" s="9">
        <v>18</v>
      </c>
      <c r="G1778" s="9">
        <v>157</v>
      </c>
      <c r="H1778" s="5" t="s">
        <v>20</v>
      </c>
      <c r="I1778" s="5" t="s">
        <v>4297</v>
      </c>
      <c r="J1778" s="12" t="str">
        <f>HYPERLINK("https://www.boe.es/gazeta/dias/1806/02/25/pdfs/GMD-1806-18.pdf#page=5","Abrir facsímil")</f>
        <v>Abrir facsímil</v>
      </c>
      <c r="K1778" s="15" t="s">
        <v>22</v>
      </c>
    </row>
    <row r="1779" spans="1:11" ht="42" customHeight="1">
      <c r="A1779" s="4" t="s">
        <v>4298</v>
      </c>
      <c r="B1779" s="5" t="s">
        <v>4298</v>
      </c>
      <c r="C1779" s="5" t="s">
        <v>69</v>
      </c>
      <c r="D1779" s="5" t="s">
        <v>70</v>
      </c>
      <c r="E1779" s="5" t="s">
        <v>837</v>
      </c>
      <c r="F1779" s="9">
        <v>26</v>
      </c>
      <c r="G1779" s="9">
        <v>249</v>
      </c>
      <c r="H1779" s="5" t="s">
        <v>20</v>
      </c>
      <c r="I1779" s="5" t="s">
        <v>4299</v>
      </c>
      <c r="J1779" s="12" t="str">
        <f>HYPERLINK("https://www.boe.es/gazeta/dias/1806/03/25/pdfs/GMD-1806-26.pdf#page=1","Abrir facsímil")</f>
        <v>Abrir facsímil</v>
      </c>
      <c r="K1779" s="15" t="s">
        <v>22</v>
      </c>
    </row>
    <row r="1780" spans="1:11" ht="42" customHeight="1">
      <c r="A1780" s="4" t="s">
        <v>4300</v>
      </c>
      <c r="B1780" s="5" t="s">
        <v>4301</v>
      </c>
      <c r="C1780" s="5" t="s">
        <v>17</v>
      </c>
      <c r="D1780" s="5" t="s">
        <v>18</v>
      </c>
      <c r="E1780" s="5" t="s">
        <v>220</v>
      </c>
      <c r="F1780" s="9">
        <v>24</v>
      </c>
      <c r="G1780" s="9">
        <v>234</v>
      </c>
      <c r="H1780" s="5" t="s">
        <v>20</v>
      </c>
      <c r="I1780" s="5" t="s">
        <v>4302</v>
      </c>
      <c r="J1780" s="12" t="str">
        <f>HYPERLINK("https://www.boe.es/gazeta/dias/1806/03/18/pdfs/GMD-1806-24.pdf#page=10","Abrir facsímil")</f>
        <v>Abrir facsímil</v>
      </c>
      <c r="K1780" s="15" t="s">
        <v>22</v>
      </c>
    </row>
    <row r="1781" spans="1:11" ht="42" customHeight="1">
      <c r="A1781" s="4" t="s">
        <v>4300</v>
      </c>
      <c r="B1781" s="5" t="s">
        <v>4301</v>
      </c>
      <c r="C1781" s="5" t="s">
        <v>17</v>
      </c>
      <c r="D1781" s="5" t="s">
        <v>18</v>
      </c>
      <c r="E1781" s="5" t="s">
        <v>90</v>
      </c>
      <c r="F1781" s="9">
        <v>60</v>
      </c>
      <c r="G1781" s="9">
        <v>625</v>
      </c>
      <c r="H1781" s="5" t="s">
        <v>20</v>
      </c>
      <c r="I1781" s="5" t="s">
        <v>4303</v>
      </c>
      <c r="J1781" s="12" t="str">
        <f>HYPERLINK("https://www.boe.es/gazeta/dias/1806/07/22/pdfs/GMD-1806-60.pdf#page=9","Abrir facsímil")</f>
        <v>Abrir facsímil</v>
      </c>
      <c r="K1781" s="15" t="s">
        <v>22</v>
      </c>
    </row>
    <row r="1782" spans="1:11" ht="42" customHeight="1">
      <c r="A1782" s="4" t="s">
        <v>4304</v>
      </c>
      <c r="B1782" s="5" t="s">
        <v>4304</v>
      </c>
      <c r="C1782" s="5" t="s">
        <v>69</v>
      </c>
      <c r="D1782" s="5" t="s">
        <v>70</v>
      </c>
      <c r="E1782" s="5" t="s">
        <v>191</v>
      </c>
      <c r="F1782" s="9">
        <v>103</v>
      </c>
      <c r="G1782" s="9">
        <v>1089</v>
      </c>
      <c r="H1782" s="5" t="s">
        <v>20</v>
      </c>
      <c r="I1782" s="5" t="s">
        <v>4305</v>
      </c>
      <c r="J1782" s="12" t="str">
        <f>HYPERLINK("https://www.boe.es/gazeta/dias/1806/12/19/pdfs/GMD-1806-103.pdf#page=1","Abrir facsímil")</f>
        <v>Abrir facsímil</v>
      </c>
      <c r="K1782" s="15" t="s">
        <v>22</v>
      </c>
    </row>
    <row r="1783" spans="1:11" ht="42" customHeight="1">
      <c r="A1783" s="4" t="s">
        <v>4306</v>
      </c>
      <c r="B1783" s="5" t="s">
        <v>4306</v>
      </c>
      <c r="C1783" s="5" t="s">
        <v>69</v>
      </c>
      <c r="D1783" s="5" t="s">
        <v>70</v>
      </c>
      <c r="E1783" s="5" t="s">
        <v>118</v>
      </c>
      <c r="F1783" s="9">
        <v>15</v>
      </c>
      <c r="G1783" s="9">
        <v>128</v>
      </c>
      <c r="H1783" s="5" t="s">
        <v>20</v>
      </c>
      <c r="I1783" s="5" t="s">
        <v>4307</v>
      </c>
      <c r="J1783" s="12" t="str">
        <f>HYPERLINK("https://www.boe.es/gazeta/dias/1806/02/14/pdfs/GMD-1806-15.pdf#page=4","Abrir facsímil")</f>
        <v>Abrir facsímil</v>
      </c>
      <c r="K1783" s="15" t="s">
        <v>22</v>
      </c>
    </row>
    <row r="1784" spans="1:11" ht="42" customHeight="1">
      <c r="A1784" s="4" t="s">
        <v>4306</v>
      </c>
      <c r="B1784" s="5" t="s">
        <v>4306</v>
      </c>
      <c r="C1784" s="5" t="s">
        <v>31</v>
      </c>
      <c r="D1784" s="5" t="s">
        <v>32</v>
      </c>
      <c r="E1784" s="5" t="s">
        <v>181</v>
      </c>
      <c r="F1784" s="9">
        <v>99</v>
      </c>
      <c r="G1784" s="9">
        <v>1049</v>
      </c>
      <c r="H1784" s="5" t="s">
        <v>20</v>
      </c>
      <c r="I1784" s="5" t="s">
        <v>4308</v>
      </c>
      <c r="J1784" s="12" t="str">
        <f>HYPERLINK("https://www.boe.es/gazeta/dias/1806/12/05/pdfs/GMD-1806-99.pdf#page=5","Abrir facsímil")</f>
        <v>Abrir facsímil</v>
      </c>
      <c r="K1784" s="15" t="s">
        <v>22</v>
      </c>
    </row>
    <row r="1785" spans="1:11" ht="42" customHeight="1">
      <c r="A1785" s="4" t="s">
        <v>4309</v>
      </c>
      <c r="B1785" s="5" t="s">
        <v>4309</v>
      </c>
      <c r="C1785" s="5" t="s">
        <v>69</v>
      </c>
      <c r="D1785" s="5" t="s">
        <v>70</v>
      </c>
      <c r="E1785" s="5" t="s">
        <v>44</v>
      </c>
      <c r="F1785" s="9">
        <v>42</v>
      </c>
      <c r="G1785" s="9">
        <v>416</v>
      </c>
      <c r="H1785" s="5" t="s">
        <v>20</v>
      </c>
      <c r="I1785" s="5" t="s">
        <v>4310</v>
      </c>
      <c r="J1785" s="12" t="str">
        <f>HYPERLINK("https://www.boe.es/gazeta/dias/1806/05/20/pdfs/GMD-1806-42.pdf#page=4","Abrir facsímil")</f>
        <v>Abrir facsímil</v>
      </c>
      <c r="K1785" s="15" t="s">
        <v>22</v>
      </c>
    </row>
    <row r="1786" spans="1:11" ht="42" customHeight="1">
      <c r="A1786" s="4" t="s">
        <v>4311</v>
      </c>
      <c r="B1786" s="5" t="s">
        <v>4311</v>
      </c>
      <c r="C1786" s="5" t="s">
        <v>69</v>
      </c>
      <c r="D1786" s="5" t="s">
        <v>70</v>
      </c>
      <c r="E1786" s="5" t="s">
        <v>202</v>
      </c>
      <c r="F1786" s="9">
        <v>30</v>
      </c>
      <c r="G1786" s="9">
        <v>289</v>
      </c>
      <c r="H1786" s="5" t="s">
        <v>20</v>
      </c>
      <c r="I1786" s="5" t="s">
        <v>4312</v>
      </c>
      <c r="J1786" s="12" t="str">
        <f>HYPERLINK("https://www.boe.es/gazeta/dias/1806/04/08/pdfs/GMD-1806-30.pdf#page=1","Abrir facsímil")</f>
        <v>Abrir facsímil</v>
      </c>
      <c r="K1786" s="15" t="s">
        <v>22</v>
      </c>
    </row>
    <row r="1787" spans="1:11" ht="42" customHeight="1">
      <c r="A1787" s="4" t="s">
        <v>4313</v>
      </c>
      <c r="B1787" s="5" t="s">
        <v>4313</v>
      </c>
      <c r="C1787" s="5" t="s">
        <v>31</v>
      </c>
      <c r="D1787" s="5" t="s">
        <v>32</v>
      </c>
      <c r="E1787" s="5" t="s">
        <v>1080</v>
      </c>
      <c r="F1787" s="9">
        <v>49</v>
      </c>
      <c r="G1787" s="9">
        <v>501</v>
      </c>
      <c r="H1787" s="5" t="s">
        <v>20</v>
      </c>
      <c r="I1787" s="5" t="s">
        <v>4314</v>
      </c>
      <c r="J1787" s="12" t="str">
        <f>HYPERLINK("https://www.boe.es/gazeta/dias/1806/06/13/pdfs/GMD-1806-49.pdf#page=1","Abrir facsímil")</f>
        <v>Abrir facsímil</v>
      </c>
      <c r="K1787" s="15" t="s">
        <v>22</v>
      </c>
    </row>
    <row r="1788" spans="1:11" ht="42" customHeight="1">
      <c r="A1788" s="4" t="s">
        <v>4315</v>
      </c>
      <c r="B1788" s="5" t="s">
        <v>4315</v>
      </c>
      <c r="C1788" s="5" t="s">
        <v>17</v>
      </c>
      <c r="D1788" s="5" t="s">
        <v>18</v>
      </c>
      <c r="E1788" s="5" t="s">
        <v>231</v>
      </c>
      <c r="F1788" s="9">
        <v>89</v>
      </c>
      <c r="G1788" s="9">
        <v>924</v>
      </c>
      <c r="H1788" s="5" t="s">
        <v>20</v>
      </c>
      <c r="I1788" s="5" t="s">
        <v>4316</v>
      </c>
      <c r="J1788" s="12" t="str">
        <f>HYPERLINK("https://www.boe.es/gazeta/dias/1806/10/31/pdfs/GMD-1806-89.pdf#page=12","Abrir facsímil")</f>
        <v>Abrir facsímil</v>
      </c>
      <c r="K1788" s="15" t="s">
        <v>22</v>
      </c>
    </row>
    <row r="1789" spans="1:11" ht="42" customHeight="1">
      <c r="A1789" s="4" t="s">
        <v>4317</v>
      </c>
      <c r="B1789" s="5" t="s">
        <v>4317</v>
      </c>
      <c r="C1789" s="5" t="s">
        <v>31</v>
      </c>
      <c r="D1789" s="5" t="s">
        <v>32</v>
      </c>
      <c r="E1789" s="5" t="s">
        <v>483</v>
      </c>
      <c r="F1789" s="9">
        <v>58</v>
      </c>
      <c r="G1789" s="9">
        <v>600</v>
      </c>
      <c r="H1789" s="5" t="s">
        <v>20</v>
      </c>
      <c r="I1789" s="5" t="s">
        <v>4318</v>
      </c>
      <c r="J1789" s="12" t="str">
        <f>HYPERLINK("https://www.boe.es/gazeta/dias/1806/07/15/pdfs/GMD-1806-58.pdf#page=4","Abrir facsímil")</f>
        <v>Abrir facsímil</v>
      </c>
      <c r="K1789" s="15" t="s">
        <v>22</v>
      </c>
    </row>
    <row r="1790" spans="1:11" ht="42" customHeight="1">
      <c r="A1790" s="4" t="s">
        <v>4319</v>
      </c>
      <c r="B1790" s="5" t="s">
        <v>4319</v>
      </c>
      <c r="C1790" s="5" t="s">
        <v>69</v>
      </c>
      <c r="D1790" s="5" t="s">
        <v>70</v>
      </c>
      <c r="E1790" s="5" t="s">
        <v>161</v>
      </c>
      <c r="F1790" s="9">
        <v>11</v>
      </c>
      <c r="G1790" s="9">
        <v>94</v>
      </c>
      <c r="H1790" s="5" t="s">
        <v>20</v>
      </c>
      <c r="I1790" s="5" t="s">
        <v>4320</v>
      </c>
      <c r="J1790" s="12" t="str">
        <f>HYPERLINK("https://www.boe.es/gazeta/dias/1806/01/31/pdfs/GMD-1806-11.pdf#page=2","Abrir facsímil")</f>
        <v>Abrir facsímil</v>
      </c>
      <c r="K1790" s="15" t="s">
        <v>22</v>
      </c>
    </row>
    <row r="1791" spans="1:11" ht="42" customHeight="1">
      <c r="A1791" s="4" t="s">
        <v>4321</v>
      </c>
      <c r="B1791" s="5" t="s">
        <v>4321</v>
      </c>
      <c r="C1791" s="5" t="s">
        <v>69</v>
      </c>
      <c r="D1791" s="5" t="s">
        <v>70</v>
      </c>
      <c r="E1791" s="5" t="s">
        <v>86</v>
      </c>
      <c r="F1791" s="9">
        <v>53</v>
      </c>
      <c r="G1791" s="9">
        <v>551</v>
      </c>
      <c r="H1791" s="5" t="s">
        <v>20</v>
      </c>
      <c r="I1791" s="5" t="s">
        <v>4322</v>
      </c>
      <c r="J1791" s="12" t="str">
        <f>HYPERLINK("https://www.boe.es/gazeta/dias/1806/06/27/pdfs/GMD-1806-53.pdf#page=7","Abrir facsímil")</f>
        <v>Abrir facsímil</v>
      </c>
      <c r="K1791" s="15" t="s">
        <v>22</v>
      </c>
    </row>
    <row r="1792" spans="1:11" ht="42" customHeight="1">
      <c r="A1792" s="4" t="s">
        <v>4321</v>
      </c>
      <c r="B1792" s="5" t="s">
        <v>4321</v>
      </c>
      <c r="C1792" s="5" t="s">
        <v>17</v>
      </c>
      <c r="D1792" s="5" t="s">
        <v>18</v>
      </c>
      <c r="E1792" s="5" t="s">
        <v>483</v>
      </c>
      <c r="F1792" s="9">
        <v>58</v>
      </c>
      <c r="G1792" s="9">
        <v>603</v>
      </c>
      <c r="H1792" s="5" t="s">
        <v>20</v>
      </c>
      <c r="I1792" s="5" t="s">
        <v>4323</v>
      </c>
      <c r="J1792" s="12" t="str">
        <f>HYPERLINK("https://www.boe.es/gazeta/dias/1806/07/15/pdfs/GMD-1806-58.pdf#page=7","Abrir facsímil")</f>
        <v>Abrir facsímil</v>
      </c>
      <c r="K1792" s="15" t="s">
        <v>22</v>
      </c>
    </row>
    <row r="1793" spans="1:11" ht="42" customHeight="1">
      <c r="A1793" s="4" t="s">
        <v>4321</v>
      </c>
      <c r="B1793" s="5" t="s">
        <v>4321</v>
      </c>
      <c r="C1793" s="5" t="s">
        <v>69</v>
      </c>
      <c r="D1793" s="5" t="s">
        <v>70</v>
      </c>
      <c r="E1793" s="5" t="s">
        <v>600</v>
      </c>
      <c r="F1793" s="9">
        <v>77</v>
      </c>
      <c r="G1793" s="9">
        <v>791</v>
      </c>
      <c r="H1793" s="5" t="s">
        <v>20</v>
      </c>
      <c r="I1793" s="5" t="s">
        <v>4324</v>
      </c>
      <c r="J1793" s="12" t="str">
        <f>HYPERLINK("https://www.boe.es/gazeta/dias/1806/09/19/pdfs/GMD-1806-77.pdf#page=3","Abrir facsímil")</f>
        <v>Abrir facsímil</v>
      </c>
      <c r="K1793" s="15" t="s">
        <v>22</v>
      </c>
    </row>
    <row r="1794" spans="1:11" ht="42" customHeight="1">
      <c r="A1794" s="4" t="s">
        <v>4325</v>
      </c>
      <c r="B1794" s="5" t="s">
        <v>4325</v>
      </c>
      <c r="C1794" s="5" t="s">
        <v>69</v>
      </c>
      <c r="D1794" s="5" t="s">
        <v>70</v>
      </c>
      <c r="E1794" s="5" t="s">
        <v>144</v>
      </c>
      <c r="F1794" s="9">
        <v>79</v>
      </c>
      <c r="G1794" s="9">
        <v>816</v>
      </c>
      <c r="H1794" s="5" t="s">
        <v>20</v>
      </c>
      <c r="I1794" s="5" t="s">
        <v>4326</v>
      </c>
      <c r="J1794" s="12" t="str">
        <f>HYPERLINK("https://www.boe.es/gazeta/dias/1806/09/26/pdfs/GMD-1806-79.pdf#page=8","Abrir facsímil")</f>
        <v>Abrir facsímil</v>
      </c>
      <c r="K1794" s="15" t="s">
        <v>22</v>
      </c>
    </row>
    <row r="1795" spans="1:11" ht="42" customHeight="1">
      <c r="A1795" s="4" t="s">
        <v>4327</v>
      </c>
      <c r="B1795" s="5" t="s">
        <v>4327</v>
      </c>
      <c r="C1795" s="5" t="s">
        <v>17</v>
      </c>
      <c r="D1795" s="5" t="s">
        <v>18</v>
      </c>
      <c r="E1795" s="5" t="s">
        <v>279</v>
      </c>
      <c r="F1795" s="9">
        <v>52</v>
      </c>
      <c r="G1795" s="9">
        <v>539</v>
      </c>
      <c r="H1795" s="5" t="s">
        <v>20</v>
      </c>
      <c r="I1795" s="5" t="s">
        <v>4328</v>
      </c>
      <c r="J1795" s="12" t="str">
        <f>HYPERLINK("https://www.boe.es/gazeta/dias/1806/06/24/pdfs/GMD-1806-52.pdf#page=7","Abrir facsímil")</f>
        <v>Abrir facsímil</v>
      </c>
      <c r="K1795" s="15" t="s">
        <v>22</v>
      </c>
    </row>
    <row r="1796" spans="1:11" ht="42" customHeight="1">
      <c r="A1796" s="4" t="s">
        <v>4329</v>
      </c>
      <c r="B1796" s="5" t="s">
        <v>4329</v>
      </c>
      <c r="C1796" s="5" t="s">
        <v>69</v>
      </c>
      <c r="D1796" s="5" t="s">
        <v>70</v>
      </c>
      <c r="E1796" s="5" t="s">
        <v>405</v>
      </c>
      <c r="F1796" s="9">
        <v>80</v>
      </c>
      <c r="G1796" s="9">
        <v>823</v>
      </c>
      <c r="H1796" s="5" t="s">
        <v>20</v>
      </c>
      <c r="I1796" s="5" t="s">
        <v>4330</v>
      </c>
      <c r="J1796" s="12" t="str">
        <f>HYPERLINK("https://www.boe.es/gazeta/dias/1806/09/30/pdfs/GMD-1806-80.pdf#page=3","Abrir facsímil")</f>
        <v>Abrir facsímil</v>
      </c>
      <c r="K1796" s="15" t="s">
        <v>22</v>
      </c>
    </row>
    <row r="1797" spans="1:11" ht="42" customHeight="1">
      <c r="A1797" s="4" t="s">
        <v>4331</v>
      </c>
      <c r="B1797" s="5" t="s">
        <v>4331</v>
      </c>
      <c r="C1797" s="5" t="s">
        <v>31</v>
      </c>
      <c r="D1797" s="5" t="s">
        <v>32</v>
      </c>
      <c r="E1797" s="5" t="s">
        <v>870</v>
      </c>
      <c r="F1797" s="9">
        <v>35</v>
      </c>
      <c r="G1797" s="9">
        <v>339</v>
      </c>
      <c r="H1797" s="5" t="s">
        <v>20</v>
      </c>
      <c r="I1797" s="5" t="s">
        <v>4332</v>
      </c>
      <c r="J1797" s="12" t="str">
        <f>HYPERLINK("https://www.boe.es/gazeta/dias/1806/04/25/pdfs/GMD-1806-35.pdf#page=3","Abrir facsímil")</f>
        <v>Abrir facsímil</v>
      </c>
      <c r="K1797" s="15" t="s">
        <v>22</v>
      </c>
    </row>
    <row r="1798" spans="1:11" ht="42" customHeight="1">
      <c r="A1798" s="4" t="s">
        <v>4333</v>
      </c>
      <c r="B1798" s="5" t="s">
        <v>4333</v>
      </c>
      <c r="C1798" s="5" t="s">
        <v>69</v>
      </c>
      <c r="D1798" s="5" t="s">
        <v>70</v>
      </c>
      <c r="E1798" s="5" t="s">
        <v>48</v>
      </c>
      <c r="F1798" s="9">
        <v>67</v>
      </c>
      <c r="G1798" s="9">
        <v>694</v>
      </c>
      <c r="H1798" s="5" t="s">
        <v>20</v>
      </c>
      <c r="I1798" s="5" t="s">
        <v>4334</v>
      </c>
      <c r="J1798" s="12" t="str">
        <f>HYPERLINK("https://www.boe.es/gazeta/dias/1806/08/15/pdfs/GMD-1806-67.pdf#page=2","Abrir facsímil")</f>
        <v>Abrir facsímil</v>
      </c>
      <c r="K1798" s="15" t="s">
        <v>22</v>
      </c>
    </row>
    <row r="1799" spans="1:11" ht="42" customHeight="1">
      <c r="A1799" s="4" t="s">
        <v>4335</v>
      </c>
      <c r="B1799" s="5" t="s">
        <v>4335</v>
      </c>
      <c r="C1799" s="5" t="s">
        <v>69</v>
      </c>
      <c r="D1799" s="5" t="s">
        <v>70</v>
      </c>
      <c r="E1799" s="5" t="s">
        <v>580</v>
      </c>
      <c r="F1799" s="9">
        <v>23</v>
      </c>
      <c r="G1799" s="9">
        <v>214</v>
      </c>
      <c r="H1799" s="5" t="s">
        <v>20</v>
      </c>
      <c r="I1799" s="5" t="s">
        <v>4336</v>
      </c>
      <c r="J1799" s="12" t="str">
        <f>HYPERLINK("https://www.boe.es/gazeta/dias/1806/03/14/pdfs/GMD-1806-23.pdf#page=2","Abrir facsímil")</f>
        <v>Abrir facsímil</v>
      </c>
      <c r="K1799" s="15" t="s">
        <v>22</v>
      </c>
    </row>
    <row r="1800" spans="1:11" ht="42" customHeight="1">
      <c r="A1800" s="4" t="s">
        <v>4337</v>
      </c>
      <c r="B1800" s="5" t="s">
        <v>4337</v>
      </c>
      <c r="C1800" s="5" t="s">
        <v>69</v>
      </c>
      <c r="D1800" s="5" t="s">
        <v>70</v>
      </c>
      <c r="E1800" s="5" t="s">
        <v>144</v>
      </c>
      <c r="F1800" s="9">
        <v>79</v>
      </c>
      <c r="G1800" s="9">
        <v>815</v>
      </c>
      <c r="H1800" s="5" t="s">
        <v>20</v>
      </c>
      <c r="I1800" s="5" t="s">
        <v>4338</v>
      </c>
      <c r="J1800" s="12" t="str">
        <f>HYPERLINK("https://www.boe.es/gazeta/dias/1806/09/26/pdfs/GMD-1806-79.pdf#page=7","Abrir facsímil")</f>
        <v>Abrir facsímil</v>
      </c>
      <c r="K1800" s="15" t="s">
        <v>22</v>
      </c>
    </row>
    <row r="1801" spans="1:11" ht="42" customHeight="1">
      <c r="A1801" s="4" t="s">
        <v>4339</v>
      </c>
      <c r="B1801" s="5" t="s">
        <v>4340</v>
      </c>
      <c r="C1801" s="5" t="s">
        <v>69</v>
      </c>
      <c r="D1801" s="5" t="s">
        <v>70</v>
      </c>
      <c r="E1801" s="5" t="s">
        <v>271</v>
      </c>
      <c r="F1801" s="9">
        <v>6</v>
      </c>
      <c r="G1801" s="9">
        <v>47</v>
      </c>
      <c r="H1801" s="5" t="s">
        <v>20</v>
      </c>
      <c r="I1801" s="5" t="s">
        <v>4341</v>
      </c>
      <c r="J1801" s="12" t="str">
        <f>HYPERLINK("https://www.boe.es/gazeta/dias/1806/01/17/pdfs/GMD-1806-6.pdf#page=3","Abrir facsímil")</f>
        <v>Abrir facsímil</v>
      </c>
      <c r="K1801" s="15" t="s">
        <v>22</v>
      </c>
    </row>
    <row r="1802" spans="1:11" ht="42" customHeight="1">
      <c r="A1802" s="4" t="s">
        <v>4342</v>
      </c>
      <c r="B1802" s="5" t="s">
        <v>4343</v>
      </c>
      <c r="C1802" s="5" t="s">
        <v>69</v>
      </c>
      <c r="D1802" s="5" t="s">
        <v>70</v>
      </c>
      <c r="E1802" s="5" t="s">
        <v>494</v>
      </c>
      <c r="F1802" s="9">
        <v>69</v>
      </c>
      <c r="G1802" s="9">
        <v>717</v>
      </c>
      <c r="H1802" s="5" t="s">
        <v>20</v>
      </c>
      <c r="I1802" s="5" t="s">
        <v>4344</v>
      </c>
      <c r="J1802" s="12" t="str">
        <f>HYPERLINK("https://www.boe.es/gazeta/dias/1806/08/22/pdfs/GMD-1806-69.pdf#page=5","Abrir facsímil")</f>
        <v>Abrir facsímil</v>
      </c>
      <c r="K1802" s="15" t="s">
        <v>22</v>
      </c>
    </row>
    <row r="1803" spans="1:11" ht="42" customHeight="1">
      <c r="A1803" s="4" t="s">
        <v>4345</v>
      </c>
      <c r="B1803" s="5" t="s">
        <v>4345</v>
      </c>
      <c r="C1803" s="5" t="s">
        <v>69</v>
      </c>
      <c r="D1803" s="5" t="s">
        <v>70</v>
      </c>
      <c r="E1803" s="5" t="s">
        <v>195</v>
      </c>
      <c r="F1803" s="9">
        <v>4</v>
      </c>
      <c r="G1803" s="9">
        <v>32</v>
      </c>
      <c r="H1803" s="5" t="s">
        <v>20</v>
      </c>
      <c r="I1803" s="5" t="s">
        <v>4346</v>
      </c>
      <c r="J1803" s="12" t="str">
        <f>HYPERLINK("https://www.boe.es/gazeta/dias/1806/01/14/pdfs/GMD-1806-4.pdf#page=4","Abrir facsímil")</f>
        <v>Abrir facsímil</v>
      </c>
      <c r="K1803" s="15" t="s">
        <v>22</v>
      </c>
    </row>
    <row r="1804" spans="1:11" ht="42" customHeight="1">
      <c r="A1804" s="4" t="s">
        <v>4345</v>
      </c>
      <c r="B1804" s="5" t="s">
        <v>4345</v>
      </c>
      <c r="C1804" s="5" t="s">
        <v>69</v>
      </c>
      <c r="D1804" s="5" t="s">
        <v>70</v>
      </c>
      <c r="E1804" s="5" t="s">
        <v>238</v>
      </c>
      <c r="F1804" s="9">
        <v>18</v>
      </c>
      <c r="G1804" s="9">
        <v>157</v>
      </c>
      <c r="H1804" s="5" t="s">
        <v>20</v>
      </c>
      <c r="I1804" s="5" t="s">
        <v>4347</v>
      </c>
      <c r="J1804" s="12" t="str">
        <f>HYPERLINK("https://www.boe.es/gazeta/dias/1806/02/25/pdfs/GMD-1806-18.pdf#page=5","Abrir facsímil")</f>
        <v>Abrir facsímil</v>
      </c>
      <c r="K1804" s="15" t="s">
        <v>22</v>
      </c>
    </row>
    <row r="1805" spans="1:11" ht="42" customHeight="1">
      <c r="A1805" s="4" t="s">
        <v>4345</v>
      </c>
      <c r="B1805" s="5" t="s">
        <v>4345</v>
      </c>
      <c r="C1805" s="5" t="s">
        <v>69</v>
      </c>
      <c r="D1805" s="5" t="s">
        <v>70</v>
      </c>
      <c r="E1805" s="5" t="s">
        <v>580</v>
      </c>
      <c r="F1805" s="9">
        <v>23</v>
      </c>
      <c r="G1805" s="9">
        <v>215</v>
      </c>
      <c r="H1805" s="5" t="s">
        <v>20</v>
      </c>
      <c r="I1805" s="5" t="s">
        <v>4348</v>
      </c>
      <c r="J1805" s="12" t="str">
        <f>HYPERLINK("https://www.boe.es/gazeta/dias/1806/03/14/pdfs/GMD-1806-23.pdf#page=3","Abrir facsímil")</f>
        <v>Abrir facsímil</v>
      </c>
      <c r="K1805" s="15" t="s">
        <v>22</v>
      </c>
    </row>
    <row r="1806" spans="1:11" ht="42" customHeight="1">
      <c r="A1806" s="4" t="s">
        <v>4345</v>
      </c>
      <c r="B1806" s="5" t="s">
        <v>4345</v>
      </c>
      <c r="C1806" s="5" t="s">
        <v>31</v>
      </c>
      <c r="D1806" s="5" t="s">
        <v>32</v>
      </c>
      <c r="E1806" s="5" t="s">
        <v>71</v>
      </c>
      <c r="F1806" s="9">
        <v>29</v>
      </c>
      <c r="G1806" s="9">
        <v>283</v>
      </c>
      <c r="H1806" s="5" t="s">
        <v>20</v>
      </c>
      <c r="I1806" s="5" t="s">
        <v>4349</v>
      </c>
      <c r="J1806" s="12" t="str">
        <f>HYPERLINK("https://www.boe.es/gazeta/dias/1806/04/04/pdfs/GMD-1806-29.pdf#page=3","Abrir facsímil")</f>
        <v>Abrir facsímil</v>
      </c>
      <c r="K1806" s="15" t="s">
        <v>22</v>
      </c>
    </row>
    <row r="1807" spans="1:11" ht="42" customHeight="1">
      <c r="A1807" s="4" t="s">
        <v>4345</v>
      </c>
      <c r="B1807" s="5" t="s">
        <v>4345</v>
      </c>
      <c r="C1807" s="5" t="s">
        <v>69</v>
      </c>
      <c r="D1807" s="5" t="s">
        <v>70</v>
      </c>
      <c r="E1807" s="5" t="s">
        <v>810</v>
      </c>
      <c r="F1807" s="9">
        <v>71</v>
      </c>
      <c r="G1807" s="9">
        <v>738</v>
      </c>
      <c r="H1807" s="5" t="s">
        <v>20</v>
      </c>
      <c r="I1807" s="5" t="s">
        <v>4350</v>
      </c>
      <c r="J1807" s="12" t="str">
        <f>HYPERLINK("https://www.boe.es/gazeta/dias/1806/08/29/pdfs/GMD-1806-71.pdf#page=6","Abrir facsímil")</f>
        <v>Abrir facsímil</v>
      </c>
      <c r="K1807" s="15" t="s">
        <v>22</v>
      </c>
    </row>
    <row r="1808" spans="1:11" ht="42" customHeight="1">
      <c r="A1808" s="4" t="s">
        <v>4351</v>
      </c>
      <c r="B1808" s="5" t="s">
        <v>4352</v>
      </c>
      <c r="C1808" s="5" t="s">
        <v>31</v>
      </c>
      <c r="D1808" s="5" t="s">
        <v>32</v>
      </c>
      <c r="E1808" s="5" t="s">
        <v>400</v>
      </c>
      <c r="F1808" s="9">
        <v>22</v>
      </c>
      <c r="G1808" s="9">
        <v>203</v>
      </c>
      <c r="H1808" s="5" t="s">
        <v>20</v>
      </c>
      <c r="I1808" s="5" t="s">
        <v>4353</v>
      </c>
      <c r="J1808" s="12" t="str">
        <f>HYPERLINK("https://www.boe.es/gazeta/dias/1806/03/11/pdfs/GMD-1806-22.pdf#page=3","Abrir facsímil")</f>
        <v>Abrir facsímil</v>
      </c>
      <c r="K1808" s="15" t="s">
        <v>22</v>
      </c>
    </row>
    <row r="1809" spans="1:11" ht="42" customHeight="1">
      <c r="A1809" s="4" t="s">
        <v>4354</v>
      </c>
      <c r="B1809" s="5" t="s">
        <v>4354</v>
      </c>
      <c r="C1809" s="5" t="s">
        <v>31</v>
      </c>
      <c r="D1809" s="5" t="s">
        <v>32</v>
      </c>
      <c r="E1809" s="5" t="s">
        <v>1005</v>
      </c>
      <c r="F1809" s="9">
        <v>76</v>
      </c>
      <c r="G1809" s="9">
        <v>785</v>
      </c>
      <c r="H1809" s="5" t="s">
        <v>20</v>
      </c>
      <c r="I1809" s="5" t="s">
        <v>4355</v>
      </c>
      <c r="J1809" s="12" t="str">
        <f>HYPERLINK("https://www.boe.es/gazeta/dias/1806/09/16/pdfs/GMD-1806-76.pdf#page=5","Abrir facsímil")</f>
        <v>Abrir facsímil</v>
      </c>
      <c r="K1809" s="15" t="s">
        <v>22</v>
      </c>
    </row>
    <row r="1810" spans="1:11" ht="42" customHeight="1">
      <c r="A1810" s="4" t="s">
        <v>4356</v>
      </c>
      <c r="B1810" s="5" t="s">
        <v>4357</v>
      </c>
      <c r="C1810" s="5" t="s">
        <v>31</v>
      </c>
      <c r="D1810" s="5" t="s">
        <v>32</v>
      </c>
      <c r="E1810" s="5" t="s">
        <v>689</v>
      </c>
      <c r="F1810" s="9">
        <v>37</v>
      </c>
      <c r="G1810" s="9">
        <v>361</v>
      </c>
      <c r="H1810" s="5" t="s">
        <v>20</v>
      </c>
      <c r="I1810" s="5" t="s">
        <v>4358</v>
      </c>
      <c r="J1810" s="12" t="str">
        <f>HYPERLINK("https://www.boe.es/gazeta/dias/1806/05/02/pdfs/GMD-1806-37.pdf#page=9","Abrir facsímil")</f>
        <v>Abrir facsímil</v>
      </c>
      <c r="K1810" s="15" t="s">
        <v>22</v>
      </c>
    </row>
    <row r="1811" spans="1:11" ht="42" customHeight="1">
      <c r="A1811" s="4" t="s">
        <v>4359</v>
      </c>
      <c r="B1811" s="5" t="s">
        <v>4360</v>
      </c>
      <c r="C1811" s="5" t="s">
        <v>31</v>
      </c>
      <c r="D1811" s="5" t="s">
        <v>32</v>
      </c>
      <c r="E1811" s="5" t="s">
        <v>144</v>
      </c>
      <c r="F1811" s="9">
        <v>79</v>
      </c>
      <c r="G1811" s="9">
        <v>818</v>
      </c>
      <c r="H1811" s="5" t="s">
        <v>20</v>
      </c>
      <c r="I1811" s="5" t="s">
        <v>4361</v>
      </c>
      <c r="J1811" s="12" t="str">
        <f>HYPERLINK("https://www.boe.es/gazeta/dias/1806/09/26/pdfs/GMD-1806-79.pdf#page=10","Abrir facsímil")</f>
        <v>Abrir facsímil</v>
      </c>
      <c r="K1811" s="15" t="s">
        <v>22</v>
      </c>
    </row>
    <row r="1812" spans="1:11" ht="42" customHeight="1">
      <c r="A1812" s="4" t="s">
        <v>4362</v>
      </c>
      <c r="B1812" s="5" t="s">
        <v>4363</v>
      </c>
      <c r="C1812" s="5" t="s">
        <v>31</v>
      </c>
      <c r="D1812" s="5" t="s">
        <v>32</v>
      </c>
      <c r="E1812" s="5" t="s">
        <v>144</v>
      </c>
      <c r="F1812" s="9">
        <v>79</v>
      </c>
      <c r="G1812" s="9">
        <v>818</v>
      </c>
      <c r="H1812" s="5" t="s">
        <v>20</v>
      </c>
      <c r="I1812" s="5" t="s">
        <v>4364</v>
      </c>
      <c r="J1812" s="12" t="str">
        <f>HYPERLINK("https://www.boe.es/gazeta/dias/1806/09/26/pdfs/GMD-1806-79.pdf#page=10","Abrir facsímil")</f>
        <v>Abrir facsímil</v>
      </c>
      <c r="K1812" s="15" t="s">
        <v>22</v>
      </c>
    </row>
    <row r="1813" spans="1:11" ht="42" customHeight="1">
      <c r="A1813" s="4" t="s">
        <v>4365</v>
      </c>
      <c r="B1813" s="5" t="s">
        <v>4366</v>
      </c>
      <c r="C1813" s="5" t="s">
        <v>31</v>
      </c>
      <c r="D1813" s="5" t="s">
        <v>32</v>
      </c>
      <c r="E1813" s="5" t="s">
        <v>82</v>
      </c>
      <c r="F1813" s="9">
        <v>48</v>
      </c>
      <c r="G1813" s="9">
        <v>496</v>
      </c>
      <c r="H1813" s="5" t="s">
        <v>20</v>
      </c>
      <c r="I1813" s="5" t="s">
        <v>4367</v>
      </c>
      <c r="J1813" s="12" t="str">
        <f>HYPERLINK("https://www.boe.es/gazeta/dias/1806/06/10/pdfs/GMD-1806-48.pdf#page=8","Abrir facsímil")</f>
        <v>Abrir facsímil</v>
      </c>
      <c r="K1813" s="15" t="s">
        <v>22</v>
      </c>
    </row>
    <row r="1814" spans="1:11" ht="42" customHeight="1">
      <c r="A1814" s="4" t="s">
        <v>4368</v>
      </c>
      <c r="B1814" s="5" t="s">
        <v>4369</v>
      </c>
      <c r="C1814" s="5" t="s">
        <v>17</v>
      </c>
      <c r="D1814" s="5" t="s">
        <v>18</v>
      </c>
      <c r="E1814" s="5" t="s">
        <v>231</v>
      </c>
      <c r="F1814" s="9">
        <v>89</v>
      </c>
      <c r="G1814" s="9">
        <v>921</v>
      </c>
      <c r="H1814" s="5" t="s">
        <v>20</v>
      </c>
      <c r="I1814" s="5" t="s">
        <v>4370</v>
      </c>
      <c r="J1814" s="12" t="str">
        <f>HYPERLINK("https://www.boe.es/gazeta/dias/1806/10/31/pdfs/GMD-1806-89.pdf#page=9","Abrir facsímil")</f>
        <v>Abrir facsímil</v>
      </c>
      <c r="K1814" s="15" t="s">
        <v>22</v>
      </c>
    </row>
    <row r="1815" spans="1:11" ht="42" customHeight="1">
      <c r="A1815" s="4" t="s">
        <v>4371</v>
      </c>
      <c r="B1815" s="5" t="s">
        <v>4372</v>
      </c>
      <c r="C1815" s="5" t="s">
        <v>42</v>
      </c>
      <c r="D1815" s="5" t="s">
        <v>43</v>
      </c>
      <c r="E1815" s="5" t="s">
        <v>130</v>
      </c>
      <c r="F1815" s="9">
        <v>66</v>
      </c>
      <c r="G1815" s="9">
        <v>690</v>
      </c>
      <c r="H1815" s="5" t="s">
        <v>20</v>
      </c>
      <c r="I1815" s="5" t="s">
        <v>4373</v>
      </c>
      <c r="J1815" s="12" t="str">
        <f>HYPERLINK("https://www.boe.es/gazeta/dias/1806/08/12/pdfs/GMD-1806-66.pdf#page=6","Abrir facsímil")</f>
        <v>Abrir facsímil</v>
      </c>
      <c r="K1815" s="15" t="s">
        <v>22</v>
      </c>
    </row>
    <row r="1816" spans="1:11" ht="42" customHeight="1">
      <c r="A1816" s="4" t="s">
        <v>4374</v>
      </c>
      <c r="B1816" s="5" t="s">
        <v>4375</v>
      </c>
      <c r="C1816" s="5" t="s">
        <v>31</v>
      </c>
      <c r="D1816" s="5" t="s">
        <v>32</v>
      </c>
      <c r="E1816" s="5" t="s">
        <v>702</v>
      </c>
      <c r="F1816" s="9">
        <v>43</v>
      </c>
      <c r="G1816" s="9">
        <v>433</v>
      </c>
      <c r="H1816" s="5" t="s">
        <v>20</v>
      </c>
      <c r="I1816" s="5" t="s">
        <v>4376</v>
      </c>
      <c r="J1816" s="12" t="str">
        <f>HYPERLINK("https://www.boe.es/gazeta/dias/1806/05/23/pdfs/GMD-1806-43.pdf#page=9","Abrir facsímil")</f>
        <v>Abrir facsímil</v>
      </c>
      <c r="K1816" s="15" t="s">
        <v>22</v>
      </c>
    </row>
    <row r="1817" spans="1:11" ht="42" customHeight="1">
      <c r="A1817" s="4" t="s">
        <v>4377</v>
      </c>
      <c r="B1817" s="5" t="s">
        <v>4378</v>
      </c>
      <c r="C1817" s="5" t="s">
        <v>31</v>
      </c>
      <c r="D1817" s="5" t="s">
        <v>32</v>
      </c>
      <c r="E1817" s="5" t="s">
        <v>301</v>
      </c>
      <c r="F1817" s="9">
        <v>75</v>
      </c>
      <c r="G1817" s="9">
        <v>776</v>
      </c>
      <c r="H1817" s="5" t="s">
        <v>20</v>
      </c>
      <c r="I1817" s="5" t="s">
        <v>4379</v>
      </c>
      <c r="J1817" s="12" t="str">
        <f>HYPERLINK("https://www.boe.es/gazeta/dias/1806/09/12/pdfs/GMD-1806-75.pdf#page=8","Abrir facsímil")</f>
        <v>Abrir facsímil</v>
      </c>
      <c r="K1817" s="15" t="s">
        <v>22</v>
      </c>
    </row>
    <row r="1818" spans="1:11" ht="42" customHeight="1">
      <c r="A1818" s="4" t="s">
        <v>4380</v>
      </c>
      <c r="B1818" s="5" t="s">
        <v>4380</v>
      </c>
      <c r="C1818" s="5" t="s">
        <v>31</v>
      </c>
      <c r="D1818" s="5" t="s">
        <v>32</v>
      </c>
      <c r="E1818" s="5" t="s">
        <v>82</v>
      </c>
      <c r="F1818" s="9">
        <v>48</v>
      </c>
      <c r="G1818" s="9">
        <v>496</v>
      </c>
      <c r="H1818" s="5" t="s">
        <v>20</v>
      </c>
      <c r="I1818" s="5" t="s">
        <v>4381</v>
      </c>
      <c r="J1818" s="12" t="str">
        <f>HYPERLINK("https://www.boe.es/gazeta/dias/1806/06/10/pdfs/GMD-1806-48.pdf#page=8","Abrir facsímil")</f>
        <v>Abrir facsímil</v>
      </c>
      <c r="K1818" s="15" t="s">
        <v>22</v>
      </c>
    </row>
    <row r="1819" spans="1:11" ht="42" customHeight="1">
      <c r="A1819" s="4" t="s">
        <v>4382</v>
      </c>
      <c r="B1819" s="5" t="s">
        <v>4383</v>
      </c>
      <c r="C1819" s="5" t="s">
        <v>31</v>
      </c>
      <c r="D1819" s="5" t="s">
        <v>32</v>
      </c>
      <c r="E1819" s="5" t="s">
        <v>348</v>
      </c>
      <c r="F1819" s="9">
        <v>88</v>
      </c>
      <c r="G1819" s="9">
        <v>910</v>
      </c>
      <c r="H1819" s="5" t="s">
        <v>20</v>
      </c>
      <c r="I1819" s="5" t="s">
        <v>4384</v>
      </c>
      <c r="J1819" s="12" t="str">
        <f>HYPERLINK("https://www.boe.es/gazeta/dias/1806/10/28/pdfs/GMD-1806-88.pdf#page=6","Abrir facsímil")</f>
        <v>Abrir facsímil</v>
      </c>
      <c r="K1819" s="15" t="s">
        <v>22</v>
      </c>
    </row>
    <row r="1820" spans="1:11" ht="42" customHeight="1">
      <c r="A1820" s="4" t="s">
        <v>4385</v>
      </c>
      <c r="B1820" s="5" t="s">
        <v>4386</v>
      </c>
      <c r="C1820" s="5" t="s">
        <v>42</v>
      </c>
      <c r="D1820" s="5" t="s">
        <v>43</v>
      </c>
      <c r="E1820" s="5" t="s">
        <v>400</v>
      </c>
      <c r="F1820" s="9">
        <v>22</v>
      </c>
      <c r="G1820" s="9">
        <v>207</v>
      </c>
      <c r="H1820" s="5" t="s">
        <v>20</v>
      </c>
      <c r="I1820" s="5" t="s">
        <v>4387</v>
      </c>
      <c r="J1820" s="12" t="str">
        <f>HYPERLINK("https://www.boe.es/gazeta/dias/1806/03/11/pdfs/GMD-1806-22.pdf#page=7","Abrir facsímil")</f>
        <v>Abrir facsímil</v>
      </c>
      <c r="K1820" s="15" t="s">
        <v>22</v>
      </c>
    </row>
    <row r="1821" spans="1:11" ht="42" customHeight="1">
      <c r="A1821" s="4" t="s">
        <v>4388</v>
      </c>
      <c r="B1821" s="5" t="s">
        <v>4389</v>
      </c>
      <c r="C1821" s="5" t="s">
        <v>42</v>
      </c>
      <c r="D1821" s="5" t="s">
        <v>43</v>
      </c>
      <c r="E1821" s="5" t="s">
        <v>271</v>
      </c>
      <c r="F1821" s="9">
        <v>6</v>
      </c>
      <c r="G1821" s="9">
        <v>53</v>
      </c>
      <c r="H1821" s="5" t="s">
        <v>20</v>
      </c>
      <c r="I1821" s="5" t="s">
        <v>4390</v>
      </c>
      <c r="J1821" s="12" t="str">
        <f>HYPERLINK("https://www.boe.es/gazeta/dias/1806/01/17/pdfs/GMD-1806-6.pdf#page=9","Abrir facsímil")</f>
        <v>Abrir facsímil</v>
      </c>
      <c r="K1821" s="15" t="s">
        <v>22</v>
      </c>
    </row>
    <row r="1822" spans="1:11" ht="42" customHeight="1">
      <c r="A1822" s="4" t="s">
        <v>4391</v>
      </c>
      <c r="B1822" s="5" t="s">
        <v>4392</v>
      </c>
      <c r="C1822" s="5" t="s">
        <v>42</v>
      </c>
      <c r="D1822" s="5" t="s">
        <v>43</v>
      </c>
      <c r="E1822" s="5" t="s">
        <v>400</v>
      </c>
      <c r="F1822" s="9">
        <v>22</v>
      </c>
      <c r="G1822" s="9">
        <v>207</v>
      </c>
      <c r="H1822" s="5" t="s">
        <v>20</v>
      </c>
      <c r="I1822" s="5" t="s">
        <v>4393</v>
      </c>
      <c r="J1822" s="12" t="str">
        <f>HYPERLINK("https://www.boe.es/gazeta/dias/1806/03/11/pdfs/GMD-1806-22.pdf#page=7","Abrir facsímil")</f>
        <v>Abrir facsímil</v>
      </c>
      <c r="K1822" s="15" t="s">
        <v>22</v>
      </c>
    </row>
    <row r="1823" spans="1:11" ht="42" customHeight="1">
      <c r="A1823" s="4" t="s">
        <v>4394</v>
      </c>
      <c r="B1823" s="5" t="s">
        <v>4394</v>
      </c>
      <c r="C1823" s="5" t="s">
        <v>36</v>
      </c>
      <c r="D1823" s="5" t="s">
        <v>37</v>
      </c>
      <c r="E1823" s="5" t="s">
        <v>121</v>
      </c>
      <c r="F1823" s="9">
        <v>19</v>
      </c>
      <c r="G1823" s="9">
        <v>165</v>
      </c>
      <c r="H1823" s="5" t="s">
        <v>20</v>
      </c>
      <c r="I1823" s="5" t="s">
        <v>4395</v>
      </c>
      <c r="J1823" s="12" t="str">
        <f>HYPERLINK("https://www.boe.es/gazeta/dias/1806/02/28/pdfs/GMD-1806-19.pdf#page=1","Abrir facsímil")</f>
        <v>Abrir facsímil</v>
      </c>
      <c r="K1823" s="15" t="s">
        <v>22</v>
      </c>
    </row>
    <row r="1824" spans="1:11" ht="42" customHeight="1">
      <c r="A1824" s="4" t="s">
        <v>4396</v>
      </c>
      <c r="B1824" s="5" t="s">
        <v>4397</v>
      </c>
      <c r="C1824" s="5" t="s">
        <v>75</v>
      </c>
      <c r="D1824" s="5" t="s">
        <v>43</v>
      </c>
      <c r="E1824" s="5" t="s">
        <v>669</v>
      </c>
      <c r="F1824" s="9">
        <v>14</v>
      </c>
      <c r="G1824" s="9">
        <v>123</v>
      </c>
      <c r="H1824" s="5" t="s">
        <v>20</v>
      </c>
      <c r="I1824" s="5" t="s">
        <v>4398</v>
      </c>
      <c r="J1824" s="12" t="str">
        <f>HYPERLINK("https://www.boe.es/gazeta/dias/1806/02/11/pdfs/GMD-1806-14.pdf#page=7","Abrir facsímil")</f>
        <v>Abrir facsímil</v>
      </c>
      <c r="K1824" s="15" t="s">
        <v>22</v>
      </c>
    </row>
    <row r="1825" spans="1:11" ht="42" customHeight="1">
      <c r="A1825" s="4" t="s">
        <v>4399</v>
      </c>
      <c r="B1825" s="5" t="s">
        <v>4400</v>
      </c>
      <c r="C1825" s="5" t="s">
        <v>17</v>
      </c>
      <c r="D1825" s="5" t="s">
        <v>18</v>
      </c>
      <c r="E1825" s="5" t="s">
        <v>195</v>
      </c>
      <c r="F1825" s="9">
        <v>4</v>
      </c>
      <c r="G1825" s="9">
        <v>39</v>
      </c>
      <c r="H1825" s="5" t="s">
        <v>20</v>
      </c>
      <c r="I1825" s="5" t="s">
        <v>4401</v>
      </c>
      <c r="J1825" s="12" t="str">
        <f>HYPERLINK("https://www.boe.es/gazeta/dias/1806/01/14/pdfs/GMD-1806-4.pdf#page=11","Abrir facsímil")</f>
        <v>Abrir facsímil</v>
      </c>
      <c r="K1825" s="15" t="s">
        <v>22</v>
      </c>
    </row>
    <row r="1826" spans="1:11" ht="42" customHeight="1">
      <c r="A1826" s="4" t="s">
        <v>4402</v>
      </c>
      <c r="B1826" s="5" t="s">
        <v>4403</v>
      </c>
      <c r="C1826" s="5" t="s">
        <v>31</v>
      </c>
      <c r="D1826" s="5" t="s">
        <v>32</v>
      </c>
      <c r="E1826" s="5" t="s">
        <v>689</v>
      </c>
      <c r="F1826" s="9">
        <v>37</v>
      </c>
      <c r="G1826" s="9">
        <v>361</v>
      </c>
      <c r="H1826" s="5" t="s">
        <v>20</v>
      </c>
      <c r="I1826" s="5" t="s">
        <v>4404</v>
      </c>
      <c r="J1826" s="12" t="str">
        <f>HYPERLINK("https://www.boe.es/gazeta/dias/1806/05/02/pdfs/GMD-1806-37.pdf#page=9","Abrir facsímil")</f>
        <v>Abrir facsímil</v>
      </c>
      <c r="K1826" s="15" t="s">
        <v>22</v>
      </c>
    </row>
    <row r="1827" spans="1:11" ht="42" customHeight="1">
      <c r="A1827" s="4" t="s">
        <v>4405</v>
      </c>
      <c r="B1827" s="5" t="s">
        <v>4406</v>
      </c>
      <c r="C1827" s="5" t="s">
        <v>31</v>
      </c>
      <c r="D1827" s="5" t="s">
        <v>32</v>
      </c>
      <c r="E1827" s="5" t="s">
        <v>195</v>
      </c>
      <c r="F1827" s="9">
        <v>4</v>
      </c>
      <c r="G1827" s="9">
        <v>35</v>
      </c>
      <c r="H1827" s="5" t="s">
        <v>20</v>
      </c>
      <c r="I1827" s="5" t="s">
        <v>4407</v>
      </c>
      <c r="J1827" s="12" t="str">
        <f>HYPERLINK("https://www.boe.es/gazeta/dias/1806/01/14/pdfs/GMD-1806-4.pdf#page=7","Abrir facsímil")</f>
        <v>Abrir facsímil</v>
      </c>
      <c r="K1827" s="15" t="s">
        <v>22</v>
      </c>
    </row>
    <row r="1828" spans="1:11" ht="42" customHeight="1">
      <c r="A1828" s="4" t="s">
        <v>4408</v>
      </c>
      <c r="B1828" s="5" t="s">
        <v>4409</v>
      </c>
      <c r="C1828" s="5" t="s">
        <v>42</v>
      </c>
      <c r="D1828" s="5" t="s">
        <v>43</v>
      </c>
      <c r="E1828" s="5" t="s">
        <v>55</v>
      </c>
      <c r="F1828" s="9">
        <v>20</v>
      </c>
      <c r="G1828" s="9">
        <v>184</v>
      </c>
      <c r="H1828" s="5" t="s">
        <v>20</v>
      </c>
      <c r="I1828" s="5" t="s">
        <v>4410</v>
      </c>
      <c r="J1828" s="12" t="str">
        <f>HYPERLINK("https://www.boe.es/gazeta/dias/1806/03/04/pdfs/GMD-1806-20.pdf#page=8","Abrir facsímil")</f>
        <v>Abrir facsímil</v>
      </c>
      <c r="K1828" s="15" t="s">
        <v>22</v>
      </c>
    </row>
    <row r="1829" spans="1:11" ht="42" customHeight="1">
      <c r="A1829" s="4" t="s">
        <v>4411</v>
      </c>
      <c r="B1829" s="5" t="s">
        <v>4412</v>
      </c>
      <c r="C1829" s="5" t="s">
        <v>31</v>
      </c>
      <c r="D1829" s="5" t="s">
        <v>32</v>
      </c>
      <c r="E1829" s="5" t="s">
        <v>172</v>
      </c>
      <c r="F1829" s="9">
        <v>17</v>
      </c>
      <c r="G1829" s="9">
        <v>151</v>
      </c>
      <c r="H1829" s="5" t="s">
        <v>20</v>
      </c>
      <c r="I1829" s="5" t="s">
        <v>4413</v>
      </c>
      <c r="J1829" s="12" t="str">
        <f>HYPERLINK("https://www.boe.es/gazeta/dias/1806/02/21/pdfs/GMD-1806-17.pdf#page=7","Abrir facsímil")</f>
        <v>Abrir facsímil</v>
      </c>
      <c r="K1829" s="15" t="s">
        <v>22</v>
      </c>
    </row>
    <row r="1830" spans="1:11" ht="42" customHeight="1">
      <c r="A1830" s="4" t="s">
        <v>4414</v>
      </c>
      <c r="B1830" s="5" t="s">
        <v>4415</v>
      </c>
      <c r="C1830" s="5" t="s">
        <v>42</v>
      </c>
      <c r="D1830" s="5" t="s">
        <v>43</v>
      </c>
      <c r="E1830" s="5" t="s">
        <v>259</v>
      </c>
      <c r="F1830" s="9">
        <v>34</v>
      </c>
      <c r="G1830" s="9">
        <v>329</v>
      </c>
      <c r="H1830" s="5" t="s">
        <v>20</v>
      </c>
      <c r="I1830" s="5" t="s">
        <v>4416</v>
      </c>
      <c r="J1830" s="12" t="str">
        <f>HYPERLINK("https://www.boe.es/gazeta/dias/1806/04/22/pdfs/GMD-1806-34.pdf#page=1","Abrir facsímil")</f>
        <v>Abrir facsímil</v>
      </c>
      <c r="K1830" s="15" t="s">
        <v>22</v>
      </c>
    </row>
    <row r="1831" spans="1:11" ht="42" customHeight="1">
      <c r="A1831" s="4" t="s">
        <v>4417</v>
      </c>
      <c r="B1831" s="5" t="s">
        <v>4418</v>
      </c>
      <c r="C1831" s="5" t="s">
        <v>31</v>
      </c>
      <c r="D1831" s="5" t="s">
        <v>32</v>
      </c>
      <c r="E1831" s="5" t="s">
        <v>165</v>
      </c>
      <c r="F1831" s="9">
        <v>101</v>
      </c>
      <c r="G1831" s="9">
        <v>1074</v>
      </c>
      <c r="H1831" s="5" t="s">
        <v>20</v>
      </c>
      <c r="I1831" s="5" t="s">
        <v>4419</v>
      </c>
      <c r="J1831" s="12" t="str">
        <f>HYPERLINK("https://www.boe.es/gazeta/dias/1806/12/12/pdfs/GMD-1806-101.pdf#page=6","Abrir facsímil")</f>
        <v>Abrir facsímil</v>
      </c>
      <c r="K1831" s="15" t="s">
        <v>22</v>
      </c>
    </row>
    <row r="1832" spans="1:11" ht="42" customHeight="1">
      <c r="A1832" s="4" t="s">
        <v>4420</v>
      </c>
      <c r="B1832" s="5" t="s">
        <v>4421</v>
      </c>
      <c r="C1832" s="5" t="s">
        <v>31</v>
      </c>
      <c r="D1832" s="5" t="s">
        <v>32</v>
      </c>
      <c r="E1832" s="5" t="s">
        <v>405</v>
      </c>
      <c r="F1832" s="9">
        <v>80</v>
      </c>
      <c r="G1832" s="9">
        <v>830</v>
      </c>
      <c r="H1832" s="5" t="s">
        <v>20</v>
      </c>
      <c r="I1832" s="5" t="s">
        <v>4422</v>
      </c>
      <c r="J1832" s="12" t="str">
        <f>HYPERLINK("https://www.boe.es/gazeta/dias/1806/09/30/pdfs/GMD-1806-80.pdf#page=10","Abrir facsímil")</f>
        <v>Abrir facsímil</v>
      </c>
      <c r="K1832" s="15" t="s">
        <v>22</v>
      </c>
    </row>
    <row r="1833" spans="1:11" ht="42" customHeight="1">
      <c r="A1833" s="4" t="s">
        <v>4423</v>
      </c>
      <c r="B1833" s="5" t="s">
        <v>4424</v>
      </c>
      <c r="C1833" s="5" t="s">
        <v>17</v>
      </c>
      <c r="D1833" s="5" t="s">
        <v>18</v>
      </c>
      <c r="E1833" s="5" t="s">
        <v>130</v>
      </c>
      <c r="F1833" s="9">
        <v>66</v>
      </c>
      <c r="G1833" s="9">
        <v>692</v>
      </c>
      <c r="H1833" s="5" t="s">
        <v>20</v>
      </c>
      <c r="I1833" s="5" t="s">
        <v>4425</v>
      </c>
      <c r="J1833" s="12" t="str">
        <f>HYPERLINK("https://www.boe.es/gazeta/dias/1806/08/12/pdfs/GMD-1806-66.pdf#page=8","Abrir facsímil")</f>
        <v>Abrir facsímil</v>
      </c>
      <c r="K1833" s="15" t="s">
        <v>22</v>
      </c>
    </row>
    <row r="1834" spans="1:11" ht="42" customHeight="1">
      <c r="A1834" s="4" t="s">
        <v>4423</v>
      </c>
      <c r="B1834" s="5" t="s">
        <v>4424</v>
      </c>
      <c r="C1834" s="5" t="s">
        <v>31</v>
      </c>
      <c r="D1834" s="5" t="s">
        <v>32</v>
      </c>
      <c r="E1834" s="5" t="s">
        <v>434</v>
      </c>
      <c r="F1834" s="9">
        <v>74</v>
      </c>
      <c r="G1834" s="9">
        <v>766</v>
      </c>
      <c r="H1834" s="5" t="s">
        <v>20</v>
      </c>
      <c r="I1834" s="5" t="s">
        <v>4426</v>
      </c>
      <c r="J1834" s="12" t="str">
        <f>HYPERLINK("https://www.boe.es/gazeta/dias/1806/09/09/pdfs/GMD-1806-74.pdf#page=6","Abrir facsímil")</f>
        <v>Abrir facsímil</v>
      </c>
      <c r="K1834" s="15" t="s">
        <v>22</v>
      </c>
    </row>
    <row r="1835" spans="1:11" ht="42" customHeight="1">
      <c r="A1835" s="4" t="s">
        <v>4427</v>
      </c>
      <c r="B1835" s="5" t="s">
        <v>4427</v>
      </c>
      <c r="C1835" s="5" t="s">
        <v>31</v>
      </c>
      <c r="D1835" s="5" t="s">
        <v>32</v>
      </c>
      <c r="E1835" s="5" t="s">
        <v>580</v>
      </c>
      <c r="F1835" s="9">
        <v>23</v>
      </c>
      <c r="G1835" s="9">
        <v>220</v>
      </c>
      <c r="H1835" s="5" t="s">
        <v>20</v>
      </c>
      <c r="I1835" s="5" t="s">
        <v>4428</v>
      </c>
      <c r="J1835" s="12" t="str">
        <f>HYPERLINK("https://www.boe.es/gazeta/dias/1806/03/14/pdfs/GMD-1806-23.pdf#page=8","Abrir facsímil")</f>
        <v>Abrir facsímil</v>
      </c>
      <c r="K1835" s="15" t="s">
        <v>22</v>
      </c>
    </row>
    <row r="1836" spans="1:11" ht="42" customHeight="1">
      <c r="A1836" s="4" t="s">
        <v>4429</v>
      </c>
      <c r="B1836" s="5" t="s">
        <v>4429</v>
      </c>
      <c r="C1836" s="5" t="s">
        <v>17</v>
      </c>
      <c r="D1836" s="5" t="s">
        <v>18</v>
      </c>
      <c r="E1836" s="5" t="s">
        <v>669</v>
      </c>
      <c r="F1836" s="9">
        <v>14</v>
      </c>
      <c r="G1836" s="9">
        <v>123</v>
      </c>
      <c r="H1836" s="5" t="s">
        <v>20</v>
      </c>
      <c r="I1836" s="5" t="s">
        <v>4430</v>
      </c>
      <c r="J1836" s="12" t="str">
        <f>HYPERLINK("https://www.boe.es/gazeta/dias/1806/02/11/pdfs/GMD-1806-14.pdf#page=7","Abrir facsímil")</f>
        <v>Abrir facsímil</v>
      </c>
      <c r="K1836" s="15" t="s">
        <v>22</v>
      </c>
    </row>
    <row r="1837" spans="1:11" ht="42" customHeight="1">
      <c r="A1837" s="4" t="s">
        <v>4431</v>
      </c>
      <c r="B1837" s="5" t="s">
        <v>4431</v>
      </c>
      <c r="C1837" s="5" t="s">
        <v>31</v>
      </c>
      <c r="D1837" s="5" t="s">
        <v>32</v>
      </c>
      <c r="E1837" s="5" t="s">
        <v>127</v>
      </c>
      <c r="F1837" s="9">
        <v>81</v>
      </c>
      <c r="G1837" s="9">
        <v>837</v>
      </c>
      <c r="H1837" s="5" t="s">
        <v>20</v>
      </c>
      <c r="I1837" s="5" t="s">
        <v>4432</v>
      </c>
      <c r="J1837" s="12" t="str">
        <f>HYPERLINK("https://www.boe.es/gazeta/dias/1806/10/03/pdfs/GMD-1806-81.pdf#page=5","Abrir facsímil")</f>
        <v>Abrir facsímil</v>
      </c>
      <c r="K1837" s="15" t="s">
        <v>22</v>
      </c>
    </row>
    <row r="1838" spans="1:11" ht="42" customHeight="1">
      <c r="A1838" s="4" t="s">
        <v>4433</v>
      </c>
      <c r="B1838" s="5" t="s">
        <v>4434</v>
      </c>
      <c r="C1838" s="5" t="s">
        <v>36</v>
      </c>
      <c r="D1838" s="5" t="s">
        <v>37</v>
      </c>
      <c r="E1838" s="5" t="s">
        <v>570</v>
      </c>
      <c r="F1838" s="9">
        <v>93</v>
      </c>
      <c r="G1838" s="9">
        <v>979</v>
      </c>
      <c r="H1838" s="5" t="s">
        <v>20</v>
      </c>
      <c r="I1838" s="5" t="s">
        <v>4435</v>
      </c>
      <c r="J1838" s="12" t="str">
        <f>HYPERLINK("https://www.boe.es/gazeta/dias/1806/11/14/pdfs/GMD-1806-93.pdf#page=15","Abrir facsímil")</f>
        <v>Abrir facsímil</v>
      </c>
      <c r="K1838" s="15" t="s">
        <v>22</v>
      </c>
    </row>
    <row r="1839" spans="1:11" ht="42" customHeight="1">
      <c r="A1839" s="4" t="s">
        <v>4436</v>
      </c>
      <c r="B1839" s="5" t="s">
        <v>4436</v>
      </c>
      <c r="C1839" s="5" t="s">
        <v>17</v>
      </c>
      <c r="D1839" s="5" t="s">
        <v>18</v>
      </c>
      <c r="E1839" s="5" t="s">
        <v>279</v>
      </c>
      <c r="F1839" s="9">
        <v>52</v>
      </c>
      <c r="G1839" s="9">
        <v>540</v>
      </c>
      <c r="H1839" s="5" t="s">
        <v>20</v>
      </c>
      <c r="I1839" s="5" t="s">
        <v>4437</v>
      </c>
      <c r="J1839" s="12" t="str">
        <f>HYPERLINK("https://www.boe.es/gazeta/dias/1806/06/24/pdfs/GMD-1806-52.pdf#page=8","Abrir facsímil")</f>
        <v>Abrir facsímil</v>
      </c>
      <c r="K1839" s="15" t="s">
        <v>22</v>
      </c>
    </row>
    <row r="1840" spans="1:11" ht="42" customHeight="1">
      <c r="A1840" s="4" t="s">
        <v>4438</v>
      </c>
      <c r="B1840" s="5" t="s">
        <v>4439</v>
      </c>
      <c r="C1840" s="5" t="s">
        <v>42</v>
      </c>
      <c r="D1840" s="5" t="s">
        <v>43</v>
      </c>
      <c r="E1840" s="5" t="s">
        <v>271</v>
      </c>
      <c r="F1840" s="9">
        <v>6</v>
      </c>
      <c r="G1840" s="9">
        <v>56</v>
      </c>
      <c r="H1840" s="5" t="s">
        <v>20</v>
      </c>
      <c r="I1840" s="5" t="s">
        <v>4440</v>
      </c>
      <c r="J1840" s="12" t="str">
        <f>HYPERLINK("https://www.boe.es/gazeta/dias/1806/01/17/pdfs/GMD-1806-6.pdf#page=12","Abrir facsímil")</f>
        <v>Abrir facsímil</v>
      </c>
      <c r="K1840" s="15" t="s">
        <v>22</v>
      </c>
    </row>
    <row r="1841" spans="1:11" ht="42" customHeight="1">
      <c r="A1841" s="4" t="s">
        <v>4441</v>
      </c>
      <c r="B1841" s="5" t="s">
        <v>4442</v>
      </c>
      <c r="C1841" s="5" t="s">
        <v>17</v>
      </c>
      <c r="D1841" s="5" t="s">
        <v>18</v>
      </c>
      <c r="E1841" s="5" t="s">
        <v>51</v>
      </c>
      <c r="F1841" s="9">
        <v>44</v>
      </c>
      <c r="G1841" s="9">
        <v>446</v>
      </c>
      <c r="H1841" s="5" t="s">
        <v>20</v>
      </c>
      <c r="I1841" s="5" t="s">
        <v>4443</v>
      </c>
      <c r="J1841" s="12" t="str">
        <f>HYPERLINK("https://www.boe.es/gazeta/dias/1806/05/27/pdfs/GMD-1806-44.pdf#page=10","Abrir facsímil")</f>
        <v>Abrir facsímil</v>
      </c>
      <c r="K1841" s="15" t="s">
        <v>22</v>
      </c>
    </row>
    <row r="1842" spans="1:11" ht="42" customHeight="1">
      <c r="A1842" s="4" t="s">
        <v>4444</v>
      </c>
      <c r="B1842" s="5" t="s">
        <v>4445</v>
      </c>
      <c r="C1842" s="5" t="s">
        <v>17</v>
      </c>
      <c r="D1842" s="5" t="s">
        <v>18</v>
      </c>
      <c r="E1842" s="5" t="s">
        <v>178</v>
      </c>
      <c r="F1842" s="9">
        <v>36</v>
      </c>
      <c r="G1842" s="9">
        <v>349</v>
      </c>
      <c r="H1842" s="5" t="s">
        <v>20</v>
      </c>
      <c r="I1842" s="5" t="s">
        <v>4446</v>
      </c>
      <c r="J1842" s="12" t="str">
        <f>HYPERLINK("https://www.boe.es/gazeta/dias/1806/04/29/pdfs/GMD-1806-36.pdf#page=5","Abrir facsímil")</f>
        <v>Abrir facsímil</v>
      </c>
      <c r="K1842" s="15" t="s">
        <v>22</v>
      </c>
    </row>
    <row r="1843" spans="1:11" ht="42" customHeight="1">
      <c r="A1843" s="4" t="s">
        <v>4444</v>
      </c>
      <c r="B1843" s="5" t="s">
        <v>4445</v>
      </c>
      <c r="C1843" s="5" t="s">
        <v>42</v>
      </c>
      <c r="D1843" s="5" t="s">
        <v>43</v>
      </c>
      <c r="E1843" s="5" t="s">
        <v>185</v>
      </c>
      <c r="F1843" s="9">
        <v>46</v>
      </c>
      <c r="G1843" s="9">
        <v>470</v>
      </c>
      <c r="H1843" s="5" t="s">
        <v>20</v>
      </c>
      <c r="I1843" s="5" t="s">
        <v>4447</v>
      </c>
      <c r="J1843" s="12" t="str">
        <f>HYPERLINK("https://www.boe.es/gazeta/dias/1806/06/03/pdfs/GMD-1806-46.pdf#page=10","Abrir facsímil")</f>
        <v>Abrir facsímil</v>
      </c>
      <c r="K1843" s="15" t="s">
        <v>22</v>
      </c>
    </row>
    <row r="1844" spans="1:11" ht="42" customHeight="1">
      <c r="A1844" s="4" t="s">
        <v>4444</v>
      </c>
      <c r="B1844" s="5" t="s">
        <v>4445</v>
      </c>
      <c r="C1844" s="5" t="s">
        <v>17</v>
      </c>
      <c r="D1844" s="5" t="s">
        <v>18</v>
      </c>
      <c r="E1844" s="5" t="s">
        <v>103</v>
      </c>
      <c r="F1844" s="9">
        <v>61</v>
      </c>
      <c r="G1844" s="9">
        <v>634</v>
      </c>
      <c r="H1844" s="5" t="s">
        <v>20</v>
      </c>
      <c r="I1844" s="5" t="s">
        <v>4448</v>
      </c>
      <c r="J1844" s="12" t="str">
        <f>HYPERLINK("https://www.boe.es/gazeta/dias/1806/07/25/pdfs/GMD-1806-61.pdf#page=6","Abrir facsímil")</f>
        <v>Abrir facsímil</v>
      </c>
      <c r="K1844" s="15" t="s">
        <v>22</v>
      </c>
    </row>
    <row r="1845" spans="1:11" ht="42" customHeight="1">
      <c r="A1845" s="4" t="s">
        <v>4444</v>
      </c>
      <c r="B1845" s="5" t="s">
        <v>4445</v>
      </c>
      <c r="C1845" s="5" t="s">
        <v>69</v>
      </c>
      <c r="D1845" s="5" t="s">
        <v>70</v>
      </c>
      <c r="E1845" s="5" t="s">
        <v>93</v>
      </c>
      <c r="F1845" s="9">
        <v>72</v>
      </c>
      <c r="G1845" s="9">
        <v>744</v>
      </c>
      <c r="H1845" s="5" t="s">
        <v>20</v>
      </c>
      <c r="I1845" s="5" t="s">
        <v>4449</v>
      </c>
      <c r="J1845" s="12" t="str">
        <f>HYPERLINK("https://www.boe.es/gazeta/dias/1806/09/02/pdfs/GMD-1806-72.pdf#page=4","Abrir facsímil")</f>
        <v>Abrir facsímil</v>
      </c>
      <c r="K1845" s="15" t="s">
        <v>22</v>
      </c>
    </row>
    <row r="1846" spans="1:11" ht="42" customHeight="1">
      <c r="A1846" s="4" t="s">
        <v>4450</v>
      </c>
      <c r="B1846" s="5" t="s">
        <v>4451</v>
      </c>
      <c r="C1846" s="5" t="s">
        <v>42</v>
      </c>
      <c r="D1846" s="5" t="s">
        <v>43</v>
      </c>
      <c r="E1846" s="5" t="s">
        <v>837</v>
      </c>
      <c r="F1846" s="9">
        <v>26</v>
      </c>
      <c r="G1846" s="9">
        <v>253</v>
      </c>
      <c r="H1846" s="5" t="s">
        <v>20</v>
      </c>
      <c r="I1846" s="5" t="s">
        <v>4452</v>
      </c>
      <c r="J1846" s="12" t="str">
        <f>HYPERLINK("https://www.boe.es/gazeta/dias/1806/03/25/pdfs/GMD-1806-26.pdf#page=5","Abrir facsímil")</f>
        <v>Abrir facsímil</v>
      </c>
      <c r="K1846" s="15" t="s">
        <v>22</v>
      </c>
    </row>
    <row r="1847" spans="1:11" ht="42" customHeight="1">
      <c r="A1847" s="4" t="s">
        <v>4450</v>
      </c>
      <c r="B1847" s="5" t="s">
        <v>4451</v>
      </c>
      <c r="C1847" s="5" t="s">
        <v>69</v>
      </c>
      <c r="D1847" s="5" t="s">
        <v>70</v>
      </c>
      <c r="E1847" s="5" t="s">
        <v>202</v>
      </c>
      <c r="F1847" s="9">
        <v>30</v>
      </c>
      <c r="G1847" s="9">
        <v>291</v>
      </c>
      <c r="H1847" s="5" t="s">
        <v>20</v>
      </c>
      <c r="I1847" s="5" t="s">
        <v>4453</v>
      </c>
      <c r="J1847" s="12" t="str">
        <f>HYPERLINK("https://www.boe.es/gazeta/dias/1806/04/08/pdfs/GMD-1806-30.pdf#page=3","Abrir facsímil")</f>
        <v>Abrir facsímil</v>
      </c>
      <c r="K1847" s="15" t="s">
        <v>22</v>
      </c>
    </row>
    <row r="1848" spans="1:11" ht="42" customHeight="1">
      <c r="A1848" s="4" t="s">
        <v>4450</v>
      </c>
      <c r="B1848" s="5" t="s">
        <v>4451</v>
      </c>
      <c r="C1848" s="5" t="s">
        <v>42</v>
      </c>
      <c r="D1848" s="5" t="s">
        <v>43</v>
      </c>
      <c r="E1848" s="5" t="s">
        <v>202</v>
      </c>
      <c r="F1848" s="9">
        <v>30</v>
      </c>
      <c r="G1848" s="9">
        <v>294</v>
      </c>
      <c r="H1848" s="5" t="s">
        <v>20</v>
      </c>
      <c r="I1848" s="5" t="s">
        <v>4454</v>
      </c>
      <c r="J1848" s="12" t="str">
        <f>HYPERLINK("https://www.boe.es/gazeta/dias/1806/04/08/pdfs/GMD-1806-30.pdf#page=6","Abrir facsímil")</f>
        <v>Abrir facsímil</v>
      </c>
      <c r="K1848" s="15" t="s">
        <v>22</v>
      </c>
    </row>
    <row r="1849" spans="1:11" ht="42" customHeight="1">
      <c r="A1849" s="4" t="s">
        <v>4455</v>
      </c>
      <c r="B1849" s="5" t="s">
        <v>4456</v>
      </c>
      <c r="C1849" s="5" t="s">
        <v>31</v>
      </c>
      <c r="D1849" s="5" t="s">
        <v>32</v>
      </c>
      <c r="E1849" s="5" t="s">
        <v>304</v>
      </c>
      <c r="F1849" s="9">
        <v>47</v>
      </c>
      <c r="G1849" s="9">
        <v>483</v>
      </c>
      <c r="H1849" s="5" t="s">
        <v>20</v>
      </c>
      <c r="I1849" s="5" t="s">
        <v>4457</v>
      </c>
      <c r="J1849" s="12" t="str">
        <f>HYPERLINK("https://www.boe.es/gazeta/dias/1806/06/06/pdfs/GMD-C-1806-47.pdf#page=3","Abrir facsímil")</f>
        <v>Abrir facsímil</v>
      </c>
      <c r="K1849" s="15" t="s">
        <v>22</v>
      </c>
    </row>
    <row r="1850" spans="1:11" ht="42" customHeight="1">
      <c r="A1850" s="4" t="s">
        <v>4458</v>
      </c>
      <c r="B1850" s="5" t="s">
        <v>4459</v>
      </c>
      <c r="C1850" s="5" t="s">
        <v>75</v>
      </c>
      <c r="D1850" s="5" t="s">
        <v>43</v>
      </c>
      <c r="E1850" s="5" t="s">
        <v>220</v>
      </c>
      <c r="F1850" s="9">
        <v>24</v>
      </c>
      <c r="G1850" s="9">
        <v>232</v>
      </c>
      <c r="H1850" s="5" t="s">
        <v>20</v>
      </c>
      <c r="I1850" s="5" t="s">
        <v>4460</v>
      </c>
      <c r="J1850" s="12" t="str">
        <f>HYPERLINK("https://www.boe.es/gazeta/dias/1806/03/18/pdfs/GMD-1806-24.pdf#page=8","Abrir facsímil")</f>
        <v>Abrir facsímil</v>
      </c>
      <c r="K1850" s="15" t="s">
        <v>22</v>
      </c>
    </row>
    <row r="1851" spans="1:11" ht="42" customHeight="1">
      <c r="A1851" s="4" t="s">
        <v>4461</v>
      </c>
      <c r="B1851" s="5" t="s">
        <v>4462</v>
      </c>
      <c r="C1851" s="5" t="s">
        <v>31</v>
      </c>
      <c r="D1851" s="5" t="s">
        <v>32</v>
      </c>
      <c r="E1851" s="5" t="s">
        <v>702</v>
      </c>
      <c r="F1851" s="9">
        <v>43</v>
      </c>
      <c r="G1851" s="9">
        <v>433</v>
      </c>
      <c r="H1851" s="5" t="s">
        <v>20</v>
      </c>
      <c r="I1851" s="5" t="s">
        <v>4463</v>
      </c>
      <c r="J1851" s="12" t="str">
        <f>HYPERLINK("https://www.boe.es/gazeta/dias/1806/05/23/pdfs/GMD-1806-43.pdf#page=9","Abrir facsímil")</f>
        <v>Abrir facsímil</v>
      </c>
      <c r="K1851" s="15" t="s">
        <v>22</v>
      </c>
    </row>
    <row r="1852" spans="1:11" ht="42" customHeight="1">
      <c r="A1852" s="4" t="s">
        <v>4464</v>
      </c>
      <c r="B1852" s="5" t="s">
        <v>4465</v>
      </c>
      <c r="C1852" s="5" t="s">
        <v>69</v>
      </c>
      <c r="D1852" s="5" t="s">
        <v>70</v>
      </c>
      <c r="E1852" s="5" t="s">
        <v>188</v>
      </c>
      <c r="F1852" s="9">
        <v>2</v>
      </c>
      <c r="G1852" s="9">
        <v>15</v>
      </c>
      <c r="H1852" s="5" t="s">
        <v>20</v>
      </c>
      <c r="I1852" s="5" t="s">
        <v>4466</v>
      </c>
      <c r="J1852" s="12" t="str">
        <f>HYPERLINK("https://www.boe.es/gazeta/dias/1806/01/07/pdfs/GMD-1806-2.pdf#page=3","Abrir facsímil")</f>
        <v>Abrir facsímil</v>
      </c>
      <c r="K1852" s="15" t="s">
        <v>22</v>
      </c>
    </row>
    <row r="1853" spans="1:11" ht="42" customHeight="1">
      <c r="A1853" s="4" t="s">
        <v>4467</v>
      </c>
      <c r="B1853" s="5" t="s">
        <v>4467</v>
      </c>
      <c r="C1853" s="5" t="s">
        <v>31</v>
      </c>
      <c r="D1853" s="5" t="s">
        <v>32</v>
      </c>
      <c r="E1853" s="5" t="s">
        <v>716</v>
      </c>
      <c r="F1853" s="9">
        <v>56</v>
      </c>
      <c r="G1853" s="9">
        <v>586</v>
      </c>
      <c r="H1853" s="5" t="s">
        <v>20</v>
      </c>
      <c r="I1853" s="5" t="s">
        <v>4468</v>
      </c>
      <c r="J1853" s="12" t="str">
        <f>HYPERLINK("https://www.boe.es/gazeta/dias/1806/07/08/pdfs/GMD-1806-56.pdf#page=10","Abrir facsímil")</f>
        <v>Abrir facsímil</v>
      </c>
      <c r="K1853" s="15" t="s">
        <v>22</v>
      </c>
    </row>
    <row r="1854" spans="1:11" ht="42" customHeight="1">
      <c r="A1854" s="4" t="s">
        <v>4469</v>
      </c>
      <c r="B1854" s="5" t="s">
        <v>4470</v>
      </c>
      <c r="C1854" s="5" t="s">
        <v>69</v>
      </c>
      <c r="D1854" s="5" t="s">
        <v>70</v>
      </c>
      <c r="E1854" s="5" t="s">
        <v>285</v>
      </c>
      <c r="F1854" s="9">
        <v>13</v>
      </c>
      <c r="G1854" s="9">
        <v>113</v>
      </c>
      <c r="H1854" s="5" t="s">
        <v>20</v>
      </c>
      <c r="I1854" s="5" t="s">
        <v>4471</v>
      </c>
      <c r="J1854" s="12" t="str">
        <f>HYPERLINK("https://www.boe.es/gazeta/dias/1806/02/07/pdfs/GMD-1806-13.pdf#page=5","Abrir facsímil")</f>
        <v>Abrir facsímil</v>
      </c>
      <c r="K1854" s="15" t="s">
        <v>22</v>
      </c>
    </row>
    <row r="1855" spans="1:11" ht="42" customHeight="1">
      <c r="A1855" s="4" t="s">
        <v>4472</v>
      </c>
      <c r="B1855" s="5" t="s">
        <v>4472</v>
      </c>
      <c r="C1855" s="5" t="s">
        <v>17</v>
      </c>
      <c r="D1855" s="5" t="s">
        <v>18</v>
      </c>
      <c r="E1855" s="5" t="s">
        <v>716</v>
      </c>
      <c r="F1855" s="9">
        <v>56</v>
      </c>
      <c r="G1855" s="9">
        <v>587</v>
      </c>
      <c r="H1855" s="5" t="s">
        <v>20</v>
      </c>
      <c r="I1855" s="5" t="s">
        <v>4473</v>
      </c>
      <c r="J1855" s="12" t="str">
        <f>HYPERLINK("https://www.boe.es/gazeta/dias/1806/07/08/pdfs/GMD-1806-56.pdf#page=11","Abrir facsímil")</f>
        <v>Abrir facsímil</v>
      </c>
      <c r="K1855" s="15" t="s">
        <v>22</v>
      </c>
    </row>
    <row r="1856" spans="1:11" ht="42" customHeight="1">
      <c r="A1856" s="4" t="s">
        <v>4474</v>
      </c>
      <c r="B1856" s="5" t="s">
        <v>4474</v>
      </c>
      <c r="C1856" s="5" t="s">
        <v>36</v>
      </c>
      <c r="D1856" s="5" t="s">
        <v>37</v>
      </c>
      <c r="E1856" s="5" t="s">
        <v>870</v>
      </c>
      <c r="F1856" s="9">
        <v>35</v>
      </c>
      <c r="G1856" s="9">
        <v>344</v>
      </c>
      <c r="H1856" s="5" t="s">
        <v>20</v>
      </c>
      <c r="I1856" s="5" t="s">
        <v>4475</v>
      </c>
      <c r="J1856" s="12" t="str">
        <f>HYPERLINK("https://www.boe.es/gazeta/dias/1806/04/25/pdfs/GMD-1806-35.pdf#page=8","Abrir facsímil")</f>
        <v>Abrir facsímil</v>
      </c>
      <c r="K1856" s="15" t="s">
        <v>22</v>
      </c>
    </row>
    <row r="1857" spans="1:11" ht="42" customHeight="1">
      <c r="A1857" s="4" t="s">
        <v>4476</v>
      </c>
      <c r="B1857" s="5" t="s">
        <v>4477</v>
      </c>
      <c r="C1857" s="5" t="s">
        <v>69</v>
      </c>
      <c r="D1857" s="5" t="s">
        <v>70</v>
      </c>
      <c r="E1857" s="5" t="s">
        <v>38</v>
      </c>
      <c r="F1857" s="9">
        <v>92</v>
      </c>
      <c r="G1857" s="9">
        <v>958</v>
      </c>
      <c r="H1857" s="5" t="s">
        <v>20</v>
      </c>
      <c r="I1857" s="5" t="s">
        <v>4478</v>
      </c>
      <c r="J1857" s="12" t="str">
        <f>HYPERLINK("https://www.boe.es/gazeta/dias/1806/11/11/pdfs/GMD-1806-92.pdf#page=10","Abrir facsímil")</f>
        <v>Abrir facsímil</v>
      </c>
      <c r="K1857" s="15" t="s">
        <v>22</v>
      </c>
    </row>
    <row r="1858" spans="1:11" ht="42" customHeight="1">
      <c r="A1858" s="4" t="s">
        <v>4479</v>
      </c>
      <c r="B1858" s="5" t="s">
        <v>4480</v>
      </c>
      <c r="C1858" s="5" t="s">
        <v>69</v>
      </c>
      <c r="D1858" s="5" t="s">
        <v>70</v>
      </c>
      <c r="E1858" s="5" t="s">
        <v>38</v>
      </c>
      <c r="F1858" s="9">
        <v>92</v>
      </c>
      <c r="G1858" s="9">
        <v>958</v>
      </c>
      <c r="H1858" s="5" t="s">
        <v>20</v>
      </c>
      <c r="I1858" s="5" t="s">
        <v>4481</v>
      </c>
      <c r="J1858" s="12" t="str">
        <f>HYPERLINK("https://www.boe.es/gazeta/dias/1806/11/11/pdfs/GMD-1806-92.pdf#page=10","Abrir facsímil")</f>
        <v>Abrir facsímil</v>
      </c>
      <c r="K1858" s="15" t="s">
        <v>22</v>
      </c>
    </row>
    <row r="1859" spans="1:11" ht="42" customHeight="1">
      <c r="A1859" s="4" t="s">
        <v>4479</v>
      </c>
      <c r="B1859" s="5" t="s">
        <v>4480</v>
      </c>
      <c r="C1859" s="5" t="s">
        <v>69</v>
      </c>
      <c r="D1859" s="5" t="s">
        <v>70</v>
      </c>
      <c r="E1859" s="5" t="s">
        <v>28</v>
      </c>
      <c r="F1859" s="9">
        <v>102</v>
      </c>
      <c r="G1859" s="9">
        <v>1078</v>
      </c>
      <c r="H1859" s="5" t="s">
        <v>20</v>
      </c>
      <c r="I1859" s="5" t="s">
        <v>4482</v>
      </c>
      <c r="J1859" s="12" t="str">
        <f>HYPERLINK("https://www.boe.es/gazeta/dias/1806/12/16/pdfs/GMD-1806-102.pdf#page=2","Abrir facsímil")</f>
        <v>Abrir facsímil</v>
      </c>
      <c r="K1859" s="15" t="s">
        <v>22</v>
      </c>
    </row>
    <row r="1860" spans="1:11" ht="42" customHeight="1">
      <c r="A1860" s="4" t="s">
        <v>4483</v>
      </c>
      <c r="B1860" s="5" t="s">
        <v>4484</v>
      </c>
      <c r="C1860" s="5" t="s">
        <v>69</v>
      </c>
      <c r="D1860" s="5" t="s">
        <v>70</v>
      </c>
      <c r="E1860" s="5" t="s">
        <v>127</v>
      </c>
      <c r="F1860" s="9">
        <v>81</v>
      </c>
      <c r="G1860" s="9">
        <v>833</v>
      </c>
      <c r="H1860" s="5" t="s">
        <v>20</v>
      </c>
      <c r="I1860" s="5" t="s">
        <v>4485</v>
      </c>
      <c r="J1860" s="12" t="str">
        <f>HYPERLINK("https://www.boe.es/gazeta/dias/1806/10/03/pdfs/GMD-1806-81.pdf#page=1","Abrir facsímil")</f>
        <v>Abrir facsímil</v>
      </c>
      <c r="K1860" s="15" t="s">
        <v>22</v>
      </c>
    </row>
    <row r="1861" spans="1:11" ht="42" customHeight="1">
      <c r="A1861" s="4" t="s">
        <v>4486</v>
      </c>
      <c r="B1861" s="5" t="s">
        <v>4486</v>
      </c>
      <c r="C1861" s="5" t="s">
        <v>17</v>
      </c>
      <c r="D1861" s="5" t="s">
        <v>18</v>
      </c>
      <c r="E1861" s="5" t="s">
        <v>55</v>
      </c>
      <c r="F1861" s="9">
        <v>20</v>
      </c>
      <c r="G1861" s="9">
        <v>183</v>
      </c>
      <c r="H1861" s="5" t="s">
        <v>20</v>
      </c>
      <c r="I1861" s="5" t="s">
        <v>4487</v>
      </c>
      <c r="J1861" s="12" t="str">
        <f>HYPERLINK("https://www.boe.es/gazeta/dias/1806/03/04/pdfs/GMD-1806-20.pdf#page=7","Abrir facsímil")</f>
        <v>Abrir facsímil</v>
      </c>
      <c r="K1861" s="15" t="s">
        <v>22</v>
      </c>
    </row>
    <row r="1862" spans="1:11" ht="42" customHeight="1">
      <c r="A1862" s="4" t="s">
        <v>4486</v>
      </c>
      <c r="B1862" s="5" t="s">
        <v>4486</v>
      </c>
      <c r="C1862" s="5" t="s">
        <v>17</v>
      </c>
      <c r="D1862" s="5" t="s">
        <v>18</v>
      </c>
      <c r="E1862" s="5" t="s">
        <v>213</v>
      </c>
      <c r="F1862" s="9">
        <v>73</v>
      </c>
      <c r="G1862" s="9">
        <v>757</v>
      </c>
      <c r="H1862" s="5" t="s">
        <v>20</v>
      </c>
      <c r="I1862" s="5" t="s">
        <v>4488</v>
      </c>
      <c r="J1862" s="12" t="str">
        <f>HYPERLINK("https://www.boe.es/gazeta/dias/1806/09/05/pdfs/GMD-1806-73.pdf#page=5","Abrir facsímil")</f>
        <v>Abrir facsímil</v>
      </c>
      <c r="K1862" s="15" t="s">
        <v>22</v>
      </c>
    </row>
    <row r="1863" spans="1:11" ht="42" customHeight="1">
      <c r="A1863" s="4" t="s">
        <v>4489</v>
      </c>
      <c r="B1863" s="5" t="s">
        <v>4490</v>
      </c>
      <c r="C1863" s="5" t="s">
        <v>706</v>
      </c>
      <c r="D1863" s="5" t="s">
        <v>707</v>
      </c>
      <c r="E1863" s="5" t="s">
        <v>195</v>
      </c>
      <c r="F1863" s="9" t="s">
        <v>708</v>
      </c>
      <c r="G1863" s="9">
        <v>42</v>
      </c>
      <c r="H1863" s="5" t="s">
        <v>20</v>
      </c>
      <c r="I1863" s="5" t="s">
        <v>4491</v>
      </c>
      <c r="J1863" s="12" t="str">
        <f>HYPERLINK("https://www.boe.es/gazeta/dias/1806/01/14/pdfs/GMD-1806-5E.pdf#page=2","Abrir facsímil")</f>
        <v>Abrir facsímil</v>
      </c>
      <c r="K1863" s="15" t="s">
        <v>22</v>
      </c>
    </row>
    <row r="1864" spans="1:11" ht="42" customHeight="1">
      <c r="A1864" s="4" t="s">
        <v>4492</v>
      </c>
      <c r="B1864" s="5" t="s">
        <v>4492</v>
      </c>
      <c r="C1864" s="5" t="s">
        <v>31</v>
      </c>
      <c r="D1864" s="5" t="s">
        <v>32</v>
      </c>
      <c r="E1864" s="5" t="s">
        <v>554</v>
      </c>
      <c r="F1864" s="9">
        <v>90</v>
      </c>
      <c r="G1864" s="9">
        <v>934</v>
      </c>
      <c r="H1864" s="5" t="s">
        <v>20</v>
      </c>
      <c r="I1864" s="5" t="s">
        <v>4493</v>
      </c>
      <c r="J1864" s="12" t="str">
        <f>HYPERLINK("https://www.boe.es/gazeta/dias/1806/11/04/pdfs/GMD-1806-90.pdf#page=10","Abrir facsímil")</f>
        <v>Abrir facsímil</v>
      </c>
      <c r="K1864" s="15" t="s">
        <v>22</v>
      </c>
    </row>
    <row r="1865" spans="1:11" ht="42" customHeight="1">
      <c r="A1865" s="4" t="s">
        <v>4494</v>
      </c>
      <c r="B1865" s="5" t="s">
        <v>4494</v>
      </c>
      <c r="C1865" s="5" t="s">
        <v>69</v>
      </c>
      <c r="D1865" s="5" t="s">
        <v>70</v>
      </c>
      <c r="E1865" s="5" t="s">
        <v>28</v>
      </c>
      <c r="F1865" s="9">
        <v>102</v>
      </c>
      <c r="G1865" s="9">
        <v>1082</v>
      </c>
      <c r="H1865" s="5" t="s">
        <v>20</v>
      </c>
      <c r="I1865" s="5" t="s">
        <v>4495</v>
      </c>
      <c r="J1865" s="12" t="str">
        <f>HYPERLINK("https://www.boe.es/gazeta/dias/1806/12/16/pdfs/GMD-1806-102.pdf#page=6","Abrir facsímil")</f>
        <v>Abrir facsímil</v>
      </c>
      <c r="K1865" s="15" t="s">
        <v>22</v>
      </c>
    </row>
    <row r="1866" spans="1:11" ht="42" customHeight="1">
      <c r="A1866" s="4" t="s">
        <v>4496</v>
      </c>
      <c r="B1866" s="5" t="s">
        <v>4496</v>
      </c>
      <c r="C1866" s="5" t="s">
        <v>36</v>
      </c>
      <c r="D1866" s="5" t="s">
        <v>37</v>
      </c>
      <c r="E1866" s="5" t="s">
        <v>501</v>
      </c>
      <c r="F1866" s="9">
        <v>39</v>
      </c>
      <c r="G1866" s="9">
        <v>388</v>
      </c>
      <c r="H1866" s="5" t="s">
        <v>20</v>
      </c>
      <c r="I1866" s="5" t="s">
        <v>4497</v>
      </c>
      <c r="J1866" s="12" t="str">
        <f>HYPERLINK("https://www.boe.es/gazeta/dias/1806/05/09/pdfs/GMD-1806-39.pdf#page=12","Abrir facsímil")</f>
        <v>Abrir facsímil</v>
      </c>
      <c r="K1866" s="15" t="s">
        <v>22</v>
      </c>
    </row>
    <row r="1867" spans="1:11" ht="42" customHeight="1">
      <c r="A1867" s="4" t="s">
        <v>4498</v>
      </c>
      <c r="B1867" s="5" t="s">
        <v>4498</v>
      </c>
      <c r="C1867" s="5" t="s">
        <v>42</v>
      </c>
      <c r="D1867" s="5" t="s">
        <v>43</v>
      </c>
      <c r="E1867" s="5" t="s">
        <v>185</v>
      </c>
      <c r="F1867" s="9">
        <v>46</v>
      </c>
      <c r="G1867" s="9">
        <v>469</v>
      </c>
      <c r="H1867" s="5" t="s">
        <v>20</v>
      </c>
      <c r="I1867" s="5" t="s">
        <v>4499</v>
      </c>
      <c r="J1867" s="12" t="str">
        <f>HYPERLINK("https://www.boe.es/gazeta/dias/1806/06/03/pdfs/GMD-1806-46.pdf#page=9","Abrir facsímil")</f>
        <v>Abrir facsímil</v>
      </c>
      <c r="K1867" s="15" t="s">
        <v>22</v>
      </c>
    </row>
    <row r="1868" spans="1:11" ht="42" customHeight="1">
      <c r="A1868" s="4" t="s">
        <v>4500</v>
      </c>
      <c r="B1868" s="5" t="s">
        <v>4500</v>
      </c>
      <c r="C1868" s="5" t="s">
        <v>31</v>
      </c>
      <c r="D1868" s="5" t="s">
        <v>32</v>
      </c>
      <c r="E1868" s="5" t="s">
        <v>483</v>
      </c>
      <c r="F1868" s="9">
        <v>58</v>
      </c>
      <c r="G1868" s="9">
        <v>602</v>
      </c>
      <c r="H1868" s="5" t="s">
        <v>20</v>
      </c>
      <c r="I1868" s="5" t="s">
        <v>4501</v>
      </c>
      <c r="J1868" s="12" t="str">
        <f>HYPERLINK("https://www.boe.es/gazeta/dias/1806/07/15/pdfs/GMD-1806-58.pdf#page=6","Abrir facsímil")</f>
        <v>Abrir facsímil</v>
      </c>
      <c r="K1868" s="15" t="s">
        <v>22</v>
      </c>
    </row>
    <row r="1869" spans="1:11" ht="42" customHeight="1">
      <c r="A1869" s="4" t="s">
        <v>4502</v>
      </c>
      <c r="B1869" s="5" t="s">
        <v>4503</v>
      </c>
      <c r="C1869" s="5" t="s">
        <v>69</v>
      </c>
      <c r="D1869" s="5" t="s">
        <v>70</v>
      </c>
      <c r="E1869" s="5" t="s">
        <v>580</v>
      </c>
      <c r="F1869" s="9">
        <v>23</v>
      </c>
      <c r="G1869" s="9">
        <v>216</v>
      </c>
      <c r="H1869" s="5" t="s">
        <v>20</v>
      </c>
      <c r="I1869" s="5" t="s">
        <v>4504</v>
      </c>
      <c r="J1869" s="12" t="str">
        <f>HYPERLINK("https://www.boe.es/gazeta/dias/1806/03/14/pdfs/GMD-1806-23.pdf#page=4","Abrir facsímil")</f>
        <v>Abrir facsímil</v>
      </c>
      <c r="K1869" s="15" t="s">
        <v>22</v>
      </c>
    </row>
    <row r="1870" spans="1:11" ht="42" customHeight="1">
      <c r="A1870" s="4" t="s">
        <v>4502</v>
      </c>
      <c r="B1870" s="5" t="s">
        <v>4503</v>
      </c>
      <c r="C1870" s="5" t="s">
        <v>31</v>
      </c>
      <c r="D1870" s="5" t="s">
        <v>32</v>
      </c>
      <c r="E1870" s="5" t="s">
        <v>340</v>
      </c>
      <c r="F1870" s="9">
        <v>31</v>
      </c>
      <c r="G1870" s="9">
        <v>303</v>
      </c>
      <c r="H1870" s="5" t="s">
        <v>20</v>
      </c>
      <c r="I1870" s="5" t="s">
        <v>4505</v>
      </c>
      <c r="J1870" s="12" t="str">
        <f>HYPERLINK("https://www.boe.es/gazeta/dias/1806/04/11/pdfs/GMD-1806-31.pdf#page=7","Abrir facsímil")</f>
        <v>Abrir facsímil</v>
      </c>
      <c r="K1870" s="15" t="s">
        <v>22</v>
      </c>
    </row>
    <row r="1871" spans="1:11" ht="42" customHeight="1">
      <c r="A1871" s="4" t="s">
        <v>4506</v>
      </c>
      <c r="B1871" s="5" t="s">
        <v>4506</v>
      </c>
      <c r="C1871" s="5" t="s">
        <v>31</v>
      </c>
      <c r="D1871" s="5" t="s">
        <v>32</v>
      </c>
      <c r="E1871" s="5" t="s">
        <v>48</v>
      </c>
      <c r="F1871" s="9">
        <v>67</v>
      </c>
      <c r="G1871" s="9">
        <v>699</v>
      </c>
      <c r="H1871" s="5" t="s">
        <v>20</v>
      </c>
      <c r="I1871" s="5" t="s">
        <v>4507</v>
      </c>
      <c r="J1871" s="12" t="str">
        <f>HYPERLINK("https://www.boe.es/gazeta/dias/1806/08/15/pdfs/GMD-1806-67.pdf#page=7","Abrir facsímil")</f>
        <v>Abrir facsímil</v>
      </c>
      <c r="K1871" s="15" t="s">
        <v>22</v>
      </c>
    </row>
    <row r="1872" spans="1:11" ht="42" customHeight="1">
      <c r="A1872" s="4" t="s">
        <v>4508</v>
      </c>
      <c r="B1872" s="5" t="s">
        <v>4508</v>
      </c>
      <c r="C1872" s="5" t="s">
        <v>17</v>
      </c>
      <c r="D1872" s="5" t="s">
        <v>18</v>
      </c>
      <c r="E1872" s="5" t="s">
        <v>93</v>
      </c>
      <c r="F1872" s="9">
        <v>72</v>
      </c>
      <c r="G1872" s="9">
        <v>748</v>
      </c>
      <c r="H1872" s="5" t="s">
        <v>20</v>
      </c>
      <c r="I1872" s="5" t="s">
        <v>4509</v>
      </c>
      <c r="J1872" s="12" t="str">
        <f>HYPERLINK("https://www.boe.es/gazeta/dias/1806/09/02/pdfs/GMD-1806-72.pdf#page=8","Abrir facsímil")</f>
        <v>Abrir facsímil</v>
      </c>
      <c r="K1872" s="15" t="s">
        <v>22</v>
      </c>
    </row>
    <row r="1873" spans="1:11" ht="42" customHeight="1">
      <c r="A1873" s="4" t="s">
        <v>4510</v>
      </c>
      <c r="B1873" s="5" t="s">
        <v>4511</v>
      </c>
      <c r="C1873" s="5" t="s">
        <v>69</v>
      </c>
      <c r="D1873" s="5" t="s">
        <v>70</v>
      </c>
      <c r="E1873" s="5" t="s">
        <v>238</v>
      </c>
      <c r="F1873" s="9">
        <v>18</v>
      </c>
      <c r="G1873" s="9">
        <v>158</v>
      </c>
      <c r="H1873" s="5" t="s">
        <v>20</v>
      </c>
      <c r="I1873" s="5" t="s">
        <v>4512</v>
      </c>
      <c r="J1873" s="12" t="str">
        <f>HYPERLINK("https://www.boe.es/gazeta/dias/1806/02/25/pdfs/GMD-1806-18.pdf#page=6","Abrir facsímil")</f>
        <v>Abrir facsímil</v>
      </c>
      <c r="K1873" s="15" t="s">
        <v>22</v>
      </c>
    </row>
    <row r="1874" spans="1:11" ht="42" customHeight="1">
      <c r="A1874" s="4" t="s">
        <v>4513</v>
      </c>
      <c r="B1874" s="5" t="s">
        <v>4514</v>
      </c>
      <c r="C1874" s="5" t="s">
        <v>706</v>
      </c>
      <c r="D1874" s="5" t="s">
        <v>707</v>
      </c>
      <c r="E1874" s="5" t="s">
        <v>195</v>
      </c>
      <c r="F1874" s="9" t="s">
        <v>708</v>
      </c>
      <c r="G1874" s="9">
        <v>41</v>
      </c>
      <c r="H1874" s="5" t="s">
        <v>20</v>
      </c>
      <c r="I1874" s="5" t="s">
        <v>4515</v>
      </c>
      <c r="J1874" s="12" t="str">
        <f>HYPERLINK("https://www.boe.es/gazeta/dias/1806/01/14/pdfs/GMD-1806-5E.pdf#page=1","Abrir facsímil")</f>
        <v>Abrir facsímil</v>
      </c>
      <c r="K1874" s="15" t="s">
        <v>22</v>
      </c>
    </row>
    <row r="1875" spans="1:11" ht="42" customHeight="1">
      <c r="A1875" s="4" t="s">
        <v>4513</v>
      </c>
      <c r="B1875" s="5" t="s">
        <v>4514</v>
      </c>
      <c r="C1875" s="5" t="s">
        <v>69</v>
      </c>
      <c r="D1875" s="5" t="s">
        <v>70</v>
      </c>
      <c r="E1875" s="5" t="s">
        <v>256</v>
      </c>
      <c r="F1875" s="9">
        <v>9</v>
      </c>
      <c r="G1875" s="9">
        <v>77</v>
      </c>
      <c r="H1875" s="5" t="s">
        <v>20</v>
      </c>
      <c r="I1875" s="5" t="s">
        <v>4516</v>
      </c>
      <c r="J1875" s="12" t="str">
        <f>HYPERLINK("https://www.boe.es/gazeta/dias/1806/01/25/pdfs/GMD-1806-9.pdf#page=1","Abrir facsímil")</f>
        <v>Abrir facsímil</v>
      </c>
      <c r="K1875" s="15" t="s">
        <v>22</v>
      </c>
    </row>
    <row r="1876" spans="1:11" ht="42" customHeight="1">
      <c r="A1876" s="4" t="s">
        <v>4513</v>
      </c>
      <c r="B1876" s="5" t="s">
        <v>4514</v>
      </c>
      <c r="C1876" s="5" t="s">
        <v>31</v>
      </c>
      <c r="D1876" s="5" t="s">
        <v>32</v>
      </c>
      <c r="E1876" s="5" t="s">
        <v>256</v>
      </c>
      <c r="F1876" s="9">
        <v>9</v>
      </c>
      <c r="G1876" s="9">
        <v>78</v>
      </c>
      <c r="H1876" s="5" t="s">
        <v>20</v>
      </c>
      <c r="I1876" s="5" t="s">
        <v>4517</v>
      </c>
      <c r="J1876" s="12" t="str">
        <f>HYPERLINK("https://www.boe.es/gazeta/dias/1806/01/25/pdfs/GMD-1806-9.pdf#page=2","Abrir facsímil")</f>
        <v>Abrir facsímil</v>
      </c>
      <c r="K1876" s="15" t="s">
        <v>22</v>
      </c>
    </row>
    <row r="1877" spans="1:11" ht="42" customHeight="1">
      <c r="A1877" s="4" t="s">
        <v>4513</v>
      </c>
      <c r="B1877" s="5" t="s">
        <v>4514</v>
      </c>
      <c r="C1877" s="5" t="s">
        <v>36</v>
      </c>
      <c r="D1877" s="5" t="s">
        <v>37</v>
      </c>
      <c r="E1877" s="5" t="s">
        <v>256</v>
      </c>
      <c r="F1877" s="9">
        <v>9</v>
      </c>
      <c r="G1877" s="9">
        <v>84</v>
      </c>
      <c r="H1877" s="5" t="s">
        <v>20</v>
      </c>
      <c r="I1877" s="5" t="s">
        <v>4518</v>
      </c>
      <c r="J1877" s="12" t="str">
        <f>HYPERLINK("https://www.boe.es/gazeta/dias/1806/01/25/pdfs/GMD-1806-9.pdf#page=8","Abrir facsímil")</f>
        <v>Abrir facsímil</v>
      </c>
      <c r="K1877" s="15" t="s">
        <v>22</v>
      </c>
    </row>
    <row r="1878" spans="1:11" ht="42" customHeight="1">
      <c r="A1878" s="4" t="s">
        <v>4513</v>
      </c>
      <c r="B1878" s="5" t="s">
        <v>4514</v>
      </c>
      <c r="C1878" s="5" t="s">
        <v>69</v>
      </c>
      <c r="D1878" s="5" t="s">
        <v>70</v>
      </c>
      <c r="E1878" s="5" t="s">
        <v>474</v>
      </c>
      <c r="F1878" s="9">
        <v>10</v>
      </c>
      <c r="G1878" s="9">
        <v>89</v>
      </c>
      <c r="H1878" s="5" t="s">
        <v>20</v>
      </c>
      <c r="I1878" s="5" t="s">
        <v>4519</v>
      </c>
      <c r="J1878" s="12" t="str">
        <f>HYPERLINK("https://www.boe.es/gazeta/dias/1806/01/28/pdfs/GMD-1806-10.pdf#page=5","Abrir facsímil")</f>
        <v>Abrir facsímil</v>
      </c>
      <c r="K1878" s="15" t="s">
        <v>22</v>
      </c>
    </row>
    <row r="1879" spans="1:11" ht="42" customHeight="1">
      <c r="A1879" s="4" t="s">
        <v>4513</v>
      </c>
      <c r="B1879" s="5" t="s">
        <v>4514</v>
      </c>
      <c r="C1879" s="5" t="s">
        <v>17</v>
      </c>
      <c r="D1879" s="5" t="s">
        <v>18</v>
      </c>
      <c r="E1879" s="5" t="s">
        <v>161</v>
      </c>
      <c r="F1879" s="9">
        <v>11</v>
      </c>
      <c r="G1879" s="9">
        <v>97</v>
      </c>
      <c r="H1879" s="5" t="s">
        <v>20</v>
      </c>
      <c r="I1879" s="5" t="s">
        <v>4520</v>
      </c>
      <c r="J1879" s="12" t="str">
        <f>HYPERLINK("https://www.boe.es/gazeta/dias/1806/01/31/pdfs/GMD-1806-11.pdf#page=5","Abrir facsímil")</f>
        <v>Abrir facsímil</v>
      </c>
      <c r="K1879" s="15" t="s">
        <v>22</v>
      </c>
    </row>
    <row r="1880" spans="1:11" ht="42" customHeight="1">
      <c r="A1880" s="4" t="s">
        <v>4513</v>
      </c>
      <c r="B1880" s="5" t="s">
        <v>4514</v>
      </c>
      <c r="C1880" s="5" t="s">
        <v>69</v>
      </c>
      <c r="D1880" s="5" t="s">
        <v>70</v>
      </c>
      <c r="E1880" s="5" t="s">
        <v>285</v>
      </c>
      <c r="F1880" s="9">
        <v>13</v>
      </c>
      <c r="G1880" s="9">
        <v>109</v>
      </c>
      <c r="H1880" s="5" t="s">
        <v>20</v>
      </c>
      <c r="I1880" s="5" t="s">
        <v>4521</v>
      </c>
      <c r="J1880" s="12" t="str">
        <f>HYPERLINK("https://www.boe.es/gazeta/dias/1806/02/07/pdfs/GMD-1806-13.pdf#page=1","Abrir facsímil")</f>
        <v>Abrir facsímil</v>
      </c>
      <c r="K1880" s="15" t="s">
        <v>22</v>
      </c>
    </row>
    <row r="1881" spans="1:11" ht="42" customHeight="1">
      <c r="A1881" s="4" t="s">
        <v>4513</v>
      </c>
      <c r="B1881" s="5" t="s">
        <v>4514</v>
      </c>
      <c r="C1881" s="5" t="s">
        <v>69</v>
      </c>
      <c r="D1881" s="5" t="s">
        <v>70</v>
      </c>
      <c r="E1881" s="5" t="s">
        <v>285</v>
      </c>
      <c r="F1881" s="9">
        <v>13</v>
      </c>
      <c r="G1881" s="9">
        <v>112</v>
      </c>
      <c r="H1881" s="5" t="s">
        <v>20</v>
      </c>
      <c r="I1881" s="5" t="s">
        <v>4522</v>
      </c>
      <c r="J1881" s="12" t="str">
        <f>HYPERLINK("https://www.boe.es/gazeta/dias/1806/02/07/pdfs/GMD-1806-13.pdf#page=4","Abrir facsímil")</f>
        <v>Abrir facsímil</v>
      </c>
      <c r="K1881" s="15" t="s">
        <v>22</v>
      </c>
    </row>
    <row r="1882" spans="1:11" ht="42" customHeight="1">
      <c r="A1882" s="4" t="s">
        <v>4513</v>
      </c>
      <c r="B1882" s="5" t="s">
        <v>4514</v>
      </c>
      <c r="C1882" s="5" t="s">
        <v>69</v>
      </c>
      <c r="D1882" s="5" t="s">
        <v>70</v>
      </c>
      <c r="E1882" s="5" t="s">
        <v>285</v>
      </c>
      <c r="F1882" s="9">
        <v>13</v>
      </c>
      <c r="G1882" s="9">
        <v>113</v>
      </c>
      <c r="H1882" s="5" t="s">
        <v>20</v>
      </c>
      <c r="I1882" s="5" t="s">
        <v>4523</v>
      </c>
      <c r="J1882" s="12" t="str">
        <f>HYPERLINK("https://www.boe.es/gazeta/dias/1806/02/07/pdfs/GMD-1806-13.pdf#page=5","Abrir facsímil")</f>
        <v>Abrir facsímil</v>
      </c>
      <c r="K1882" s="15" t="s">
        <v>22</v>
      </c>
    </row>
    <row r="1883" spans="1:11" ht="42" customHeight="1">
      <c r="A1883" s="4" t="s">
        <v>4513</v>
      </c>
      <c r="B1883" s="5" t="s">
        <v>4514</v>
      </c>
      <c r="C1883" s="5" t="s">
        <v>69</v>
      </c>
      <c r="D1883" s="5" t="s">
        <v>70</v>
      </c>
      <c r="E1883" s="5" t="s">
        <v>669</v>
      </c>
      <c r="F1883" s="9">
        <v>14</v>
      </c>
      <c r="G1883" s="9">
        <v>118</v>
      </c>
      <c r="H1883" s="5" t="s">
        <v>20</v>
      </c>
      <c r="I1883" s="5" t="s">
        <v>4524</v>
      </c>
      <c r="J1883" s="12" t="str">
        <f>HYPERLINK("https://www.boe.es/gazeta/dias/1806/02/11/pdfs/GMD-1806-14.pdf#page=2","Abrir facsímil")</f>
        <v>Abrir facsímil</v>
      </c>
      <c r="K1883" s="15" t="s">
        <v>22</v>
      </c>
    </row>
    <row r="1884" spans="1:11" ht="42" customHeight="1">
      <c r="A1884" s="4" t="s">
        <v>4513</v>
      </c>
      <c r="B1884" s="5" t="s">
        <v>4514</v>
      </c>
      <c r="C1884" s="5" t="s">
        <v>31</v>
      </c>
      <c r="D1884" s="5" t="s">
        <v>32</v>
      </c>
      <c r="E1884" s="5" t="s">
        <v>118</v>
      </c>
      <c r="F1884" s="9">
        <v>15</v>
      </c>
      <c r="G1884" s="9">
        <v>133</v>
      </c>
      <c r="H1884" s="5" t="s">
        <v>20</v>
      </c>
      <c r="I1884" s="5" t="s">
        <v>4525</v>
      </c>
      <c r="J1884" s="12" t="str">
        <f>HYPERLINK("https://www.boe.es/gazeta/dias/1806/02/14/pdfs/GMD-1806-15.pdf#page=9","Abrir facsímil")</f>
        <v>Abrir facsímil</v>
      </c>
      <c r="K1884" s="15" t="s">
        <v>22</v>
      </c>
    </row>
    <row r="1885" spans="1:11" ht="42" customHeight="1">
      <c r="A1885" s="4" t="s">
        <v>4513</v>
      </c>
      <c r="B1885" s="5" t="s">
        <v>4514</v>
      </c>
      <c r="C1885" s="5" t="s">
        <v>17</v>
      </c>
      <c r="D1885" s="5" t="s">
        <v>18</v>
      </c>
      <c r="E1885" s="5" t="s">
        <v>209</v>
      </c>
      <c r="F1885" s="9">
        <v>95</v>
      </c>
      <c r="G1885" s="9">
        <v>994</v>
      </c>
      <c r="H1885" s="5" t="s">
        <v>20</v>
      </c>
      <c r="I1885" s="5" t="s">
        <v>4526</v>
      </c>
      <c r="J1885" s="12" t="str">
        <f>HYPERLINK("https://www.boe.es/gazeta/dias/1806/11/21/pdfs/GMD-1806-95.pdf#page=2","Abrir facsímil")</f>
        <v>Abrir facsímil</v>
      </c>
      <c r="K1885" s="15" t="s">
        <v>22</v>
      </c>
    </row>
    <row r="1886" spans="1:11" ht="42" customHeight="1">
      <c r="A1886" s="4" t="s">
        <v>4527</v>
      </c>
      <c r="B1886" s="5" t="s">
        <v>4527</v>
      </c>
      <c r="C1886" s="5" t="s">
        <v>17</v>
      </c>
      <c r="D1886" s="5" t="s">
        <v>18</v>
      </c>
      <c r="E1886" s="5" t="s">
        <v>140</v>
      </c>
      <c r="F1886" s="9">
        <v>83</v>
      </c>
      <c r="G1886" s="9">
        <v>859</v>
      </c>
      <c r="H1886" s="5" t="s">
        <v>20</v>
      </c>
      <c r="I1886" s="5" t="s">
        <v>4528</v>
      </c>
      <c r="J1886" s="12" t="str">
        <f>HYPERLINK("https://www.boe.es/gazeta/dias/1806/10/10/pdfs/GMD-1806-83.pdf#page=7","Abrir facsímil")</f>
        <v>Abrir facsímil</v>
      </c>
      <c r="K1886" s="15" t="s">
        <v>22</v>
      </c>
    </row>
    <row r="1887" spans="1:11" ht="42" customHeight="1">
      <c r="A1887" s="4" t="s">
        <v>4529</v>
      </c>
      <c r="B1887" s="5" t="s">
        <v>4529</v>
      </c>
      <c r="C1887" s="5" t="s">
        <v>31</v>
      </c>
      <c r="D1887" s="5" t="s">
        <v>32</v>
      </c>
      <c r="E1887" s="5" t="s">
        <v>209</v>
      </c>
      <c r="F1887" s="9">
        <v>95</v>
      </c>
      <c r="G1887" s="9">
        <v>1005</v>
      </c>
      <c r="H1887" s="5" t="s">
        <v>20</v>
      </c>
      <c r="I1887" s="5" t="s">
        <v>4530</v>
      </c>
      <c r="J1887" s="12" t="str">
        <f>HYPERLINK("https://www.boe.es/gazeta/dias/1806/11/21/pdfs/GMD-1806-95.pdf#page=13","Abrir facsímil")</f>
        <v>Abrir facsímil</v>
      </c>
      <c r="K1887" s="15" t="s">
        <v>22</v>
      </c>
    </row>
    <row r="1888" spans="1:11" ht="42" customHeight="1">
      <c r="A1888" s="4" t="s">
        <v>4531</v>
      </c>
      <c r="B1888" s="5" t="s">
        <v>4531</v>
      </c>
      <c r="C1888" s="5" t="s">
        <v>31</v>
      </c>
      <c r="D1888" s="5" t="s">
        <v>32</v>
      </c>
      <c r="E1888" s="5" t="s">
        <v>494</v>
      </c>
      <c r="F1888" s="9">
        <v>69</v>
      </c>
      <c r="G1888" s="9">
        <v>722</v>
      </c>
      <c r="H1888" s="5" t="s">
        <v>20</v>
      </c>
      <c r="I1888" s="5" t="s">
        <v>4532</v>
      </c>
      <c r="J1888" s="12" t="str">
        <f>HYPERLINK("https://www.boe.es/gazeta/dias/1806/08/22/pdfs/GMD-1806-69.pdf#page=10","Abrir facsímil")</f>
        <v>Abrir facsímil</v>
      </c>
      <c r="K1888" s="15" t="s">
        <v>22</v>
      </c>
    </row>
    <row r="1889" spans="1:11" ht="42" customHeight="1">
      <c r="A1889" s="4" t="s">
        <v>4533</v>
      </c>
      <c r="B1889" s="5" t="s">
        <v>4533</v>
      </c>
      <c r="C1889" s="5" t="s">
        <v>17</v>
      </c>
      <c r="D1889" s="5" t="s">
        <v>18</v>
      </c>
      <c r="E1889" s="5" t="s">
        <v>279</v>
      </c>
      <c r="F1889" s="9">
        <v>52</v>
      </c>
      <c r="G1889" s="9">
        <v>541</v>
      </c>
      <c r="H1889" s="5" t="s">
        <v>20</v>
      </c>
      <c r="I1889" s="5" t="s">
        <v>4534</v>
      </c>
      <c r="J1889" s="12" t="str">
        <f>HYPERLINK("https://www.boe.es/gazeta/dias/1806/06/24/pdfs/GMD-1806-52.pdf#page=9","Abrir facsímil")</f>
        <v>Abrir facsímil</v>
      </c>
      <c r="K1889" s="15" t="s">
        <v>22</v>
      </c>
    </row>
    <row r="1890" spans="1:11" ht="42" customHeight="1">
      <c r="A1890" s="4" t="s">
        <v>4535</v>
      </c>
      <c r="B1890" s="5" t="s">
        <v>4535</v>
      </c>
      <c r="C1890" s="5" t="s">
        <v>69</v>
      </c>
      <c r="D1890" s="5" t="s">
        <v>70</v>
      </c>
      <c r="E1890" s="5" t="s">
        <v>24</v>
      </c>
      <c r="F1890" s="9">
        <v>32</v>
      </c>
      <c r="G1890" s="9">
        <v>312</v>
      </c>
      <c r="H1890" s="5" t="s">
        <v>20</v>
      </c>
      <c r="I1890" s="5" t="s">
        <v>4536</v>
      </c>
      <c r="J1890" s="12" t="str">
        <f>HYPERLINK("https://www.boe.es/gazeta/dias/1806/04/15/pdfs/GMD-1806-32.pdf#page=4","Abrir facsímil")</f>
        <v>Abrir facsímil</v>
      </c>
      <c r="K1890" s="15" t="s">
        <v>22</v>
      </c>
    </row>
    <row r="1891" spans="1:11" ht="42" customHeight="1">
      <c r="A1891" s="4" t="s">
        <v>4537</v>
      </c>
      <c r="B1891" s="5" t="s">
        <v>4538</v>
      </c>
      <c r="C1891" s="5" t="s">
        <v>17</v>
      </c>
      <c r="D1891" s="5" t="s">
        <v>18</v>
      </c>
      <c r="E1891" s="5" t="s">
        <v>76</v>
      </c>
      <c r="F1891" s="9">
        <v>98</v>
      </c>
      <c r="G1891" s="9">
        <v>1035</v>
      </c>
      <c r="H1891" s="5" t="s">
        <v>20</v>
      </c>
      <c r="I1891" s="5" t="s">
        <v>4539</v>
      </c>
      <c r="J1891" s="12" t="str">
        <f>HYPERLINK("https://www.boe.es/gazeta/dias/1806/12/02/pdfs/GMD-1806-98.pdf#page=3","Abrir facsímil")</f>
        <v>Abrir facsímil</v>
      </c>
      <c r="K1891" s="15" t="s">
        <v>22</v>
      </c>
    </row>
    <row r="1892" spans="1:11" ht="42" customHeight="1">
      <c r="A1892" s="4" t="s">
        <v>4540</v>
      </c>
      <c r="B1892" s="5" t="s">
        <v>4541</v>
      </c>
      <c r="C1892" s="5" t="s">
        <v>36</v>
      </c>
      <c r="D1892" s="5" t="s">
        <v>37</v>
      </c>
      <c r="E1892" s="5" t="s">
        <v>51</v>
      </c>
      <c r="F1892" s="9">
        <v>44</v>
      </c>
      <c r="G1892" s="9">
        <v>447</v>
      </c>
      <c r="H1892" s="5" t="s">
        <v>20</v>
      </c>
      <c r="I1892" s="5" t="s">
        <v>4542</v>
      </c>
      <c r="J1892" s="12" t="str">
        <f>HYPERLINK("https://www.boe.es/gazeta/dias/1806/05/27/pdfs/GMD-1806-44.pdf#page=11","Abrir facsímil")</f>
        <v>Abrir facsímil</v>
      </c>
      <c r="K1892" s="15" t="s">
        <v>22</v>
      </c>
    </row>
    <row r="1893" spans="1:11" ht="42" customHeight="1">
      <c r="A1893" s="4" t="s">
        <v>4543</v>
      </c>
      <c r="B1893" s="5" t="s">
        <v>4543</v>
      </c>
      <c r="C1893" s="5" t="s">
        <v>42</v>
      </c>
      <c r="D1893" s="5" t="s">
        <v>43</v>
      </c>
      <c r="E1893" s="5" t="s">
        <v>494</v>
      </c>
      <c r="F1893" s="9">
        <v>69</v>
      </c>
      <c r="G1893" s="9">
        <v>721</v>
      </c>
      <c r="H1893" s="5" t="s">
        <v>20</v>
      </c>
      <c r="I1893" s="5" t="s">
        <v>4544</v>
      </c>
      <c r="J1893" s="12" t="str">
        <f>HYPERLINK("https://www.boe.es/gazeta/dias/1806/08/22/pdfs/GMD-1806-69.pdf#page=9","Abrir facsímil")</f>
        <v>Abrir facsímil</v>
      </c>
      <c r="K1893" s="15" t="s">
        <v>22</v>
      </c>
    </row>
    <row r="1894" spans="1:11" ht="42" customHeight="1">
      <c r="A1894" s="4" t="s">
        <v>4545</v>
      </c>
      <c r="B1894" s="5" t="s">
        <v>4545</v>
      </c>
      <c r="C1894" s="5" t="s">
        <v>31</v>
      </c>
      <c r="D1894" s="5" t="s">
        <v>32</v>
      </c>
      <c r="E1894" s="5" t="s">
        <v>82</v>
      </c>
      <c r="F1894" s="9">
        <v>48</v>
      </c>
      <c r="G1894" s="9">
        <v>496</v>
      </c>
      <c r="H1894" s="5" t="s">
        <v>20</v>
      </c>
      <c r="I1894" s="5" t="s">
        <v>4546</v>
      </c>
      <c r="J1894" s="12" t="str">
        <f>HYPERLINK("https://www.boe.es/gazeta/dias/1806/06/10/pdfs/GMD-1806-48.pdf#page=8","Abrir facsímil")</f>
        <v>Abrir facsímil</v>
      </c>
      <c r="K1894" s="15" t="s">
        <v>22</v>
      </c>
    </row>
    <row r="1895" spans="1:11" ht="42" customHeight="1">
      <c r="A1895" s="4" t="s">
        <v>4547</v>
      </c>
      <c r="B1895" s="5" t="s">
        <v>4548</v>
      </c>
      <c r="C1895" s="5" t="s">
        <v>17</v>
      </c>
      <c r="D1895" s="5" t="s">
        <v>18</v>
      </c>
      <c r="E1895" s="5" t="s">
        <v>501</v>
      </c>
      <c r="F1895" s="9">
        <v>39</v>
      </c>
      <c r="G1895" s="9">
        <v>387</v>
      </c>
      <c r="H1895" s="5" t="s">
        <v>20</v>
      </c>
      <c r="I1895" s="5" t="s">
        <v>4549</v>
      </c>
      <c r="J1895" s="12" t="str">
        <f>HYPERLINK("https://www.boe.es/gazeta/dias/1806/05/09/pdfs/GMD-1806-39.pdf#page=11","Abrir facsímil")</f>
        <v>Abrir facsímil</v>
      </c>
      <c r="K1895" s="15" t="s">
        <v>22</v>
      </c>
    </row>
    <row r="1896" spans="1:11" ht="42" customHeight="1">
      <c r="A1896" s="4" t="s">
        <v>4550</v>
      </c>
      <c r="B1896" s="5" t="s">
        <v>4550</v>
      </c>
      <c r="C1896" s="5" t="s">
        <v>31</v>
      </c>
      <c r="D1896" s="5" t="s">
        <v>32</v>
      </c>
      <c r="E1896" s="5" t="s">
        <v>118</v>
      </c>
      <c r="F1896" s="9">
        <v>15</v>
      </c>
      <c r="G1896" s="9">
        <v>134</v>
      </c>
      <c r="H1896" s="5" t="s">
        <v>20</v>
      </c>
      <c r="I1896" s="5" t="s">
        <v>4551</v>
      </c>
      <c r="J1896" s="12" t="str">
        <f>HYPERLINK("https://www.boe.es/gazeta/dias/1806/02/14/pdfs/GMD-1806-15.pdf#page=10","Abrir facsímil")</f>
        <v>Abrir facsímil</v>
      </c>
      <c r="K1896" s="15" t="s">
        <v>22</v>
      </c>
    </row>
    <row r="1897" spans="1:11" ht="42" customHeight="1">
      <c r="A1897" s="4" t="s">
        <v>4552</v>
      </c>
      <c r="B1897" s="5" t="s">
        <v>4552</v>
      </c>
      <c r="C1897" s="5" t="s">
        <v>69</v>
      </c>
      <c r="D1897" s="5" t="s">
        <v>70</v>
      </c>
      <c r="E1897" s="5" t="s">
        <v>100</v>
      </c>
      <c r="F1897" s="9">
        <v>7</v>
      </c>
      <c r="G1897" s="9">
        <v>63</v>
      </c>
      <c r="H1897" s="5" t="s">
        <v>20</v>
      </c>
      <c r="I1897" s="5" t="s">
        <v>4553</v>
      </c>
      <c r="J1897" s="12" t="str">
        <f>HYPERLINK("https://www.boe.es/gazeta/dias/1806/01/21/pdfs/GMD-1806-7.pdf#page=7","Abrir facsímil")</f>
        <v>Abrir facsímil</v>
      </c>
      <c r="K1897" s="15" t="s">
        <v>22</v>
      </c>
    </row>
    <row r="1898" spans="1:11" ht="42" customHeight="1">
      <c r="A1898" s="4" t="s">
        <v>4552</v>
      </c>
      <c r="B1898" s="5" t="s">
        <v>4552</v>
      </c>
      <c r="C1898" s="5" t="s">
        <v>17</v>
      </c>
      <c r="D1898" s="5" t="s">
        <v>18</v>
      </c>
      <c r="E1898" s="5" t="s">
        <v>118</v>
      </c>
      <c r="F1898" s="9">
        <v>15</v>
      </c>
      <c r="G1898" s="9">
        <v>133</v>
      </c>
      <c r="H1898" s="5" t="s">
        <v>20</v>
      </c>
      <c r="I1898" s="5" t="s">
        <v>4554</v>
      </c>
      <c r="J1898" s="12" t="str">
        <f>HYPERLINK("https://www.boe.es/gazeta/dias/1806/02/14/pdfs/GMD-1806-15.pdf#page=9","Abrir facsímil")</f>
        <v>Abrir facsímil</v>
      </c>
      <c r="K1898" s="15" t="s">
        <v>22</v>
      </c>
    </row>
    <row r="1899" spans="1:11" ht="42" customHeight="1">
      <c r="A1899" s="4" t="s">
        <v>4555</v>
      </c>
      <c r="B1899" s="5" t="s">
        <v>4555</v>
      </c>
      <c r="C1899" s="5" t="s">
        <v>17</v>
      </c>
      <c r="D1899" s="5" t="s">
        <v>18</v>
      </c>
      <c r="E1899" s="5" t="s">
        <v>175</v>
      </c>
      <c r="F1899" s="9">
        <v>40</v>
      </c>
      <c r="G1899" s="9">
        <v>398</v>
      </c>
      <c r="H1899" s="5" t="s">
        <v>20</v>
      </c>
      <c r="I1899" s="5" t="s">
        <v>4556</v>
      </c>
      <c r="J1899" s="12" t="str">
        <f>HYPERLINK("https://www.boe.es/gazeta/dias/1806/05/13/pdfs/GMD-1806-40.pdf#page=10","Abrir facsímil")</f>
        <v>Abrir facsímil</v>
      </c>
      <c r="K1899" s="15" t="s">
        <v>22</v>
      </c>
    </row>
    <row r="1900" spans="1:11" ht="42" customHeight="1">
      <c r="A1900" s="4" t="s">
        <v>4557</v>
      </c>
      <c r="B1900" s="5" t="s">
        <v>4558</v>
      </c>
      <c r="C1900" s="5" t="s">
        <v>17</v>
      </c>
      <c r="D1900" s="5" t="s">
        <v>18</v>
      </c>
      <c r="E1900" s="5" t="s">
        <v>290</v>
      </c>
      <c r="F1900" s="9">
        <v>1</v>
      </c>
      <c r="G1900" s="9">
        <v>8</v>
      </c>
      <c r="H1900" s="5" t="s">
        <v>20</v>
      </c>
      <c r="I1900" s="5" t="s">
        <v>4559</v>
      </c>
      <c r="J1900" s="12" t="str">
        <f>HYPERLINK("https://www.boe.es/gazeta/dias/1806/01/03/pdfs/GMD-1806-1.pdf#page=8","Abrir facsímil")</f>
        <v>Abrir facsímil</v>
      </c>
      <c r="K1900" s="15" t="s">
        <v>22</v>
      </c>
    </row>
    <row r="1901" spans="1:11" ht="42" customHeight="1">
      <c r="A1901" s="4" t="s">
        <v>4560</v>
      </c>
      <c r="B1901" s="5" t="s">
        <v>4561</v>
      </c>
      <c r="C1901" s="5" t="s">
        <v>17</v>
      </c>
      <c r="D1901" s="5" t="s">
        <v>18</v>
      </c>
      <c r="E1901" s="5" t="s">
        <v>600</v>
      </c>
      <c r="F1901" s="9">
        <v>77</v>
      </c>
      <c r="G1901" s="9">
        <v>794</v>
      </c>
      <c r="H1901" s="5" t="s">
        <v>20</v>
      </c>
      <c r="I1901" s="5" t="s">
        <v>4562</v>
      </c>
      <c r="J1901" s="12" t="str">
        <f>HYPERLINK("https://www.boe.es/gazeta/dias/1806/09/19/pdfs/GMD-1806-77.pdf#page=6","Abrir facsímil")</f>
        <v>Abrir facsímil</v>
      </c>
      <c r="K1901" s="15" t="s">
        <v>22</v>
      </c>
    </row>
    <row r="1902" spans="1:11" ht="42" customHeight="1">
      <c r="A1902" s="4" t="s">
        <v>4563</v>
      </c>
      <c r="B1902" s="5" t="s">
        <v>4563</v>
      </c>
      <c r="C1902" s="5" t="s">
        <v>17</v>
      </c>
      <c r="D1902" s="5" t="s">
        <v>18</v>
      </c>
      <c r="E1902" s="5" t="s">
        <v>82</v>
      </c>
      <c r="F1902" s="9">
        <v>48</v>
      </c>
      <c r="G1902" s="9">
        <v>495</v>
      </c>
      <c r="H1902" s="5" t="s">
        <v>20</v>
      </c>
      <c r="I1902" s="5" t="s">
        <v>4564</v>
      </c>
      <c r="J1902" s="12" t="str">
        <f>HYPERLINK("https://www.boe.es/gazeta/dias/1806/06/10/pdfs/GMD-1806-48.pdf#page=7","Abrir facsímil")</f>
        <v>Abrir facsímil</v>
      </c>
      <c r="K1902" s="15" t="s">
        <v>22</v>
      </c>
    </row>
    <row r="1903" spans="1:11" ht="42" customHeight="1">
      <c r="A1903" s="4" t="s">
        <v>4565</v>
      </c>
      <c r="B1903" s="5" t="s">
        <v>4566</v>
      </c>
      <c r="C1903" s="5" t="s">
        <v>31</v>
      </c>
      <c r="D1903" s="5" t="s">
        <v>32</v>
      </c>
      <c r="E1903" s="5" t="s">
        <v>191</v>
      </c>
      <c r="F1903" s="9">
        <v>103</v>
      </c>
      <c r="G1903" s="9">
        <v>1097</v>
      </c>
      <c r="H1903" s="5" t="s">
        <v>20</v>
      </c>
      <c r="I1903" s="5" t="s">
        <v>4567</v>
      </c>
      <c r="J1903" s="12" t="str">
        <f>HYPERLINK("https://www.boe.es/gazeta/dias/1806/12/19/pdfs/GMD-1806-103.pdf#page=9","Abrir facsímil")</f>
        <v>Abrir facsímil</v>
      </c>
      <c r="K1903" s="15" t="s">
        <v>22</v>
      </c>
    </row>
    <row r="1904" spans="1:11" ht="42" customHeight="1">
      <c r="A1904" s="4" t="s">
        <v>4568</v>
      </c>
      <c r="B1904" s="5" t="s">
        <v>4569</v>
      </c>
      <c r="C1904" s="5" t="s">
        <v>42</v>
      </c>
      <c r="D1904" s="5" t="s">
        <v>43</v>
      </c>
      <c r="E1904" s="5" t="s">
        <v>124</v>
      </c>
      <c r="F1904" s="9">
        <v>25</v>
      </c>
      <c r="G1904" s="9">
        <v>245</v>
      </c>
      <c r="H1904" s="5" t="s">
        <v>20</v>
      </c>
      <c r="I1904" s="5" t="s">
        <v>4570</v>
      </c>
      <c r="J1904" s="12" t="str">
        <f>HYPERLINK("https://www.boe.es/gazeta/dias/1806/03/21/pdfs/GMD-1806-25.pdf#page=9","Abrir facsímil")</f>
        <v>Abrir facsímil</v>
      </c>
      <c r="K1904" s="15" t="s">
        <v>22</v>
      </c>
    </row>
    <row r="1905" spans="1:11" ht="42" customHeight="1">
      <c r="A1905" s="4" t="s">
        <v>4568</v>
      </c>
      <c r="B1905" s="5" t="s">
        <v>4569</v>
      </c>
      <c r="C1905" s="5" t="s">
        <v>42</v>
      </c>
      <c r="D1905" s="5" t="s">
        <v>43</v>
      </c>
      <c r="E1905" s="5" t="s">
        <v>71</v>
      </c>
      <c r="F1905" s="9">
        <v>29</v>
      </c>
      <c r="G1905" s="9">
        <v>287</v>
      </c>
      <c r="H1905" s="5" t="s">
        <v>20</v>
      </c>
      <c r="I1905" s="5" t="s">
        <v>4571</v>
      </c>
      <c r="J1905" s="12" t="str">
        <f>HYPERLINK("https://www.boe.es/gazeta/dias/1806/04/04/pdfs/GMD-1806-29.pdf#page=7","Abrir facsímil")</f>
        <v>Abrir facsímil</v>
      </c>
      <c r="K1905" s="15" t="s">
        <v>22</v>
      </c>
    </row>
    <row r="1906" spans="1:11" ht="42" customHeight="1">
      <c r="A1906" s="4" t="s">
        <v>4572</v>
      </c>
      <c r="B1906" s="5" t="s">
        <v>4573</v>
      </c>
      <c r="C1906" s="5" t="s">
        <v>42</v>
      </c>
      <c r="D1906" s="5" t="s">
        <v>43</v>
      </c>
      <c r="E1906" s="5" t="s">
        <v>816</v>
      </c>
      <c r="F1906" s="9">
        <v>86</v>
      </c>
      <c r="G1906" s="9">
        <v>891</v>
      </c>
      <c r="H1906" s="5" t="s">
        <v>20</v>
      </c>
      <c r="I1906" s="5" t="s">
        <v>4574</v>
      </c>
      <c r="J1906" s="12" t="str">
        <f>HYPERLINK("https://www.boe.es/gazeta/dias/1806/10/21/pdfs/GMD-1806-86.pdf#page=7","Abrir facsímil")</f>
        <v>Abrir facsímil</v>
      </c>
      <c r="K1906" s="15" t="s">
        <v>22</v>
      </c>
    </row>
    <row r="1907" spans="1:11" ht="42" customHeight="1">
      <c r="A1907" s="4" t="s">
        <v>4575</v>
      </c>
      <c r="B1907" s="5" t="s">
        <v>4576</v>
      </c>
      <c r="C1907" s="5" t="s">
        <v>69</v>
      </c>
      <c r="D1907" s="5" t="s">
        <v>70</v>
      </c>
      <c r="E1907" s="5" t="s">
        <v>175</v>
      </c>
      <c r="F1907" s="9">
        <v>40</v>
      </c>
      <c r="G1907" s="9">
        <v>391</v>
      </c>
      <c r="H1907" s="5" t="s">
        <v>20</v>
      </c>
      <c r="I1907" s="5" t="s">
        <v>4577</v>
      </c>
      <c r="J1907" s="12" t="str">
        <f>HYPERLINK("https://www.boe.es/gazeta/dias/1806/05/13/pdfs/GMD-1806-40.pdf#page=3","Abrir facsímil")</f>
        <v>Abrir facsímil</v>
      </c>
      <c r="K1907" s="15" t="s">
        <v>22</v>
      </c>
    </row>
    <row r="1908" spans="1:11" ht="42" customHeight="1">
      <c r="A1908" s="4" t="s">
        <v>4578</v>
      </c>
      <c r="B1908" s="5" t="s">
        <v>4579</v>
      </c>
      <c r="C1908" s="5" t="s">
        <v>75</v>
      </c>
      <c r="D1908" s="5" t="s">
        <v>43</v>
      </c>
      <c r="E1908" s="5" t="s">
        <v>279</v>
      </c>
      <c r="F1908" s="9">
        <v>52</v>
      </c>
      <c r="G1908" s="9">
        <v>543</v>
      </c>
      <c r="H1908" s="5" t="s">
        <v>20</v>
      </c>
      <c r="I1908" s="5" t="s">
        <v>4580</v>
      </c>
      <c r="J1908" s="12" t="str">
        <f>HYPERLINK("https://www.boe.es/gazeta/dias/1806/06/24/pdfs/GMD-1806-52.pdf#page=11","Abrir facsímil")</f>
        <v>Abrir facsímil</v>
      </c>
      <c r="K1908" s="15" t="s">
        <v>22</v>
      </c>
    </row>
    <row r="1909" spans="1:11" ht="42" customHeight="1">
      <c r="A1909" s="4" t="s">
        <v>4578</v>
      </c>
      <c r="B1909" s="5" t="s">
        <v>4579</v>
      </c>
      <c r="C1909" s="5" t="s">
        <v>75</v>
      </c>
      <c r="D1909" s="5" t="s">
        <v>43</v>
      </c>
      <c r="E1909" s="5" t="s">
        <v>48</v>
      </c>
      <c r="F1909" s="9">
        <v>67</v>
      </c>
      <c r="G1909" s="9">
        <v>703</v>
      </c>
      <c r="H1909" s="5" t="s">
        <v>20</v>
      </c>
      <c r="I1909" s="5" t="s">
        <v>4581</v>
      </c>
      <c r="J1909" s="12" t="str">
        <f>HYPERLINK("https://www.boe.es/gazeta/dias/1806/08/15/pdfs/GMD-1806-67.pdf#page=11","Abrir facsímil")</f>
        <v>Abrir facsímil</v>
      </c>
      <c r="K1909" s="15" t="s">
        <v>22</v>
      </c>
    </row>
    <row r="1910" spans="1:11" ht="42" customHeight="1">
      <c r="A1910" s="4" t="s">
        <v>4582</v>
      </c>
      <c r="B1910" s="5" t="s">
        <v>4582</v>
      </c>
      <c r="C1910" s="5" t="s">
        <v>31</v>
      </c>
      <c r="D1910" s="5" t="s">
        <v>32</v>
      </c>
      <c r="E1910" s="5" t="s">
        <v>118</v>
      </c>
      <c r="F1910" s="9">
        <v>15</v>
      </c>
      <c r="G1910" s="9">
        <v>134</v>
      </c>
      <c r="H1910" s="5" t="s">
        <v>20</v>
      </c>
      <c r="I1910" s="5" t="s">
        <v>4583</v>
      </c>
      <c r="J1910" s="12" t="str">
        <f>HYPERLINK("https://www.boe.es/gazeta/dias/1806/02/14/pdfs/GMD-1806-15.pdf#page=10","Abrir facsímil")</f>
        <v>Abrir facsímil</v>
      </c>
      <c r="K1910" s="15" t="s">
        <v>22</v>
      </c>
    </row>
    <row r="1911" spans="1:11" ht="42" customHeight="1">
      <c r="A1911" s="4" t="s">
        <v>4584</v>
      </c>
      <c r="B1911" s="5" t="s">
        <v>4585</v>
      </c>
      <c r="C1911" s="5" t="s">
        <v>42</v>
      </c>
      <c r="D1911" s="5" t="s">
        <v>43</v>
      </c>
      <c r="E1911" s="5" t="s">
        <v>19</v>
      </c>
      <c r="F1911" s="9">
        <v>3</v>
      </c>
      <c r="G1911" s="9">
        <v>26</v>
      </c>
      <c r="H1911" s="5" t="s">
        <v>20</v>
      </c>
      <c r="I1911" s="5" t="s">
        <v>4586</v>
      </c>
      <c r="J1911" s="12" t="str">
        <f>HYPERLINK("https://www.boe.es/gazeta/dias/1806/01/10/pdfs/GMD-1806-3.pdf#page=6","Abrir facsímil")</f>
        <v>Abrir facsímil</v>
      </c>
      <c r="K1911" s="15" t="s">
        <v>22</v>
      </c>
    </row>
    <row r="1912" spans="1:11" ht="42" customHeight="1">
      <c r="A1912" s="4" t="s">
        <v>4587</v>
      </c>
      <c r="B1912" s="5" t="s">
        <v>4587</v>
      </c>
      <c r="C1912" s="5" t="s">
        <v>31</v>
      </c>
      <c r="D1912" s="5" t="s">
        <v>32</v>
      </c>
      <c r="E1912" s="5" t="s">
        <v>483</v>
      </c>
      <c r="F1912" s="9">
        <v>58</v>
      </c>
      <c r="G1912" s="9">
        <v>602</v>
      </c>
      <c r="H1912" s="5" t="s">
        <v>20</v>
      </c>
      <c r="I1912" s="5" t="s">
        <v>4588</v>
      </c>
      <c r="J1912" s="12" t="str">
        <f>HYPERLINK("https://www.boe.es/gazeta/dias/1806/07/15/pdfs/GMD-1806-58.pdf#page=6","Abrir facsímil")</f>
        <v>Abrir facsímil</v>
      </c>
      <c r="K1912" s="15" t="s">
        <v>22</v>
      </c>
    </row>
    <row r="1913" spans="1:11" ht="42" customHeight="1">
      <c r="A1913" s="4" t="s">
        <v>4589</v>
      </c>
      <c r="B1913" s="5" t="s">
        <v>4589</v>
      </c>
      <c r="C1913" s="5" t="s">
        <v>31</v>
      </c>
      <c r="D1913" s="5" t="s">
        <v>32</v>
      </c>
      <c r="E1913" s="5" t="s">
        <v>24</v>
      </c>
      <c r="F1913" s="9">
        <v>32</v>
      </c>
      <c r="G1913" s="9">
        <v>315</v>
      </c>
      <c r="H1913" s="5" t="s">
        <v>20</v>
      </c>
      <c r="I1913" s="5" t="s">
        <v>4590</v>
      </c>
      <c r="J1913" s="12" t="str">
        <f>HYPERLINK("https://www.boe.es/gazeta/dias/1806/04/15/pdfs/GMD-1806-32.pdf#page=7","Abrir facsímil")</f>
        <v>Abrir facsímil</v>
      </c>
      <c r="K1913" s="15" t="s">
        <v>22</v>
      </c>
    </row>
    <row r="1914" spans="1:11" ht="42" customHeight="1">
      <c r="A1914" s="4" t="s">
        <v>4589</v>
      </c>
      <c r="B1914" s="5" t="s">
        <v>4589</v>
      </c>
      <c r="C1914" s="5" t="s">
        <v>31</v>
      </c>
      <c r="D1914" s="5" t="s">
        <v>32</v>
      </c>
      <c r="E1914" s="5" t="s">
        <v>103</v>
      </c>
      <c r="F1914" s="9">
        <v>61</v>
      </c>
      <c r="G1914" s="9">
        <v>635</v>
      </c>
      <c r="H1914" s="5" t="s">
        <v>20</v>
      </c>
      <c r="I1914" s="5" t="s">
        <v>4591</v>
      </c>
      <c r="J1914" s="12" t="str">
        <f>HYPERLINK("https://www.boe.es/gazeta/dias/1806/07/25/pdfs/GMD-1806-61.pdf#page=7","Abrir facsímil")</f>
        <v>Abrir facsímil</v>
      </c>
      <c r="K1914" s="15" t="s">
        <v>22</v>
      </c>
    </row>
    <row r="1915" spans="1:11" ht="42" customHeight="1">
      <c r="A1915" s="4" t="s">
        <v>4592</v>
      </c>
      <c r="B1915" s="5" t="s">
        <v>4592</v>
      </c>
      <c r="C1915" s="5" t="s">
        <v>31</v>
      </c>
      <c r="D1915" s="5" t="s">
        <v>32</v>
      </c>
      <c r="E1915" s="5" t="s">
        <v>1080</v>
      </c>
      <c r="F1915" s="9">
        <v>49</v>
      </c>
      <c r="G1915" s="9">
        <v>505</v>
      </c>
      <c r="H1915" s="5" t="s">
        <v>20</v>
      </c>
      <c r="I1915" s="5" t="s">
        <v>4593</v>
      </c>
      <c r="J1915" s="12" t="str">
        <f>HYPERLINK("https://www.boe.es/gazeta/dias/1806/06/13/pdfs/GMD-1806-49.pdf#page=5","Abrir facsímil")</f>
        <v>Abrir facsímil</v>
      </c>
      <c r="K1915" s="15" t="s">
        <v>22</v>
      </c>
    </row>
    <row r="1916" spans="1:11" ht="42" customHeight="1">
      <c r="A1916" s="4" t="s">
        <v>4594</v>
      </c>
      <c r="B1916" s="5" t="s">
        <v>4594</v>
      </c>
      <c r="C1916" s="5" t="s">
        <v>31</v>
      </c>
      <c r="D1916" s="5" t="s">
        <v>32</v>
      </c>
      <c r="E1916" s="5" t="s">
        <v>327</v>
      </c>
      <c r="F1916" s="9">
        <v>104</v>
      </c>
      <c r="G1916" s="9">
        <v>1110</v>
      </c>
      <c r="H1916" s="5" t="s">
        <v>20</v>
      </c>
      <c r="I1916" s="5" t="s">
        <v>4595</v>
      </c>
      <c r="J1916" s="12" t="str">
        <f>HYPERLINK("https://www.boe.es/gazeta/dias/1806/12/23/pdfs/GMD-1806-104.pdf#page=10","Abrir facsímil")</f>
        <v>Abrir facsímil</v>
      </c>
      <c r="K1916" s="15" t="s">
        <v>22</v>
      </c>
    </row>
    <row r="1917" spans="1:11" ht="42" customHeight="1">
      <c r="A1917" s="4" t="s">
        <v>4596</v>
      </c>
      <c r="B1917" s="5" t="s">
        <v>4596</v>
      </c>
      <c r="C1917" s="5" t="s">
        <v>17</v>
      </c>
      <c r="D1917" s="5" t="s">
        <v>18</v>
      </c>
      <c r="E1917" s="5" t="s">
        <v>301</v>
      </c>
      <c r="F1917" s="9">
        <v>75</v>
      </c>
      <c r="G1917" s="9">
        <v>779</v>
      </c>
      <c r="H1917" s="5" t="s">
        <v>20</v>
      </c>
      <c r="I1917" s="5" t="s">
        <v>4597</v>
      </c>
      <c r="J1917" s="12" t="str">
        <f>HYPERLINK("https://www.boe.es/gazeta/dias/1806/09/12/pdfs/GMD-1806-75.pdf#page=11","Abrir facsímil")</f>
        <v>Abrir facsímil</v>
      </c>
      <c r="K1917" s="15" t="s">
        <v>22</v>
      </c>
    </row>
    <row r="1918" spans="1:11" ht="42" customHeight="1">
      <c r="A1918" s="4" t="s">
        <v>4598</v>
      </c>
      <c r="B1918" s="5" t="s">
        <v>4598</v>
      </c>
      <c r="C1918" s="5" t="s">
        <v>36</v>
      </c>
      <c r="D1918" s="5" t="s">
        <v>37</v>
      </c>
      <c r="E1918" s="5" t="s">
        <v>494</v>
      </c>
      <c r="F1918" s="9">
        <v>69</v>
      </c>
      <c r="G1918" s="9">
        <v>724</v>
      </c>
      <c r="H1918" s="5" t="s">
        <v>20</v>
      </c>
      <c r="I1918" s="5" t="s">
        <v>4599</v>
      </c>
      <c r="J1918" s="12" t="str">
        <f>HYPERLINK("https://www.boe.es/gazeta/dias/1806/08/22/pdfs/GMD-1806-69.pdf#page=12","Abrir facsímil")</f>
        <v>Abrir facsímil</v>
      </c>
      <c r="K1918" s="15" t="s">
        <v>22</v>
      </c>
    </row>
    <row r="1919" spans="1:11" ht="42" customHeight="1">
      <c r="A1919" s="4" t="s">
        <v>4600</v>
      </c>
      <c r="B1919" s="5" t="s">
        <v>4601</v>
      </c>
      <c r="C1919" s="5" t="s">
        <v>36</v>
      </c>
      <c r="D1919" s="5" t="s">
        <v>37</v>
      </c>
      <c r="E1919" s="5" t="s">
        <v>279</v>
      </c>
      <c r="F1919" s="9">
        <v>52</v>
      </c>
      <c r="G1919" s="9">
        <v>543</v>
      </c>
      <c r="H1919" s="5" t="s">
        <v>20</v>
      </c>
      <c r="I1919" s="5" t="s">
        <v>4602</v>
      </c>
      <c r="J1919" s="12" t="str">
        <f>HYPERLINK("https://www.boe.es/gazeta/dias/1806/06/24/pdfs/GMD-1806-52.pdf#page=11","Abrir facsímil")</f>
        <v>Abrir facsímil</v>
      </c>
      <c r="K1919" s="15" t="s">
        <v>22</v>
      </c>
    </row>
    <row r="1920" spans="1:11" ht="42" customHeight="1">
      <c r="A1920" s="4" t="s">
        <v>4603</v>
      </c>
      <c r="B1920" s="5" t="s">
        <v>4603</v>
      </c>
      <c r="C1920" s="5" t="s">
        <v>42</v>
      </c>
      <c r="D1920" s="5" t="s">
        <v>43</v>
      </c>
      <c r="E1920" s="5" t="s">
        <v>1568</v>
      </c>
      <c r="F1920" s="9">
        <v>84</v>
      </c>
      <c r="G1920" s="9">
        <v>866</v>
      </c>
      <c r="H1920" s="5" t="s">
        <v>20</v>
      </c>
      <c r="I1920" s="5" t="s">
        <v>4604</v>
      </c>
      <c r="J1920" s="12" t="str">
        <f>HYPERLINK("https://www.boe.es/gazeta/dias/1806/10/14/pdfs/GMD-1806-84.pdf#page=2","Abrir facsímil")</f>
        <v>Abrir facsímil</v>
      </c>
      <c r="K1920" s="15" t="s">
        <v>22</v>
      </c>
    </row>
    <row r="1921" spans="1:11" ht="42" customHeight="1">
      <c r="A1921" s="4" t="s">
        <v>4605</v>
      </c>
      <c r="B1921" s="5" t="s">
        <v>4606</v>
      </c>
      <c r="C1921" s="5" t="s">
        <v>42</v>
      </c>
      <c r="D1921" s="5" t="s">
        <v>43</v>
      </c>
      <c r="E1921" s="5" t="s">
        <v>178</v>
      </c>
      <c r="F1921" s="9">
        <v>36</v>
      </c>
      <c r="G1921" s="9">
        <v>350</v>
      </c>
      <c r="H1921" s="5" t="s">
        <v>20</v>
      </c>
      <c r="I1921" s="5" t="s">
        <v>4607</v>
      </c>
      <c r="J1921" s="12" t="str">
        <f>HYPERLINK("https://www.boe.es/gazeta/dias/1806/04/29/pdfs/GMD-1806-36.pdf#page=6","Abrir facsímil")</f>
        <v>Abrir facsímil</v>
      </c>
      <c r="K1921" s="15" t="s">
        <v>22</v>
      </c>
    </row>
    <row r="1922" spans="1:11" ht="42" customHeight="1">
      <c r="A1922" s="4" t="s">
        <v>4608</v>
      </c>
      <c r="B1922" s="5" t="s">
        <v>4609</v>
      </c>
      <c r="C1922" s="5" t="s">
        <v>69</v>
      </c>
      <c r="D1922" s="5" t="s">
        <v>70</v>
      </c>
      <c r="E1922" s="5" t="s">
        <v>816</v>
      </c>
      <c r="F1922" s="9">
        <v>86</v>
      </c>
      <c r="G1922" s="9">
        <v>886</v>
      </c>
      <c r="H1922" s="5" t="s">
        <v>20</v>
      </c>
      <c r="I1922" s="5" t="s">
        <v>4610</v>
      </c>
      <c r="J1922" s="12" t="str">
        <f>HYPERLINK("https://www.boe.es/gazeta/dias/1806/10/21/pdfs/GMD-1806-86.pdf#page=2","Abrir facsímil")</f>
        <v>Abrir facsímil</v>
      </c>
      <c r="K1922" s="15" t="s">
        <v>22</v>
      </c>
    </row>
    <row r="1923" spans="1:11" ht="42" customHeight="1">
      <c r="A1923" s="4" t="s">
        <v>4611</v>
      </c>
      <c r="B1923" s="5" t="s">
        <v>4611</v>
      </c>
      <c r="C1923" s="5" t="s">
        <v>17</v>
      </c>
      <c r="D1923" s="5" t="s">
        <v>18</v>
      </c>
      <c r="E1923" s="5" t="s">
        <v>205</v>
      </c>
      <c r="F1923" s="9">
        <v>57</v>
      </c>
      <c r="G1923" s="9">
        <v>595</v>
      </c>
      <c r="H1923" s="5" t="s">
        <v>20</v>
      </c>
      <c r="I1923" s="5" t="s">
        <v>4612</v>
      </c>
      <c r="J1923" s="12" t="str">
        <f>HYPERLINK("https://www.boe.es/gazeta/dias/1806/07/11/pdfs/GMD-1806-57.pdf#page=7","Abrir facsímil")</f>
        <v>Abrir facsímil</v>
      </c>
      <c r="K1923" s="15" t="s">
        <v>22</v>
      </c>
    </row>
    <row r="1924" spans="1:11" ht="42" customHeight="1">
      <c r="A1924" s="4" t="s">
        <v>4613</v>
      </c>
      <c r="B1924" s="5" t="s">
        <v>4613</v>
      </c>
      <c r="C1924" s="5" t="s">
        <v>17</v>
      </c>
      <c r="D1924" s="5" t="s">
        <v>18</v>
      </c>
      <c r="E1924" s="5" t="s">
        <v>82</v>
      </c>
      <c r="F1924" s="9">
        <v>48</v>
      </c>
      <c r="G1924" s="9">
        <v>500</v>
      </c>
      <c r="H1924" s="5" t="s">
        <v>20</v>
      </c>
      <c r="I1924" s="5" t="s">
        <v>4614</v>
      </c>
      <c r="J1924" s="12" t="str">
        <f>HYPERLINK("https://www.boe.es/gazeta/dias/1806/06/10/pdfs/GMD-1806-48.pdf#page=12","Abrir facsímil")</f>
        <v>Abrir facsímil</v>
      </c>
      <c r="K1924" s="15" t="s">
        <v>22</v>
      </c>
    </row>
    <row r="1925" spans="1:11" ht="42" customHeight="1">
      <c r="A1925" s="4" t="s">
        <v>4613</v>
      </c>
      <c r="B1925" s="5" t="s">
        <v>4613</v>
      </c>
      <c r="C1925" s="5" t="s">
        <v>17</v>
      </c>
      <c r="D1925" s="5" t="s">
        <v>18</v>
      </c>
      <c r="E1925" s="5" t="s">
        <v>383</v>
      </c>
      <c r="F1925" s="9">
        <v>54</v>
      </c>
      <c r="G1925" s="9">
        <v>564</v>
      </c>
      <c r="H1925" s="5" t="s">
        <v>20</v>
      </c>
      <c r="I1925" s="5" t="s">
        <v>4615</v>
      </c>
      <c r="J1925" s="12" t="str">
        <f>HYPERLINK("https://www.boe.es/gazeta/dias/1806/07/01/pdfs/GMD-1806-54.pdf#page=8","Abrir facsímil")</f>
        <v>Abrir facsímil</v>
      </c>
      <c r="K1925" s="15" t="s">
        <v>22</v>
      </c>
    </row>
    <row r="1926" spans="1:11" ht="42" customHeight="1">
      <c r="A1926" s="4" t="s">
        <v>4613</v>
      </c>
      <c r="B1926" s="5" t="s">
        <v>4613</v>
      </c>
      <c r="C1926" s="5" t="s">
        <v>17</v>
      </c>
      <c r="D1926" s="5" t="s">
        <v>18</v>
      </c>
      <c r="E1926" s="5" t="s">
        <v>90</v>
      </c>
      <c r="F1926" s="9">
        <v>60</v>
      </c>
      <c r="G1926" s="9">
        <v>628</v>
      </c>
      <c r="H1926" s="5" t="s">
        <v>20</v>
      </c>
      <c r="I1926" s="5" t="s">
        <v>4616</v>
      </c>
      <c r="J1926" s="12" t="str">
        <f>HYPERLINK("https://www.boe.es/gazeta/dias/1806/07/22/pdfs/GMD-1806-60.pdf#page=12","Abrir facsímil")</f>
        <v>Abrir facsímil</v>
      </c>
      <c r="K1926" s="15" t="s">
        <v>22</v>
      </c>
    </row>
    <row r="1927" spans="1:11" ht="42" customHeight="1">
      <c r="A1927" s="4" t="s">
        <v>4613</v>
      </c>
      <c r="B1927" s="5" t="s">
        <v>4613</v>
      </c>
      <c r="C1927" s="5" t="s">
        <v>36</v>
      </c>
      <c r="D1927" s="5" t="s">
        <v>37</v>
      </c>
      <c r="E1927" s="5" t="s">
        <v>859</v>
      </c>
      <c r="F1927" s="9">
        <v>63</v>
      </c>
      <c r="G1927" s="9">
        <v>664</v>
      </c>
      <c r="H1927" s="5" t="s">
        <v>20</v>
      </c>
      <c r="I1927" s="5" t="s">
        <v>4617</v>
      </c>
      <c r="J1927" s="12" t="str">
        <f>HYPERLINK("https://www.boe.es/gazeta/dias/1806/08/01/pdfs/GMD-1806-63.pdf#page=12","Abrir facsímil")</f>
        <v>Abrir facsímil</v>
      </c>
      <c r="K1927" s="15" t="s">
        <v>22</v>
      </c>
    </row>
    <row r="1928" spans="1:11" ht="42" customHeight="1">
      <c r="A1928" s="4" t="s">
        <v>4618</v>
      </c>
      <c r="B1928" s="5" t="s">
        <v>4618</v>
      </c>
      <c r="C1928" s="5" t="s">
        <v>31</v>
      </c>
      <c r="D1928" s="5" t="s">
        <v>32</v>
      </c>
      <c r="E1928" s="5" t="s">
        <v>118</v>
      </c>
      <c r="F1928" s="9">
        <v>15</v>
      </c>
      <c r="G1928" s="9">
        <v>134</v>
      </c>
      <c r="H1928" s="5" t="s">
        <v>20</v>
      </c>
      <c r="I1928" s="5" t="s">
        <v>4619</v>
      </c>
      <c r="J1928" s="12" t="str">
        <f>HYPERLINK("https://www.boe.es/gazeta/dias/1806/02/14/pdfs/GMD-1806-15.pdf#page=10","Abrir facsímil")</f>
        <v>Abrir facsímil</v>
      </c>
      <c r="K1928" s="15" t="s">
        <v>22</v>
      </c>
    </row>
    <row r="1929" spans="1:11" ht="42" customHeight="1">
      <c r="A1929" s="4" t="s">
        <v>4620</v>
      </c>
      <c r="B1929" s="5" t="s">
        <v>4621</v>
      </c>
      <c r="C1929" s="5" t="s">
        <v>17</v>
      </c>
      <c r="D1929" s="5" t="s">
        <v>18</v>
      </c>
      <c r="E1929" s="5" t="s">
        <v>76</v>
      </c>
      <c r="F1929" s="9">
        <v>98</v>
      </c>
      <c r="G1929" s="9">
        <v>1035</v>
      </c>
      <c r="H1929" s="5" t="s">
        <v>20</v>
      </c>
      <c r="I1929" s="5" t="s">
        <v>4622</v>
      </c>
      <c r="J1929" s="12" t="str">
        <f>HYPERLINK("https://www.boe.es/gazeta/dias/1806/12/02/pdfs/GMD-1806-98.pdf#page=3","Abrir facsímil")</f>
        <v>Abrir facsímil</v>
      </c>
      <c r="K1929" s="15" t="s">
        <v>22</v>
      </c>
    </row>
    <row r="1930" spans="1:11" ht="42" customHeight="1">
      <c r="A1930" s="4" t="s">
        <v>4623</v>
      </c>
      <c r="B1930" s="5" t="s">
        <v>4624</v>
      </c>
      <c r="C1930" s="5" t="s">
        <v>36</v>
      </c>
      <c r="D1930" s="5" t="s">
        <v>37</v>
      </c>
      <c r="E1930" s="5" t="s">
        <v>271</v>
      </c>
      <c r="F1930" s="9">
        <v>6</v>
      </c>
      <c r="G1930" s="9">
        <v>56</v>
      </c>
      <c r="H1930" s="5" t="s">
        <v>20</v>
      </c>
      <c r="I1930" s="5" t="s">
        <v>4625</v>
      </c>
      <c r="J1930" s="12" t="str">
        <f>HYPERLINK("https://www.boe.es/gazeta/dias/1806/01/17/pdfs/GMD-1806-6.pdf#page=12","Abrir facsímil")</f>
        <v>Abrir facsímil</v>
      </c>
      <c r="K1930" s="15" t="s">
        <v>22</v>
      </c>
    </row>
    <row r="1931" spans="1:11" ht="42" customHeight="1">
      <c r="A1931" s="4" t="s">
        <v>4626</v>
      </c>
      <c r="B1931" s="5" t="s">
        <v>4626</v>
      </c>
      <c r="C1931" s="5" t="s">
        <v>36</v>
      </c>
      <c r="D1931" s="5" t="s">
        <v>37</v>
      </c>
      <c r="E1931" s="5" t="s">
        <v>304</v>
      </c>
      <c r="F1931" s="9">
        <v>47</v>
      </c>
      <c r="G1931" s="9">
        <v>480</v>
      </c>
      <c r="H1931" s="5" t="s">
        <v>20</v>
      </c>
      <c r="I1931" s="5" t="s">
        <v>4627</v>
      </c>
      <c r="J1931" s="12" t="str">
        <f>HYPERLINK("https://www.boe.es/gazeta/dias/1806/06/06/pdfs/GMD-1806-47.pdf#page=8","Abrir facsímil")</f>
        <v>Abrir facsímil</v>
      </c>
      <c r="K1931" s="15" t="s">
        <v>22</v>
      </c>
    </row>
    <row r="1932" spans="1:11" ht="42" customHeight="1">
      <c r="A1932" s="4" t="s">
        <v>4628</v>
      </c>
      <c r="B1932" s="5" t="s">
        <v>4629</v>
      </c>
      <c r="C1932" s="5" t="s">
        <v>69</v>
      </c>
      <c r="D1932" s="5" t="s">
        <v>70</v>
      </c>
      <c r="E1932" s="5" t="s">
        <v>19</v>
      </c>
      <c r="F1932" s="9">
        <v>3</v>
      </c>
      <c r="G1932" s="9">
        <v>21</v>
      </c>
      <c r="H1932" s="5" t="s">
        <v>20</v>
      </c>
      <c r="I1932" s="5" t="s">
        <v>4630</v>
      </c>
      <c r="J1932" s="12" t="str">
        <f>HYPERLINK("https://www.boe.es/gazeta/dias/1806/01/10/pdfs/GMD-1806-3.pdf#page=1","Abrir facsímil")</f>
        <v>Abrir facsímil</v>
      </c>
      <c r="K1932" s="15" t="s">
        <v>22</v>
      </c>
    </row>
    <row r="1933" spans="1:11" ht="42" customHeight="1">
      <c r="A1933" s="4" t="s">
        <v>4628</v>
      </c>
      <c r="B1933" s="5" t="s">
        <v>4629</v>
      </c>
      <c r="C1933" s="5" t="s">
        <v>42</v>
      </c>
      <c r="D1933" s="5" t="s">
        <v>43</v>
      </c>
      <c r="E1933" s="5" t="s">
        <v>304</v>
      </c>
      <c r="F1933" s="9">
        <v>47</v>
      </c>
      <c r="G1933" s="9">
        <v>478</v>
      </c>
      <c r="H1933" s="5" t="s">
        <v>20</v>
      </c>
      <c r="I1933" s="5" t="s">
        <v>4631</v>
      </c>
      <c r="J1933" s="12" t="str">
        <f>HYPERLINK("https://www.boe.es/gazeta/dias/1806/06/06/pdfs/GMD-1806-47.pdf#page=6","Abrir facsímil")</f>
        <v>Abrir facsímil</v>
      </c>
      <c r="K1933" s="15" t="s">
        <v>22</v>
      </c>
    </row>
    <row r="1934" spans="1:11" ht="42" customHeight="1">
      <c r="A1934" s="4" t="s">
        <v>4632</v>
      </c>
      <c r="B1934" s="5" t="s">
        <v>4632</v>
      </c>
      <c r="C1934" s="5" t="s">
        <v>75</v>
      </c>
      <c r="D1934" s="5" t="s">
        <v>43</v>
      </c>
      <c r="E1934" s="5" t="s">
        <v>124</v>
      </c>
      <c r="F1934" s="9">
        <v>25</v>
      </c>
      <c r="G1934" s="9">
        <v>246</v>
      </c>
      <c r="H1934" s="5" t="s">
        <v>20</v>
      </c>
      <c r="I1934" s="5" t="s">
        <v>4633</v>
      </c>
      <c r="J1934" s="12" t="str">
        <f>HYPERLINK("https://www.boe.es/gazeta/dias/1806/03/21/pdfs/GMD-1806-25.pdf#page=10","Abrir facsímil")</f>
        <v>Abrir facsímil</v>
      </c>
      <c r="K1934" s="15" t="s">
        <v>22</v>
      </c>
    </row>
    <row r="1935" spans="1:11" ht="42" customHeight="1">
      <c r="A1935" s="4" t="s">
        <v>4634</v>
      </c>
      <c r="B1935" s="5" t="s">
        <v>4634</v>
      </c>
      <c r="C1935" s="5" t="s">
        <v>31</v>
      </c>
      <c r="D1935" s="5" t="s">
        <v>32</v>
      </c>
      <c r="E1935" s="5" t="s">
        <v>271</v>
      </c>
      <c r="F1935" s="9">
        <v>6</v>
      </c>
      <c r="G1935" s="9">
        <v>53</v>
      </c>
      <c r="H1935" s="5" t="s">
        <v>20</v>
      </c>
      <c r="I1935" s="5" t="s">
        <v>4635</v>
      </c>
      <c r="J1935" s="12" t="str">
        <f>HYPERLINK("https://www.boe.es/gazeta/dias/1806/01/17/pdfs/GMD-1806-6.pdf#page=9","Abrir facsímil")</f>
        <v>Abrir facsímil</v>
      </c>
      <c r="K1935" s="15" t="s">
        <v>22</v>
      </c>
    </row>
    <row r="1936" spans="1:11" ht="42" customHeight="1">
      <c r="A1936" s="4" t="s">
        <v>4634</v>
      </c>
      <c r="B1936" s="5" t="s">
        <v>4634</v>
      </c>
      <c r="C1936" s="5" t="s">
        <v>42</v>
      </c>
      <c r="D1936" s="5" t="s">
        <v>43</v>
      </c>
      <c r="E1936" s="5" t="s">
        <v>600</v>
      </c>
      <c r="F1936" s="9">
        <v>77</v>
      </c>
      <c r="G1936" s="9">
        <v>794</v>
      </c>
      <c r="H1936" s="5" t="s">
        <v>20</v>
      </c>
      <c r="I1936" s="5" t="s">
        <v>4636</v>
      </c>
      <c r="J1936" s="12" t="str">
        <f>HYPERLINK("https://www.boe.es/gazeta/dias/1806/09/19/pdfs/GMD-1806-77.pdf#page=6","Abrir facsímil")</f>
        <v>Abrir facsímil</v>
      </c>
      <c r="K1936" s="15" t="s">
        <v>22</v>
      </c>
    </row>
    <row r="1937" spans="1:11" ht="42" customHeight="1">
      <c r="A1937" s="4" t="s">
        <v>4637</v>
      </c>
      <c r="B1937" s="5" t="s">
        <v>4637</v>
      </c>
      <c r="C1937" s="5" t="s">
        <v>42</v>
      </c>
      <c r="D1937" s="5" t="s">
        <v>43</v>
      </c>
      <c r="E1937" s="5" t="s">
        <v>213</v>
      </c>
      <c r="F1937" s="9">
        <v>73</v>
      </c>
      <c r="G1937" s="9">
        <v>758</v>
      </c>
      <c r="H1937" s="5" t="s">
        <v>20</v>
      </c>
      <c r="I1937" s="5" t="s">
        <v>4638</v>
      </c>
      <c r="J1937" s="12" t="str">
        <f>HYPERLINK("https://www.boe.es/gazeta/dias/1806/09/05/pdfs/GMD-1806-73.pdf#page=6","Abrir facsímil")</f>
        <v>Abrir facsímil</v>
      </c>
      <c r="K1937" s="15" t="s">
        <v>22</v>
      </c>
    </row>
    <row r="1938" spans="1:11" ht="42" customHeight="1">
      <c r="A1938" s="4" t="s">
        <v>4639</v>
      </c>
      <c r="B1938" s="5" t="s">
        <v>4639</v>
      </c>
      <c r="C1938" s="5" t="s">
        <v>17</v>
      </c>
      <c r="D1938" s="5" t="s">
        <v>18</v>
      </c>
      <c r="E1938" s="5" t="s">
        <v>780</v>
      </c>
      <c r="F1938" s="9">
        <v>33</v>
      </c>
      <c r="G1938" s="9">
        <v>327</v>
      </c>
      <c r="H1938" s="5" t="s">
        <v>20</v>
      </c>
      <c r="I1938" s="5" t="s">
        <v>4640</v>
      </c>
      <c r="J1938" s="12" t="str">
        <f>HYPERLINK("https://www.boe.es/gazeta/dias/1806/04/18/pdfs/GMD-1806-33.pdf#page=7","Abrir facsímil")</f>
        <v>Abrir facsímil</v>
      </c>
      <c r="K1938" s="15" t="s">
        <v>22</v>
      </c>
    </row>
    <row r="1939" spans="1:11" ht="42" customHeight="1">
      <c r="A1939" s="4" t="s">
        <v>4641</v>
      </c>
      <c r="B1939" s="5" t="s">
        <v>4642</v>
      </c>
      <c r="C1939" s="5" t="s">
        <v>17</v>
      </c>
      <c r="D1939" s="5" t="s">
        <v>18</v>
      </c>
      <c r="E1939" s="5" t="s">
        <v>256</v>
      </c>
      <c r="F1939" s="9">
        <v>9</v>
      </c>
      <c r="G1939" s="9">
        <v>81</v>
      </c>
      <c r="H1939" s="5" t="s">
        <v>20</v>
      </c>
      <c r="I1939" s="5" t="s">
        <v>4643</v>
      </c>
      <c r="J1939" s="12" t="str">
        <f>HYPERLINK("https://www.boe.es/gazeta/dias/1806/01/25/pdfs/GMD-1806-9.pdf#page=5","Abrir facsímil")</f>
        <v>Abrir facsímil</v>
      </c>
      <c r="K1939" s="15" t="s">
        <v>22</v>
      </c>
    </row>
    <row r="1940" spans="1:11" ht="42" customHeight="1">
      <c r="A1940" s="4" t="s">
        <v>4644</v>
      </c>
      <c r="B1940" s="5" t="s">
        <v>4644</v>
      </c>
      <c r="C1940" s="5" t="s">
        <v>36</v>
      </c>
      <c r="D1940" s="5" t="s">
        <v>37</v>
      </c>
      <c r="E1940" s="5" t="s">
        <v>702</v>
      </c>
      <c r="F1940" s="9">
        <v>43</v>
      </c>
      <c r="G1940" s="9">
        <v>436</v>
      </c>
      <c r="H1940" s="5" t="s">
        <v>20</v>
      </c>
      <c r="I1940" s="5" t="s">
        <v>4645</v>
      </c>
      <c r="J1940" s="12" t="str">
        <f>HYPERLINK("https://www.boe.es/gazeta/dias/1806/05/23/pdfs/GMD-1806-43.pdf#page=12","Abrir facsímil")</f>
        <v>Abrir facsímil</v>
      </c>
      <c r="K1940" s="15" t="s">
        <v>22</v>
      </c>
    </row>
    <row r="1941" spans="1:11" ht="42" customHeight="1">
      <c r="A1941" s="4" t="s">
        <v>4646</v>
      </c>
      <c r="B1941" s="5" t="s">
        <v>4647</v>
      </c>
      <c r="C1941" s="5" t="s">
        <v>69</v>
      </c>
      <c r="D1941" s="5" t="s">
        <v>70</v>
      </c>
      <c r="E1941" s="5" t="s">
        <v>127</v>
      </c>
      <c r="F1941" s="9">
        <v>81</v>
      </c>
      <c r="G1941" s="9">
        <v>833</v>
      </c>
      <c r="H1941" s="5" t="s">
        <v>20</v>
      </c>
      <c r="I1941" s="5" t="s">
        <v>4648</v>
      </c>
      <c r="J1941" s="12" t="str">
        <f>HYPERLINK("https://www.boe.es/gazeta/dias/1806/10/03/pdfs/GMD-1806-81.pdf#page=1","Abrir facsímil")</f>
        <v>Abrir facsímil</v>
      </c>
      <c r="K1941" s="15" t="s">
        <v>22</v>
      </c>
    </row>
    <row r="1942" spans="1:11" ht="42" customHeight="1">
      <c r="A1942" s="4" t="s">
        <v>4649</v>
      </c>
      <c r="B1942" s="5" t="s">
        <v>4649</v>
      </c>
      <c r="C1942" s="5" t="s">
        <v>31</v>
      </c>
      <c r="D1942" s="5" t="s">
        <v>32</v>
      </c>
      <c r="E1942" s="5" t="s">
        <v>290</v>
      </c>
      <c r="F1942" s="9">
        <v>1</v>
      </c>
      <c r="G1942" s="9">
        <v>9</v>
      </c>
      <c r="H1942" s="5" t="s">
        <v>20</v>
      </c>
      <c r="I1942" s="5" t="s">
        <v>4650</v>
      </c>
      <c r="J1942" s="12" t="str">
        <f>HYPERLINK("https://www.boe.es/gazeta/dias/1806/01/03/pdfs/GMD-1806-1.pdf#page=9","Abrir facsímil")</f>
        <v>Abrir facsímil</v>
      </c>
      <c r="K1942" s="15" t="s">
        <v>22</v>
      </c>
    </row>
    <row r="1943" spans="1:11" ht="42" customHeight="1">
      <c r="A1943" s="4" t="s">
        <v>4651</v>
      </c>
      <c r="B1943" s="5" t="s">
        <v>4651</v>
      </c>
      <c r="C1943" s="5" t="s">
        <v>42</v>
      </c>
      <c r="D1943" s="5" t="s">
        <v>43</v>
      </c>
      <c r="E1943" s="5" t="s">
        <v>297</v>
      </c>
      <c r="F1943" s="9">
        <v>94</v>
      </c>
      <c r="G1943" s="9">
        <v>992</v>
      </c>
      <c r="H1943" s="5" t="s">
        <v>20</v>
      </c>
      <c r="I1943" s="5" t="s">
        <v>4652</v>
      </c>
      <c r="J1943" s="12" t="str">
        <f>HYPERLINK("https://www.boe.es/gazeta/dias/1806/11/18/pdfs/GMD-1806-94.pdf#page=12","Abrir facsímil")</f>
        <v>Abrir facsímil</v>
      </c>
      <c r="K1943" s="15" t="s">
        <v>22</v>
      </c>
    </row>
    <row r="1944" spans="1:11" ht="42" customHeight="1">
      <c r="A1944" s="4" t="s">
        <v>4653</v>
      </c>
      <c r="B1944" s="5" t="s">
        <v>4653</v>
      </c>
      <c r="C1944" s="5" t="s">
        <v>31</v>
      </c>
      <c r="D1944" s="5" t="s">
        <v>32</v>
      </c>
      <c r="E1944" s="5" t="s">
        <v>44</v>
      </c>
      <c r="F1944" s="9">
        <v>42</v>
      </c>
      <c r="G1944" s="9">
        <v>421</v>
      </c>
      <c r="H1944" s="5" t="s">
        <v>20</v>
      </c>
      <c r="I1944" s="5" t="s">
        <v>4654</v>
      </c>
      <c r="J1944" s="12" t="str">
        <f>HYPERLINK("https://www.boe.es/gazeta/dias/1806/05/20/pdfs/GMD-1806-42.pdf#page=9","Abrir facsímil")</f>
        <v>Abrir facsímil</v>
      </c>
      <c r="K1944" s="15" t="s">
        <v>22</v>
      </c>
    </row>
    <row r="1945" spans="1:11" ht="42" customHeight="1">
      <c r="A1945" s="4" t="s">
        <v>4655</v>
      </c>
      <c r="B1945" s="5" t="s">
        <v>4656</v>
      </c>
      <c r="C1945" s="5" t="s">
        <v>31</v>
      </c>
      <c r="D1945" s="5" t="s">
        <v>32</v>
      </c>
      <c r="E1945" s="5" t="s">
        <v>86</v>
      </c>
      <c r="F1945" s="9">
        <v>53</v>
      </c>
      <c r="G1945" s="9">
        <v>552</v>
      </c>
      <c r="H1945" s="5" t="s">
        <v>20</v>
      </c>
      <c r="I1945" s="5" t="s">
        <v>4657</v>
      </c>
      <c r="J1945" s="12" t="str">
        <f>HYPERLINK("https://www.boe.es/gazeta/dias/1806/06/27/pdfs/GMD-1806-53.pdf#page=8","Abrir facsímil")</f>
        <v>Abrir facsímil</v>
      </c>
      <c r="K1945" s="15" t="s">
        <v>22</v>
      </c>
    </row>
    <row r="1946" spans="1:11" ht="42" customHeight="1">
      <c r="A1946" s="4" t="s">
        <v>4658</v>
      </c>
      <c r="B1946" s="5" t="s">
        <v>4658</v>
      </c>
      <c r="C1946" s="5" t="s">
        <v>31</v>
      </c>
      <c r="D1946" s="5" t="s">
        <v>32</v>
      </c>
      <c r="E1946" s="5" t="s">
        <v>118</v>
      </c>
      <c r="F1946" s="9">
        <v>15</v>
      </c>
      <c r="G1946" s="9">
        <v>134</v>
      </c>
      <c r="H1946" s="5" t="s">
        <v>20</v>
      </c>
      <c r="I1946" s="5" t="s">
        <v>4659</v>
      </c>
      <c r="J1946" s="12" t="str">
        <f>HYPERLINK("https://www.boe.es/gazeta/dias/1806/02/14/pdfs/GMD-1806-15.pdf#page=10","Abrir facsímil")</f>
        <v>Abrir facsímil</v>
      </c>
      <c r="K1946" s="15" t="s">
        <v>22</v>
      </c>
    </row>
    <row r="1947" spans="1:11" ht="42" customHeight="1">
      <c r="A1947" s="4" t="s">
        <v>4660</v>
      </c>
      <c r="B1947" s="5" t="s">
        <v>4660</v>
      </c>
      <c r="C1947" s="5" t="s">
        <v>31</v>
      </c>
      <c r="D1947" s="5" t="s">
        <v>32</v>
      </c>
      <c r="E1947" s="5" t="s">
        <v>86</v>
      </c>
      <c r="F1947" s="9">
        <v>53</v>
      </c>
      <c r="G1947" s="9">
        <v>553</v>
      </c>
      <c r="H1947" s="5" t="s">
        <v>20</v>
      </c>
      <c r="I1947" s="5" t="s">
        <v>4661</v>
      </c>
      <c r="J1947" s="12" t="str">
        <f>HYPERLINK("https://www.boe.es/gazeta/dias/1806/06/27/pdfs/GMD-1806-53.pdf#page=9","Abrir facsímil")</f>
        <v>Abrir facsímil</v>
      </c>
      <c r="K1947" s="15" t="s">
        <v>22</v>
      </c>
    </row>
    <row r="1948" spans="1:11" ht="42" customHeight="1">
      <c r="A1948" s="4" t="s">
        <v>4662</v>
      </c>
      <c r="B1948" s="5" t="s">
        <v>4662</v>
      </c>
      <c r="C1948" s="5" t="s">
        <v>75</v>
      </c>
      <c r="D1948" s="5" t="s">
        <v>43</v>
      </c>
      <c r="E1948" s="5" t="s">
        <v>870</v>
      </c>
      <c r="F1948" s="9">
        <v>35</v>
      </c>
      <c r="G1948" s="9">
        <v>344</v>
      </c>
      <c r="H1948" s="5" t="s">
        <v>20</v>
      </c>
      <c r="I1948" s="5" t="s">
        <v>4663</v>
      </c>
      <c r="J1948" s="12" t="str">
        <f>HYPERLINK("https://www.boe.es/gazeta/dias/1806/04/25/pdfs/GMD-1806-35.pdf#page=8","Abrir facsímil")</f>
        <v>Abrir facsímil</v>
      </c>
      <c r="K1948" s="15" t="s">
        <v>22</v>
      </c>
    </row>
    <row r="1949" spans="1:11" ht="42" customHeight="1">
      <c r="A1949" s="4" t="s">
        <v>4664</v>
      </c>
      <c r="B1949" s="5" t="s">
        <v>4665</v>
      </c>
      <c r="C1949" s="5" t="s">
        <v>17</v>
      </c>
      <c r="D1949" s="5" t="s">
        <v>18</v>
      </c>
      <c r="E1949" s="5" t="s">
        <v>209</v>
      </c>
      <c r="F1949" s="9">
        <v>95</v>
      </c>
      <c r="G1949" s="9">
        <v>997</v>
      </c>
      <c r="H1949" s="5" t="s">
        <v>20</v>
      </c>
      <c r="I1949" s="5" t="s">
        <v>4666</v>
      </c>
      <c r="J1949" s="12" t="str">
        <f>HYPERLINK("https://www.boe.es/gazeta/dias/1806/11/21/pdfs/GMD-1806-95.pdf#page=5","Abrir facsímil")</f>
        <v>Abrir facsímil</v>
      </c>
      <c r="K1949" s="15" t="s">
        <v>22</v>
      </c>
    </row>
    <row r="1950" spans="1:11" ht="42" customHeight="1">
      <c r="A1950" s="4" t="s">
        <v>4667</v>
      </c>
      <c r="B1950" s="5" t="s">
        <v>4668</v>
      </c>
      <c r="C1950" s="5" t="s">
        <v>42</v>
      </c>
      <c r="D1950" s="5" t="s">
        <v>43</v>
      </c>
      <c r="E1950" s="5" t="s">
        <v>400</v>
      </c>
      <c r="F1950" s="9">
        <v>22</v>
      </c>
      <c r="G1950" s="9">
        <v>207</v>
      </c>
      <c r="H1950" s="5" t="s">
        <v>20</v>
      </c>
      <c r="I1950" s="5" t="s">
        <v>4669</v>
      </c>
      <c r="J1950" s="12" t="str">
        <f>HYPERLINK("https://www.boe.es/gazeta/dias/1806/03/11/pdfs/GMD-1806-22.pdf#page=7","Abrir facsímil")</f>
        <v>Abrir facsímil</v>
      </c>
      <c r="K1950" s="15" t="s">
        <v>22</v>
      </c>
    </row>
    <row r="1951" spans="1:11" ht="42" customHeight="1">
      <c r="A1951" s="4" t="s">
        <v>4670</v>
      </c>
      <c r="B1951" s="5" t="s">
        <v>4671</v>
      </c>
      <c r="C1951" s="5" t="s">
        <v>17</v>
      </c>
      <c r="D1951" s="5" t="s">
        <v>18</v>
      </c>
      <c r="E1951" s="5" t="s">
        <v>96</v>
      </c>
      <c r="F1951" s="9">
        <v>62</v>
      </c>
      <c r="G1951" s="9">
        <v>648</v>
      </c>
      <c r="H1951" s="5" t="s">
        <v>20</v>
      </c>
      <c r="I1951" s="5" t="s">
        <v>4672</v>
      </c>
      <c r="J1951" s="12" t="str">
        <f>HYPERLINK("https://www.boe.es/gazeta/dias/1806/07/29/pdfs/GMD-1806-62.pdf#page=8","Abrir facsímil")</f>
        <v>Abrir facsímil</v>
      </c>
      <c r="K1951" s="15" t="s">
        <v>22</v>
      </c>
    </row>
    <row r="1952" spans="1:11" ht="42" customHeight="1">
      <c r="A1952" s="4" t="s">
        <v>4673</v>
      </c>
      <c r="B1952" s="5" t="s">
        <v>4674</v>
      </c>
      <c r="C1952" s="5" t="s">
        <v>17</v>
      </c>
      <c r="D1952" s="5" t="s">
        <v>18</v>
      </c>
      <c r="E1952" s="5" t="s">
        <v>195</v>
      </c>
      <c r="F1952" s="9">
        <v>4</v>
      </c>
      <c r="G1952" s="9">
        <v>35</v>
      </c>
      <c r="H1952" s="5" t="s">
        <v>20</v>
      </c>
      <c r="I1952" s="5" t="s">
        <v>4675</v>
      </c>
      <c r="J1952" s="12" t="str">
        <f>HYPERLINK("https://www.boe.es/gazeta/dias/1806/01/14/pdfs/GMD-1806-4.pdf#page=7","Abrir facsímil")</f>
        <v>Abrir facsímil</v>
      </c>
      <c r="K1952" s="15" t="s">
        <v>22</v>
      </c>
    </row>
    <row r="1953" spans="1:11" ht="42" customHeight="1">
      <c r="A1953" s="4" t="s">
        <v>4676</v>
      </c>
      <c r="B1953" s="5" t="s">
        <v>4677</v>
      </c>
      <c r="C1953" s="5" t="s">
        <v>36</v>
      </c>
      <c r="D1953" s="5" t="s">
        <v>37</v>
      </c>
      <c r="E1953" s="5" t="s">
        <v>780</v>
      </c>
      <c r="F1953" s="9">
        <v>33</v>
      </c>
      <c r="G1953" s="9">
        <v>328</v>
      </c>
      <c r="H1953" s="5" t="s">
        <v>20</v>
      </c>
      <c r="I1953" s="5" t="s">
        <v>4678</v>
      </c>
      <c r="J1953" s="12" t="str">
        <f>HYPERLINK("https://www.boe.es/gazeta/dias/1806/04/18/pdfs/GMD-1806-33.pdf#page=8","Abrir facsímil")</f>
        <v>Abrir facsímil</v>
      </c>
      <c r="K1953" s="15" t="s">
        <v>22</v>
      </c>
    </row>
    <row r="1954" spans="1:11" ht="42" customHeight="1">
      <c r="A1954" s="4" t="s">
        <v>4679</v>
      </c>
      <c r="B1954" s="5" t="s">
        <v>4680</v>
      </c>
      <c r="C1954" s="5" t="s">
        <v>17</v>
      </c>
      <c r="D1954" s="5" t="s">
        <v>18</v>
      </c>
      <c r="E1954" s="5" t="s">
        <v>26</v>
      </c>
      <c r="F1954" s="9">
        <v>65</v>
      </c>
      <c r="G1954" s="9">
        <v>681</v>
      </c>
      <c r="H1954" s="5" t="s">
        <v>20</v>
      </c>
      <c r="I1954" s="5" t="s">
        <v>4681</v>
      </c>
      <c r="J1954" s="12" t="str">
        <f>HYPERLINK("https://www.boe.es/gazeta/dias/1806/08/08/pdfs/GMD-1806-65.pdf#page=9","Abrir facsímil")</f>
        <v>Abrir facsímil</v>
      </c>
      <c r="K1954" s="15" t="s">
        <v>22</v>
      </c>
    </row>
    <row r="1955" spans="1:11" ht="42" customHeight="1">
      <c r="A1955" s="4" t="s">
        <v>4682</v>
      </c>
      <c r="B1955" s="5" t="s">
        <v>4683</v>
      </c>
      <c r="C1955" s="5" t="s">
        <v>42</v>
      </c>
      <c r="D1955" s="5" t="s">
        <v>43</v>
      </c>
      <c r="E1955" s="5" t="s">
        <v>185</v>
      </c>
      <c r="F1955" s="9">
        <v>46</v>
      </c>
      <c r="G1955" s="9">
        <v>468</v>
      </c>
      <c r="H1955" s="5" t="s">
        <v>20</v>
      </c>
      <c r="I1955" s="5" t="s">
        <v>4684</v>
      </c>
      <c r="J1955" s="12" t="str">
        <f>HYPERLINK("https://www.boe.es/gazeta/dias/1806/06/03/pdfs/GMD-1806-46.pdf#page=8","Abrir facsímil")</f>
        <v>Abrir facsímil</v>
      </c>
      <c r="K1955" s="15" t="s">
        <v>22</v>
      </c>
    </row>
    <row r="1956" spans="1:11" ht="42" customHeight="1">
      <c r="A1956" s="4" t="s">
        <v>4685</v>
      </c>
      <c r="B1956" s="5" t="s">
        <v>4686</v>
      </c>
      <c r="C1956" s="5" t="s">
        <v>36</v>
      </c>
      <c r="D1956" s="5" t="s">
        <v>37</v>
      </c>
      <c r="E1956" s="5" t="s">
        <v>24</v>
      </c>
      <c r="F1956" s="9">
        <v>32</v>
      </c>
      <c r="G1956" s="9">
        <v>320</v>
      </c>
      <c r="H1956" s="5" t="s">
        <v>20</v>
      </c>
      <c r="I1956" s="5" t="s">
        <v>4687</v>
      </c>
      <c r="J1956" s="12" t="str">
        <f>HYPERLINK("https://www.boe.es/gazeta/dias/1806/04/15/pdfs/GMD-1806-32.pdf#page=12","Abrir facsímil")</f>
        <v>Abrir facsímil</v>
      </c>
      <c r="K1956" s="15" t="s">
        <v>22</v>
      </c>
    </row>
    <row r="1957" spans="1:11" ht="42" customHeight="1">
      <c r="A1957" s="4" t="s">
        <v>4688</v>
      </c>
      <c r="B1957" s="5" t="s">
        <v>4689</v>
      </c>
      <c r="C1957" s="5" t="s">
        <v>31</v>
      </c>
      <c r="D1957" s="5" t="s">
        <v>32</v>
      </c>
      <c r="E1957" s="5" t="s">
        <v>124</v>
      </c>
      <c r="F1957" s="9">
        <v>25</v>
      </c>
      <c r="G1957" s="9">
        <v>245</v>
      </c>
      <c r="H1957" s="5" t="s">
        <v>20</v>
      </c>
      <c r="I1957" s="5" t="s">
        <v>4690</v>
      </c>
      <c r="J1957" s="12" t="str">
        <f>HYPERLINK("https://www.boe.es/gazeta/dias/1806/03/21/pdfs/GMD-1806-25.pdf#page=9","Abrir facsímil")</f>
        <v>Abrir facsímil</v>
      </c>
      <c r="K1957" s="15" t="s">
        <v>22</v>
      </c>
    </row>
    <row r="1958" spans="1:11" ht="42" customHeight="1">
      <c r="A1958" s="4" t="s">
        <v>4691</v>
      </c>
      <c r="B1958" s="5" t="s">
        <v>4692</v>
      </c>
      <c r="C1958" s="5" t="s">
        <v>42</v>
      </c>
      <c r="D1958" s="5" t="s">
        <v>43</v>
      </c>
      <c r="E1958" s="5" t="s">
        <v>28</v>
      </c>
      <c r="F1958" s="9">
        <v>102</v>
      </c>
      <c r="G1958" s="9">
        <v>1084</v>
      </c>
      <c r="H1958" s="5" t="s">
        <v>20</v>
      </c>
      <c r="I1958" s="5" t="s">
        <v>4693</v>
      </c>
      <c r="J1958" s="12" t="str">
        <f>HYPERLINK("https://www.boe.es/gazeta/dias/1806/12/16/pdfs/GMD-1806-102.pdf#page=8","Abrir facsímil")</f>
        <v>Abrir facsímil</v>
      </c>
      <c r="K1958" s="15" t="s">
        <v>22</v>
      </c>
    </row>
    <row r="1959" spans="1:11" ht="42" customHeight="1">
      <c r="A1959" s="4" t="s">
        <v>4694</v>
      </c>
      <c r="B1959" s="5" t="s">
        <v>4695</v>
      </c>
      <c r="C1959" s="5" t="s">
        <v>17</v>
      </c>
      <c r="D1959" s="5" t="s">
        <v>18</v>
      </c>
      <c r="E1959" s="5" t="s">
        <v>195</v>
      </c>
      <c r="F1959" s="9">
        <v>4</v>
      </c>
      <c r="G1959" s="9">
        <v>37</v>
      </c>
      <c r="H1959" s="5" t="s">
        <v>20</v>
      </c>
      <c r="I1959" s="5" t="s">
        <v>4696</v>
      </c>
      <c r="J1959" s="12" t="str">
        <f>HYPERLINK("https://www.boe.es/gazeta/dias/1806/01/14/pdfs/GMD-1806-4.pdf#page=9","Abrir facsímil")</f>
        <v>Abrir facsímil</v>
      </c>
      <c r="K1959" s="15" t="s">
        <v>22</v>
      </c>
    </row>
    <row r="1960" spans="1:11" ht="42" customHeight="1">
      <c r="A1960" s="4" t="s">
        <v>4697</v>
      </c>
      <c r="B1960" s="5" t="s">
        <v>4698</v>
      </c>
      <c r="C1960" s="5" t="s">
        <v>42</v>
      </c>
      <c r="D1960" s="5" t="s">
        <v>43</v>
      </c>
      <c r="E1960" s="5" t="s">
        <v>327</v>
      </c>
      <c r="F1960" s="9">
        <v>104</v>
      </c>
      <c r="G1960" s="9">
        <v>1110</v>
      </c>
      <c r="H1960" s="5" t="s">
        <v>20</v>
      </c>
      <c r="I1960" s="5" t="s">
        <v>4699</v>
      </c>
      <c r="J1960" s="12" t="str">
        <f>HYPERLINK("https://www.boe.es/gazeta/dias/1806/12/23/pdfs/GMD-1806-104.pdf#page=10","Abrir facsímil")</f>
        <v>Abrir facsímil</v>
      </c>
      <c r="K1960" s="15" t="s">
        <v>22</v>
      </c>
    </row>
    <row r="1961" spans="1:11" ht="42" customHeight="1">
      <c r="A1961" s="4" t="s">
        <v>4700</v>
      </c>
      <c r="B1961" s="5" t="s">
        <v>4701</v>
      </c>
      <c r="C1961" s="5" t="s">
        <v>42</v>
      </c>
      <c r="D1961" s="5" t="s">
        <v>43</v>
      </c>
      <c r="E1961" s="5" t="s">
        <v>438</v>
      </c>
      <c r="F1961" s="9">
        <v>70</v>
      </c>
      <c r="G1961" s="9">
        <v>730</v>
      </c>
      <c r="H1961" s="5" t="s">
        <v>20</v>
      </c>
      <c r="I1961" s="5" t="s">
        <v>4702</v>
      </c>
      <c r="J1961" s="12" t="str">
        <f>HYPERLINK("https://www.boe.es/gazeta/dias/1806/08/26/pdfs/GMD-1806-70.pdf#page=6","Abrir facsímil")</f>
        <v>Abrir facsímil</v>
      </c>
      <c r="K1961" s="15" t="s">
        <v>22</v>
      </c>
    </row>
    <row r="1962" spans="1:11" ht="42" customHeight="1">
      <c r="A1962" s="4" t="s">
        <v>4703</v>
      </c>
      <c r="B1962" s="5" t="s">
        <v>4704</v>
      </c>
      <c r="C1962" s="5" t="s">
        <v>31</v>
      </c>
      <c r="D1962" s="5" t="s">
        <v>32</v>
      </c>
      <c r="E1962" s="5" t="s">
        <v>100</v>
      </c>
      <c r="F1962" s="9">
        <v>7</v>
      </c>
      <c r="G1962" s="9">
        <v>65</v>
      </c>
      <c r="H1962" s="5" t="s">
        <v>20</v>
      </c>
      <c r="I1962" s="5" t="s">
        <v>4705</v>
      </c>
      <c r="J1962" s="12" t="str">
        <f>HYPERLINK("https://www.boe.es/gazeta/dias/1806/01/21/pdfs/GMD-1806-7.pdf#page=9","Abrir facsímil")</f>
        <v>Abrir facsímil</v>
      </c>
      <c r="K1962" s="15" t="s">
        <v>22</v>
      </c>
    </row>
    <row r="1963" spans="1:11" ht="42" customHeight="1">
      <c r="A1963" s="4" t="s">
        <v>4706</v>
      </c>
      <c r="B1963" s="5" t="s">
        <v>4707</v>
      </c>
      <c r="C1963" s="5" t="s">
        <v>17</v>
      </c>
      <c r="D1963" s="5" t="s">
        <v>18</v>
      </c>
      <c r="E1963" s="5" t="s">
        <v>213</v>
      </c>
      <c r="F1963" s="9">
        <v>73</v>
      </c>
      <c r="G1963" s="9">
        <v>757</v>
      </c>
      <c r="H1963" s="5" t="s">
        <v>20</v>
      </c>
      <c r="I1963" s="5" t="s">
        <v>4708</v>
      </c>
      <c r="J1963" s="12" t="str">
        <f>HYPERLINK("https://www.boe.es/gazeta/dias/1806/09/05/pdfs/GMD-1806-73.pdf#page=5","Abrir facsímil")</f>
        <v>Abrir facsímil</v>
      </c>
      <c r="K1963" s="15" t="s">
        <v>22</v>
      </c>
    </row>
    <row r="1964" spans="1:11" ht="42" customHeight="1">
      <c r="A1964" s="4" t="s">
        <v>4709</v>
      </c>
      <c r="B1964" s="5" t="s">
        <v>4710</v>
      </c>
      <c r="C1964" s="5" t="s">
        <v>36</v>
      </c>
      <c r="D1964" s="5" t="s">
        <v>37</v>
      </c>
      <c r="E1964" s="5" t="s">
        <v>148</v>
      </c>
      <c r="F1964" s="9">
        <v>78</v>
      </c>
      <c r="G1964" s="9">
        <v>807</v>
      </c>
      <c r="H1964" s="5" t="s">
        <v>20</v>
      </c>
      <c r="I1964" s="5" t="s">
        <v>4711</v>
      </c>
      <c r="J1964" s="12" t="str">
        <f>HYPERLINK("https://www.boe.es/gazeta/dias/1806/09/23/pdfs/GMD-1806-78.pdf#page=11","Abrir facsímil")</f>
        <v>Abrir facsímil</v>
      </c>
      <c r="K1964" s="15" t="s">
        <v>22</v>
      </c>
    </row>
    <row r="1965" spans="1:11" ht="42" customHeight="1">
      <c r="A1965" s="4" t="s">
        <v>4712</v>
      </c>
      <c r="B1965" s="5" t="s">
        <v>4713</v>
      </c>
      <c r="C1965" s="5" t="s">
        <v>31</v>
      </c>
      <c r="D1965" s="5" t="s">
        <v>32</v>
      </c>
      <c r="E1965" s="5" t="s">
        <v>76</v>
      </c>
      <c r="F1965" s="9">
        <v>98</v>
      </c>
      <c r="G1965" s="9">
        <v>1044</v>
      </c>
      <c r="H1965" s="5" t="s">
        <v>20</v>
      </c>
      <c r="I1965" s="5" t="s">
        <v>4714</v>
      </c>
      <c r="J1965" s="12" t="str">
        <f>HYPERLINK("https://www.boe.es/gazeta/dias/1806/12/02/pdfs/GMD-1806-98.pdf#page=12","Abrir facsímil")</f>
        <v>Abrir facsímil</v>
      </c>
      <c r="K1965" s="15" t="s">
        <v>22</v>
      </c>
    </row>
    <row r="1966" spans="1:11" ht="42" customHeight="1">
      <c r="A1966" s="4" t="s">
        <v>4715</v>
      </c>
      <c r="B1966" s="5" t="s">
        <v>4716</v>
      </c>
      <c r="C1966" s="5" t="s">
        <v>31</v>
      </c>
      <c r="D1966" s="5" t="s">
        <v>32</v>
      </c>
      <c r="E1966" s="5" t="s">
        <v>76</v>
      </c>
      <c r="F1966" s="9">
        <v>98</v>
      </c>
      <c r="G1966" s="9">
        <v>1043</v>
      </c>
      <c r="H1966" s="5" t="s">
        <v>20</v>
      </c>
      <c r="I1966" s="5" t="s">
        <v>4717</v>
      </c>
      <c r="J1966" s="12" t="str">
        <f>HYPERLINK("https://www.boe.es/gazeta/dias/1806/12/02/pdfs/GMD-1806-98.pdf#page=11","Abrir facsímil")</f>
        <v>Abrir facsímil</v>
      </c>
      <c r="K1966" s="15" t="s">
        <v>22</v>
      </c>
    </row>
    <row r="1967" spans="1:11" ht="42" customHeight="1">
      <c r="A1967" s="4" t="s">
        <v>4718</v>
      </c>
      <c r="B1967" s="5" t="s">
        <v>4719</v>
      </c>
      <c r="C1967" s="5" t="s">
        <v>42</v>
      </c>
      <c r="D1967" s="5" t="s">
        <v>43</v>
      </c>
      <c r="E1967" s="5" t="s">
        <v>140</v>
      </c>
      <c r="F1967" s="9">
        <v>83</v>
      </c>
      <c r="G1967" s="9">
        <v>860</v>
      </c>
      <c r="H1967" s="5" t="s">
        <v>20</v>
      </c>
      <c r="I1967" s="5" t="s">
        <v>4720</v>
      </c>
      <c r="J1967" s="12" t="str">
        <f>HYPERLINK("https://www.boe.es/gazeta/dias/1806/10/10/pdfs/GMD-1806-83.pdf#page=8","Abrir facsímil")</f>
        <v>Abrir facsímil</v>
      </c>
      <c r="K1967" s="15" t="s">
        <v>22</v>
      </c>
    </row>
    <row r="1968" spans="1:11" ht="42" customHeight="1">
      <c r="A1968" s="4" t="s">
        <v>4721</v>
      </c>
      <c r="B1968" s="5" t="s">
        <v>4722</v>
      </c>
      <c r="C1968" s="5" t="s">
        <v>42</v>
      </c>
      <c r="D1968" s="5" t="s">
        <v>43</v>
      </c>
      <c r="E1968" s="5" t="s">
        <v>48</v>
      </c>
      <c r="F1968" s="9">
        <v>67</v>
      </c>
      <c r="G1968" s="9">
        <v>702</v>
      </c>
      <c r="H1968" s="5" t="s">
        <v>20</v>
      </c>
      <c r="I1968" s="5" t="s">
        <v>4723</v>
      </c>
      <c r="J1968" s="12" t="str">
        <f>HYPERLINK("https://www.boe.es/gazeta/dias/1806/08/15/pdfs/GMD-1806-67.pdf#page=10","Abrir facsímil")</f>
        <v>Abrir facsímil</v>
      </c>
      <c r="K1968" s="15" t="s">
        <v>22</v>
      </c>
    </row>
    <row r="1969" spans="1:11" ht="42" customHeight="1">
      <c r="A1969" s="4" t="s">
        <v>4721</v>
      </c>
      <c r="B1969" s="5" t="s">
        <v>4722</v>
      </c>
      <c r="C1969" s="5" t="s">
        <v>31</v>
      </c>
      <c r="D1969" s="5" t="s">
        <v>32</v>
      </c>
      <c r="E1969" s="5" t="s">
        <v>127</v>
      </c>
      <c r="F1969" s="9">
        <v>81</v>
      </c>
      <c r="G1969" s="9">
        <v>837</v>
      </c>
      <c r="H1969" s="5" t="s">
        <v>20</v>
      </c>
      <c r="I1969" s="5" t="s">
        <v>4724</v>
      </c>
      <c r="J1969" s="12" t="str">
        <f>HYPERLINK("https://www.boe.es/gazeta/dias/1806/10/03/pdfs/GMD-1806-81.pdf#page=5","Abrir facsímil")</f>
        <v>Abrir facsímil</v>
      </c>
      <c r="K1969" s="15" t="s">
        <v>22</v>
      </c>
    </row>
    <row r="1970" spans="1:11" ht="42" customHeight="1">
      <c r="A1970" s="4" t="s">
        <v>4725</v>
      </c>
      <c r="B1970" s="5" t="s">
        <v>4726</v>
      </c>
      <c r="C1970" s="5" t="s">
        <v>31</v>
      </c>
      <c r="D1970" s="5" t="s">
        <v>32</v>
      </c>
      <c r="E1970" s="5" t="s">
        <v>271</v>
      </c>
      <c r="F1970" s="9">
        <v>6</v>
      </c>
      <c r="G1970" s="9">
        <v>55</v>
      </c>
      <c r="H1970" s="5" t="s">
        <v>20</v>
      </c>
      <c r="I1970" s="5" t="s">
        <v>4727</v>
      </c>
      <c r="J1970" s="12" t="str">
        <f>HYPERLINK("https://www.boe.es/gazeta/dias/1806/01/17/pdfs/GMD-1806-6.pdf#page=11","Abrir facsímil")</f>
        <v>Abrir facsímil</v>
      </c>
      <c r="K1970" s="15" t="s">
        <v>22</v>
      </c>
    </row>
    <row r="1971" spans="1:11" ht="42" customHeight="1">
      <c r="A1971" s="4" t="s">
        <v>4725</v>
      </c>
      <c r="B1971" s="5" t="s">
        <v>4726</v>
      </c>
      <c r="C1971" s="5" t="s">
        <v>31</v>
      </c>
      <c r="D1971" s="5" t="s">
        <v>32</v>
      </c>
      <c r="E1971" s="5" t="s">
        <v>227</v>
      </c>
      <c r="F1971" s="9">
        <v>27</v>
      </c>
      <c r="G1971" s="9">
        <v>270</v>
      </c>
      <c r="H1971" s="5" t="s">
        <v>20</v>
      </c>
      <c r="I1971" s="5" t="s">
        <v>4728</v>
      </c>
      <c r="J1971" s="12" t="str">
        <f>HYPERLINK("https://www.boe.es/gazeta/dias/1806/03/28/pdfs/GMD-1806-27.pdf#page=10","Abrir facsímil")</f>
        <v>Abrir facsímil</v>
      </c>
      <c r="K1971" s="15" t="s">
        <v>22</v>
      </c>
    </row>
    <row r="1972" spans="1:11" ht="42" customHeight="1">
      <c r="A1972" s="4" t="s">
        <v>4725</v>
      </c>
      <c r="B1972" s="5" t="s">
        <v>4726</v>
      </c>
      <c r="C1972" s="5" t="s">
        <v>31</v>
      </c>
      <c r="D1972" s="5" t="s">
        <v>32</v>
      </c>
      <c r="E1972" s="5" t="s">
        <v>71</v>
      </c>
      <c r="F1972" s="9">
        <v>29</v>
      </c>
      <c r="G1972" s="9">
        <v>288</v>
      </c>
      <c r="H1972" s="5" t="s">
        <v>20</v>
      </c>
      <c r="I1972" s="5" t="s">
        <v>4729</v>
      </c>
      <c r="J1972" s="12" t="str">
        <f>HYPERLINK("https://www.boe.es/gazeta/dias/1806/04/04/pdfs/GMD-1806-29.pdf#page=8","Abrir facsímil")</f>
        <v>Abrir facsímil</v>
      </c>
      <c r="K1972" s="15" t="s">
        <v>22</v>
      </c>
    </row>
    <row r="1973" spans="1:11" ht="42" customHeight="1">
      <c r="A1973" s="4" t="s">
        <v>4725</v>
      </c>
      <c r="B1973" s="5" t="s">
        <v>4726</v>
      </c>
      <c r="C1973" s="5" t="s">
        <v>31</v>
      </c>
      <c r="D1973" s="5" t="s">
        <v>32</v>
      </c>
      <c r="E1973" s="5" t="s">
        <v>202</v>
      </c>
      <c r="F1973" s="9">
        <v>30</v>
      </c>
      <c r="G1973" s="9">
        <v>296</v>
      </c>
      <c r="H1973" s="5" t="s">
        <v>20</v>
      </c>
      <c r="I1973" s="5" t="s">
        <v>4730</v>
      </c>
      <c r="J1973" s="12" t="str">
        <f>HYPERLINK("https://www.boe.es/gazeta/dias/1806/04/08/pdfs/GMD-1806-30.pdf#page=8","Abrir facsímil")</f>
        <v>Abrir facsímil</v>
      </c>
      <c r="K1973" s="15" t="s">
        <v>22</v>
      </c>
    </row>
    <row r="1974" spans="1:11" ht="42" customHeight="1">
      <c r="A1974" s="4" t="s">
        <v>4725</v>
      </c>
      <c r="B1974" s="5" t="s">
        <v>4726</v>
      </c>
      <c r="C1974" s="5" t="s">
        <v>75</v>
      </c>
      <c r="D1974" s="5" t="s">
        <v>43</v>
      </c>
      <c r="E1974" s="5" t="s">
        <v>175</v>
      </c>
      <c r="F1974" s="9">
        <v>40</v>
      </c>
      <c r="G1974" s="9">
        <v>398</v>
      </c>
      <c r="H1974" s="5" t="s">
        <v>20</v>
      </c>
      <c r="I1974" s="5" t="s">
        <v>4731</v>
      </c>
      <c r="J1974" s="12" t="str">
        <f>HYPERLINK("https://www.boe.es/gazeta/dias/1806/05/13/pdfs/GMD-1806-40.pdf#page=10","Abrir facsímil")</f>
        <v>Abrir facsímil</v>
      </c>
      <c r="K1974" s="15" t="s">
        <v>22</v>
      </c>
    </row>
    <row r="1975" spans="1:11" ht="42" customHeight="1">
      <c r="A1975" s="4" t="s">
        <v>4725</v>
      </c>
      <c r="B1975" s="5" t="s">
        <v>4726</v>
      </c>
      <c r="C1975" s="5" t="s">
        <v>31</v>
      </c>
      <c r="D1975" s="5" t="s">
        <v>32</v>
      </c>
      <c r="E1975" s="5" t="s">
        <v>51</v>
      </c>
      <c r="F1975" s="9">
        <v>44</v>
      </c>
      <c r="G1975" s="9">
        <v>445</v>
      </c>
      <c r="H1975" s="5" t="s">
        <v>20</v>
      </c>
      <c r="I1975" s="5" t="s">
        <v>4732</v>
      </c>
      <c r="J1975" s="12" t="str">
        <f>HYPERLINK("https://www.boe.es/gazeta/dias/1806/05/27/pdfs/GMD-1806-44.pdf#page=9","Abrir facsímil")</f>
        <v>Abrir facsímil</v>
      </c>
      <c r="K1975" s="15" t="s">
        <v>22</v>
      </c>
    </row>
    <row r="1976" spans="1:11" ht="42" customHeight="1">
      <c r="A1976" s="4" t="s">
        <v>4725</v>
      </c>
      <c r="B1976" s="5" t="s">
        <v>4726</v>
      </c>
      <c r="C1976" s="5" t="s">
        <v>75</v>
      </c>
      <c r="D1976" s="5" t="s">
        <v>43</v>
      </c>
      <c r="E1976" s="5" t="s">
        <v>140</v>
      </c>
      <c r="F1976" s="9">
        <v>83</v>
      </c>
      <c r="G1976" s="9">
        <v>863</v>
      </c>
      <c r="H1976" s="5" t="s">
        <v>20</v>
      </c>
      <c r="I1976" s="5" t="s">
        <v>4733</v>
      </c>
      <c r="J1976" s="12" t="str">
        <f>HYPERLINK("https://www.boe.es/gazeta/dias/1806/10/10/pdfs/GMD-1806-83.pdf#page=11","Abrir facsímil")</f>
        <v>Abrir facsímil</v>
      </c>
      <c r="K1976" s="15" t="s">
        <v>22</v>
      </c>
    </row>
    <row r="1977" spans="1:11" ht="42" customHeight="1">
      <c r="A1977" s="4" t="s">
        <v>4734</v>
      </c>
      <c r="B1977" s="5" t="s">
        <v>4735</v>
      </c>
      <c r="C1977" s="5" t="s">
        <v>31</v>
      </c>
      <c r="D1977" s="5" t="s">
        <v>32</v>
      </c>
      <c r="E1977" s="5" t="s">
        <v>580</v>
      </c>
      <c r="F1977" s="9">
        <v>23</v>
      </c>
      <c r="G1977" s="9">
        <v>221</v>
      </c>
      <c r="H1977" s="5" t="s">
        <v>20</v>
      </c>
      <c r="I1977" s="5" t="s">
        <v>4736</v>
      </c>
      <c r="J1977" s="12" t="str">
        <f>HYPERLINK("https://www.boe.es/gazeta/dias/1806/03/14/pdfs/GMD-1806-23.pdf#page=9","Abrir facsímil")</f>
        <v>Abrir facsímil</v>
      </c>
      <c r="K1977" s="15" t="s">
        <v>22</v>
      </c>
    </row>
    <row r="1978" spans="1:11" ht="42" customHeight="1">
      <c r="A1978" s="4" t="s">
        <v>4734</v>
      </c>
      <c r="B1978" s="5" t="s">
        <v>4735</v>
      </c>
      <c r="C1978" s="5" t="s">
        <v>17</v>
      </c>
      <c r="D1978" s="5" t="s">
        <v>18</v>
      </c>
      <c r="E1978" s="5" t="s">
        <v>220</v>
      </c>
      <c r="F1978" s="9">
        <v>24</v>
      </c>
      <c r="G1978" s="9">
        <v>234</v>
      </c>
      <c r="H1978" s="5" t="s">
        <v>20</v>
      </c>
      <c r="I1978" s="5" t="s">
        <v>4737</v>
      </c>
      <c r="J1978" s="12" t="str">
        <f>HYPERLINK("https://www.boe.es/gazeta/dias/1806/03/18/pdfs/GMD-1806-24.pdf#page=10","Abrir facsímil")</f>
        <v>Abrir facsímil</v>
      </c>
      <c r="K1978" s="15" t="s">
        <v>22</v>
      </c>
    </row>
    <row r="1979" spans="1:11" ht="42" customHeight="1">
      <c r="A1979" s="4" t="s">
        <v>4734</v>
      </c>
      <c r="B1979" s="5" t="s">
        <v>4735</v>
      </c>
      <c r="C1979" s="5" t="s">
        <v>31</v>
      </c>
      <c r="D1979" s="5" t="s">
        <v>32</v>
      </c>
      <c r="E1979" s="5" t="s">
        <v>501</v>
      </c>
      <c r="F1979" s="9">
        <v>39</v>
      </c>
      <c r="G1979" s="9">
        <v>384</v>
      </c>
      <c r="H1979" s="5" t="s">
        <v>20</v>
      </c>
      <c r="I1979" s="5" t="s">
        <v>4738</v>
      </c>
      <c r="J1979" s="12" t="str">
        <f>HYPERLINK("https://www.boe.es/gazeta/dias/1806/05/09/pdfs/GMD-1806-39.pdf#page=8","Abrir facsímil")</f>
        <v>Abrir facsímil</v>
      </c>
      <c r="K1979" s="15" t="s">
        <v>22</v>
      </c>
    </row>
    <row r="1980" spans="1:11" ht="42" customHeight="1">
      <c r="A1980" s="4" t="s">
        <v>4734</v>
      </c>
      <c r="B1980" s="5" t="s">
        <v>4735</v>
      </c>
      <c r="C1980" s="5" t="s">
        <v>31</v>
      </c>
      <c r="D1980" s="5" t="s">
        <v>32</v>
      </c>
      <c r="E1980" s="5" t="s">
        <v>494</v>
      </c>
      <c r="F1980" s="9">
        <v>69</v>
      </c>
      <c r="G1980" s="9">
        <v>722</v>
      </c>
      <c r="H1980" s="5" t="s">
        <v>20</v>
      </c>
      <c r="I1980" s="5" t="s">
        <v>4739</v>
      </c>
      <c r="J1980" s="12" t="str">
        <f>HYPERLINK("https://www.boe.es/gazeta/dias/1806/08/22/pdfs/GMD-1806-69.pdf#page=10","Abrir facsímil")</f>
        <v>Abrir facsímil</v>
      </c>
      <c r="K1980" s="15" t="s">
        <v>22</v>
      </c>
    </row>
    <row r="1981" spans="1:11" ht="42" customHeight="1">
      <c r="A1981" s="4" t="s">
        <v>4734</v>
      </c>
      <c r="B1981" s="5" t="s">
        <v>4735</v>
      </c>
      <c r="C1981" s="5" t="s">
        <v>17</v>
      </c>
      <c r="D1981" s="5" t="s">
        <v>18</v>
      </c>
      <c r="E1981" s="5" t="s">
        <v>209</v>
      </c>
      <c r="F1981" s="9">
        <v>95</v>
      </c>
      <c r="G1981" s="9">
        <v>1007</v>
      </c>
      <c r="H1981" s="5" t="s">
        <v>20</v>
      </c>
      <c r="I1981" s="5" t="s">
        <v>4740</v>
      </c>
      <c r="J1981" s="12" t="str">
        <f>HYPERLINK("https://www.boe.es/gazeta/dias/1806/11/21/pdfs/GMD-1806-95.pdf#page=15","Abrir facsímil")</f>
        <v>Abrir facsímil</v>
      </c>
      <c r="K1981" s="15" t="s">
        <v>22</v>
      </c>
    </row>
    <row r="1982" spans="1:11" ht="42" customHeight="1">
      <c r="A1982" s="4" t="s">
        <v>4741</v>
      </c>
      <c r="B1982" s="5" t="s">
        <v>4742</v>
      </c>
      <c r="C1982" s="5" t="s">
        <v>31</v>
      </c>
      <c r="D1982" s="5" t="s">
        <v>32</v>
      </c>
      <c r="E1982" s="5" t="s">
        <v>340</v>
      </c>
      <c r="F1982" s="9">
        <v>31</v>
      </c>
      <c r="G1982" s="9">
        <v>305</v>
      </c>
      <c r="H1982" s="5" t="s">
        <v>20</v>
      </c>
      <c r="I1982" s="5" t="s">
        <v>4743</v>
      </c>
      <c r="J1982" s="12" t="str">
        <f>HYPERLINK("https://www.boe.es/gazeta/dias/1806/04/11/pdfs/GMD-1806-31.pdf#page=9","Abrir facsímil")</f>
        <v>Abrir facsímil</v>
      </c>
      <c r="K1982" s="15" t="s">
        <v>22</v>
      </c>
    </row>
    <row r="1983" spans="1:11" ht="42" customHeight="1">
      <c r="A1983" s="4" t="s">
        <v>4744</v>
      </c>
      <c r="B1983" s="5" t="s">
        <v>4745</v>
      </c>
      <c r="C1983" s="5" t="s">
        <v>17</v>
      </c>
      <c r="D1983" s="5" t="s">
        <v>18</v>
      </c>
      <c r="E1983" s="5" t="s">
        <v>55</v>
      </c>
      <c r="F1983" s="9">
        <v>20</v>
      </c>
      <c r="G1983" s="9">
        <v>183</v>
      </c>
      <c r="H1983" s="5" t="s">
        <v>20</v>
      </c>
      <c r="I1983" s="5" t="s">
        <v>4746</v>
      </c>
      <c r="J1983" s="12" t="str">
        <f>HYPERLINK("https://www.boe.es/gazeta/dias/1806/03/04/pdfs/GMD-1806-20.pdf#page=7","Abrir facsímil")</f>
        <v>Abrir facsímil</v>
      </c>
      <c r="K1983" s="15" t="s">
        <v>22</v>
      </c>
    </row>
    <row r="1984" spans="1:11" ht="42" customHeight="1">
      <c r="A1984" s="4" t="s">
        <v>4744</v>
      </c>
      <c r="B1984" s="5" t="s">
        <v>4745</v>
      </c>
      <c r="C1984" s="5" t="s">
        <v>17</v>
      </c>
      <c r="D1984" s="5" t="s">
        <v>18</v>
      </c>
      <c r="E1984" s="5" t="s">
        <v>213</v>
      </c>
      <c r="F1984" s="9">
        <v>73</v>
      </c>
      <c r="G1984" s="9">
        <v>758</v>
      </c>
      <c r="H1984" s="5" t="s">
        <v>20</v>
      </c>
      <c r="I1984" s="5" t="s">
        <v>4747</v>
      </c>
      <c r="J1984" s="12" t="str">
        <f>HYPERLINK("https://www.boe.es/gazeta/dias/1806/09/05/pdfs/GMD-1806-73.pdf#page=6","Abrir facsímil")</f>
        <v>Abrir facsímil</v>
      </c>
      <c r="K1984" s="15" t="s">
        <v>22</v>
      </c>
    </row>
    <row r="1985" spans="1:11" ht="42" customHeight="1">
      <c r="A1985" s="4" t="s">
        <v>4744</v>
      </c>
      <c r="B1985" s="5" t="s">
        <v>4745</v>
      </c>
      <c r="C1985" s="5" t="s">
        <v>42</v>
      </c>
      <c r="D1985" s="5" t="s">
        <v>43</v>
      </c>
      <c r="E1985" s="5" t="s">
        <v>33</v>
      </c>
      <c r="F1985" s="9">
        <v>82</v>
      </c>
      <c r="G1985" s="9">
        <v>849</v>
      </c>
      <c r="H1985" s="5" t="s">
        <v>20</v>
      </c>
      <c r="I1985" s="5" t="s">
        <v>4748</v>
      </c>
      <c r="J1985" s="12" t="str">
        <f>HYPERLINK("https://www.boe.es/gazeta/dias/1806/10/07/pdfs/GMD-1806-82.pdf#page=9","Abrir facsímil")</f>
        <v>Abrir facsímil</v>
      </c>
      <c r="K1985" s="15" t="s">
        <v>22</v>
      </c>
    </row>
    <row r="1986" spans="1:11" ht="42" customHeight="1">
      <c r="A1986" s="4" t="s">
        <v>4744</v>
      </c>
      <c r="B1986" s="5" t="s">
        <v>4745</v>
      </c>
      <c r="C1986" s="5" t="s">
        <v>17</v>
      </c>
      <c r="D1986" s="5" t="s">
        <v>18</v>
      </c>
      <c r="E1986" s="5" t="s">
        <v>140</v>
      </c>
      <c r="F1986" s="9">
        <v>83</v>
      </c>
      <c r="G1986" s="9">
        <v>864</v>
      </c>
      <c r="H1986" s="5" t="s">
        <v>20</v>
      </c>
      <c r="I1986" s="5" t="s">
        <v>4749</v>
      </c>
      <c r="J1986" s="12" t="str">
        <f>HYPERLINK("https://www.boe.es/gazeta/dias/1806/10/10/pdfs/GMD-1806-83.pdf#page=12","Abrir facsímil")</f>
        <v>Abrir facsímil</v>
      </c>
      <c r="K1986" s="15" t="s">
        <v>22</v>
      </c>
    </row>
    <row r="1987" spans="1:11" ht="42" customHeight="1">
      <c r="A1987" s="4" t="s">
        <v>4750</v>
      </c>
      <c r="B1987" s="5" t="s">
        <v>4751</v>
      </c>
      <c r="C1987" s="5" t="s">
        <v>36</v>
      </c>
      <c r="D1987" s="5" t="s">
        <v>37</v>
      </c>
      <c r="E1987" s="5" t="s">
        <v>55</v>
      </c>
      <c r="F1987" s="9">
        <v>20</v>
      </c>
      <c r="G1987" s="9">
        <v>188</v>
      </c>
      <c r="H1987" s="5" t="s">
        <v>20</v>
      </c>
      <c r="I1987" s="5" t="s">
        <v>4752</v>
      </c>
      <c r="J1987" s="12" t="str">
        <f>HYPERLINK("https://www.boe.es/gazeta/dias/1806/03/04/pdfs/GMD-1806-20.pdf#page=12","Abrir facsímil")</f>
        <v>Abrir facsímil</v>
      </c>
      <c r="K1987" s="15" t="s">
        <v>22</v>
      </c>
    </row>
    <row r="1988" spans="1:11" ht="42" customHeight="1">
      <c r="A1988" s="4" t="s">
        <v>4750</v>
      </c>
      <c r="B1988" s="5" t="s">
        <v>4751</v>
      </c>
      <c r="C1988" s="5" t="s">
        <v>42</v>
      </c>
      <c r="D1988" s="5" t="s">
        <v>43</v>
      </c>
      <c r="E1988" s="5" t="s">
        <v>400</v>
      </c>
      <c r="F1988" s="9">
        <v>22</v>
      </c>
      <c r="G1988" s="9">
        <v>207</v>
      </c>
      <c r="H1988" s="5" t="s">
        <v>20</v>
      </c>
      <c r="I1988" s="5" t="s">
        <v>4753</v>
      </c>
      <c r="J1988" s="12" t="str">
        <f>HYPERLINK("https://www.boe.es/gazeta/dias/1806/03/11/pdfs/GMD-1806-22.pdf#page=7","Abrir facsímil")</f>
        <v>Abrir facsímil</v>
      </c>
      <c r="K1988" s="15" t="s">
        <v>22</v>
      </c>
    </row>
    <row r="1989" spans="1:11" ht="42" customHeight="1">
      <c r="A1989" s="4" t="s">
        <v>4750</v>
      </c>
      <c r="B1989" s="5" t="s">
        <v>4751</v>
      </c>
      <c r="C1989" s="5" t="s">
        <v>31</v>
      </c>
      <c r="D1989" s="5" t="s">
        <v>32</v>
      </c>
      <c r="E1989" s="5" t="s">
        <v>570</v>
      </c>
      <c r="F1989" s="9">
        <v>93</v>
      </c>
      <c r="G1989" s="9">
        <v>978</v>
      </c>
      <c r="H1989" s="5" t="s">
        <v>20</v>
      </c>
      <c r="I1989" s="5" t="s">
        <v>4754</v>
      </c>
      <c r="J1989" s="12" t="str">
        <f>HYPERLINK("https://www.boe.es/gazeta/dias/1806/11/14/pdfs/GMD-1806-93.pdf#page=14","Abrir facsímil")</f>
        <v>Abrir facsímil</v>
      </c>
      <c r="K1989" s="15" t="s">
        <v>22</v>
      </c>
    </row>
    <row r="1990" spans="1:11" ht="42" customHeight="1">
      <c r="A1990" s="4" t="s">
        <v>4755</v>
      </c>
      <c r="B1990" s="5" t="s">
        <v>4756</v>
      </c>
      <c r="C1990" s="5" t="s">
        <v>69</v>
      </c>
      <c r="D1990" s="5" t="s">
        <v>70</v>
      </c>
      <c r="E1990" s="5" t="s">
        <v>290</v>
      </c>
      <c r="F1990" s="9">
        <v>1</v>
      </c>
      <c r="G1990" s="9">
        <v>2</v>
      </c>
      <c r="H1990" s="5" t="s">
        <v>20</v>
      </c>
      <c r="I1990" s="5" t="s">
        <v>4757</v>
      </c>
      <c r="J1990" s="12" t="str">
        <f>HYPERLINK("https://www.boe.es/gazeta/dias/1806/01/03/pdfs/GMD-1806-1.pdf#page=2","Abrir facsímil")</f>
        <v>Abrir facsímil</v>
      </c>
      <c r="K1990" s="15" t="s">
        <v>22</v>
      </c>
    </row>
    <row r="1991" spans="1:11" ht="42" customHeight="1">
      <c r="A1991" s="4" t="s">
        <v>4755</v>
      </c>
      <c r="B1991" s="5" t="s">
        <v>4756</v>
      </c>
      <c r="C1991" s="5" t="s">
        <v>17</v>
      </c>
      <c r="D1991" s="5" t="s">
        <v>18</v>
      </c>
      <c r="E1991" s="5" t="s">
        <v>256</v>
      </c>
      <c r="F1991" s="9">
        <v>9</v>
      </c>
      <c r="G1991" s="9">
        <v>81</v>
      </c>
      <c r="H1991" s="5" t="s">
        <v>20</v>
      </c>
      <c r="I1991" s="5" t="s">
        <v>4758</v>
      </c>
      <c r="J1991" s="12" t="str">
        <f>HYPERLINK("https://www.boe.es/gazeta/dias/1806/01/25/pdfs/GMD-1806-9.pdf#page=5","Abrir facsímil")</f>
        <v>Abrir facsímil</v>
      </c>
      <c r="K1991" s="15" t="s">
        <v>22</v>
      </c>
    </row>
    <row r="1992" spans="1:11" ht="42" customHeight="1">
      <c r="A1992" s="4" t="s">
        <v>4755</v>
      </c>
      <c r="B1992" s="5" t="s">
        <v>4756</v>
      </c>
      <c r="C1992" s="5" t="s">
        <v>31</v>
      </c>
      <c r="D1992" s="5" t="s">
        <v>32</v>
      </c>
      <c r="E1992" s="5" t="s">
        <v>669</v>
      </c>
      <c r="F1992" s="9">
        <v>14</v>
      </c>
      <c r="G1992" s="9">
        <v>119</v>
      </c>
      <c r="H1992" s="5" t="s">
        <v>20</v>
      </c>
      <c r="I1992" s="5" t="s">
        <v>4759</v>
      </c>
      <c r="J1992" s="12" t="str">
        <f>HYPERLINK("https://www.boe.es/gazeta/dias/1806/02/11/pdfs/GMD-1806-14.pdf#page=3","Abrir facsímil")</f>
        <v>Abrir facsímil</v>
      </c>
      <c r="K1992" s="15" t="s">
        <v>22</v>
      </c>
    </row>
    <row r="1993" spans="1:11" ht="42" customHeight="1">
      <c r="A1993" s="4" t="s">
        <v>4755</v>
      </c>
      <c r="B1993" s="5" t="s">
        <v>4756</v>
      </c>
      <c r="C1993" s="5" t="s">
        <v>31</v>
      </c>
      <c r="D1993" s="5" t="s">
        <v>32</v>
      </c>
      <c r="E1993" s="5" t="s">
        <v>238</v>
      </c>
      <c r="F1993" s="9">
        <v>18</v>
      </c>
      <c r="G1993" s="9">
        <v>154</v>
      </c>
      <c r="H1993" s="5" t="s">
        <v>20</v>
      </c>
      <c r="I1993" s="5" t="s">
        <v>4760</v>
      </c>
      <c r="J1993" s="12" t="str">
        <f>HYPERLINK("https://www.boe.es/gazeta/dias/1806/02/25/pdfs/GMD-1806-18.pdf#page=2","Abrir facsímil")</f>
        <v>Abrir facsímil</v>
      </c>
      <c r="K1993" s="15" t="s">
        <v>22</v>
      </c>
    </row>
    <row r="1994" spans="1:11" ht="42" customHeight="1">
      <c r="A1994" s="4" t="s">
        <v>4755</v>
      </c>
      <c r="B1994" s="5" t="s">
        <v>4756</v>
      </c>
      <c r="C1994" s="5" t="s">
        <v>69</v>
      </c>
      <c r="D1994" s="5" t="s">
        <v>70</v>
      </c>
      <c r="E1994" s="5" t="s">
        <v>202</v>
      </c>
      <c r="F1994" s="9">
        <v>30</v>
      </c>
      <c r="G1994" s="9">
        <v>290</v>
      </c>
      <c r="H1994" s="5" t="s">
        <v>20</v>
      </c>
      <c r="I1994" s="5" t="s">
        <v>4761</v>
      </c>
      <c r="J1994" s="12" t="str">
        <f>HYPERLINK("https://www.boe.es/gazeta/dias/1806/04/08/pdfs/GMD-1806-30.pdf#page=2","Abrir facsímil")</f>
        <v>Abrir facsímil</v>
      </c>
      <c r="K1994" s="15" t="s">
        <v>22</v>
      </c>
    </row>
    <row r="1995" spans="1:11" ht="42" customHeight="1">
      <c r="A1995" s="4" t="s">
        <v>4755</v>
      </c>
      <c r="B1995" s="5" t="s">
        <v>4756</v>
      </c>
      <c r="C1995" s="5" t="s">
        <v>69</v>
      </c>
      <c r="D1995" s="5" t="s">
        <v>70</v>
      </c>
      <c r="E1995" s="5" t="s">
        <v>309</v>
      </c>
      <c r="F1995" s="9">
        <v>41</v>
      </c>
      <c r="G1995" s="9">
        <v>402</v>
      </c>
      <c r="H1995" s="5" t="s">
        <v>20</v>
      </c>
      <c r="I1995" s="5" t="s">
        <v>4762</v>
      </c>
      <c r="J1995" s="12" t="str">
        <f>HYPERLINK("https://www.boe.es/gazeta/dias/1806/05/16/pdfs/GMD-1806-41.pdf#page=2","Abrir facsímil")</f>
        <v>Abrir facsímil</v>
      </c>
      <c r="K1995" s="15" t="s">
        <v>22</v>
      </c>
    </row>
    <row r="1996" spans="1:11" ht="42" customHeight="1">
      <c r="A1996" s="4" t="s">
        <v>4755</v>
      </c>
      <c r="B1996" s="5" t="s">
        <v>4756</v>
      </c>
      <c r="C1996" s="5" t="s">
        <v>69</v>
      </c>
      <c r="D1996" s="5" t="s">
        <v>70</v>
      </c>
      <c r="E1996" s="5" t="s">
        <v>86</v>
      </c>
      <c r="F1996" s="9">
        <v>53</v>
      </c>
      <c r="G1996" s="9">
        <v>547</v>
      </c>
      <c r="H1996" s="5" t="s">
        <v>20</v>
      </c>
      <c r="I1996" s="5" t="s">
        <v>4763</v>
      </c>
      <c r="J1996" s="12" t="str">
        <f>HYPERLINK("https://www.boe.es/gazeta/dias/1806/06/27/pdfs/GMD-1806-53.pdf#page=3","Abrir facsímil")</f>
        <v>Abrir facsímil</v>
      </c>
      <c r="K1996" s="15" t="s">
        <v>22</v>
      </c>
    </row>
    <row r="1997" spans="1:11" ht="42" customHeight="1">
      <c r="A1997" s="4" t="s">
        <v>4755</v>
      </c>
      <c r="B1997" s="5" t="s">
        <v>4756</v>
      </c>
      <c r="C1997" s="5" t="s">
        <v>31</v>
      </c>
      <c r="D1997" s="5" t="s">
        <v>32</v>
      </c>
      <c r="E1997" s="5" t="s">
        <v>1005</v>
      </c>
      <c r="F1997" s="9">
        <v>76</v>
      </c>
      <c r="G1997" s="9">
        <v>783</v>
      </c>
      <c r="H1997" s="5" t="s">
        <v>20</v>
      </c>
      <c r="I1997" s="5" t="s">
        <v>4764</v>
      </c>
      <c r="J1997" s="12" t="str">
        <f>HYPERLINK("https://www.boe.es/gazeta/dias/1806/09/16/pdfs/GMD-1806-76.pdf#page=3","Abrir facsímil")</f>
        <v>Abrir facsímil</v>
      </c>
      <c r="K1997" s="15" t="s">
        <v>22</v>
      </c>
    </row>
    <row r="1998" spans="1:11" ht="42" customHeight="1">
      <c r="A1998" s="4" t="s">
        <v>4765</v>
      </c>
      <c r="B1998" s="5" t="s">
        <v>4766</v>
      </c>
      <c r="C1998" s="5" t="s">
        <v>17</v>
      </c>
      <c r="D1998" s="5" t="s">
        <v>18</v>
      </c>
      <c r="E1998" s="5" t="s">
        <v>209</v>
      </c>
      <c r="F1998" s="9">
        <v>95</v>
      </c>
      <c r="G1998" s="9">
        <v>997</v>
      </c>
      <c r="H1998" s="5" t="s">
        <v>20</v>
      </c>
      <c r="I1998" s="5" t="s">
        <v>4767</v>
      </c>
      <c r="J1998" s="12" t="str">
        <f>HYPERLINK("https://www.boe.es/gazeta/dias/1806/11/21/pdfs/GMD-1806-95.pdf#page=5","Abrir facsímil")</f>
        <v>Abrir facsímil</v>
      </c>
      <c r="K1998" s="15" t="s">
        <v>22</v>
      </c>
    </row>
    <row r="1999" spans="1:11" ht="42" customHeight="1">
      <c r="A1999" s="4" t="s">
        <v>4768</v>
      </c>
      <c r="B1999" s="5" t="s">
        <v>4769</v>
      </c>
      <c r="C1999" s="5" t="s">
        <v>69</v>
      </c>
      <c r="D1999" s="5" t="s">
        <v>70</v>
      </c>
      <c r="E1999" s="5" t="s">
        <v>86</v>
      </c>
      <c r="F1999" s="9">
        <v>53</v>
      </c>
      <c r="G1999" s="9">
        <v>550</v>
      </c>
      <c r="H1999" s="5" t="s">
        <v>20</v>
      </c>
      <c r="I1999" s="5" t="s">
        <v>4770</v>
      </c>
      <c r="J1999" s="12" t="str">
        <f>HYPERLINK("https://www.boe.es/gazeta/dias/1806/06/27/pdfs/GMD-1806-53.pdf#page=6","Abrir facsímil")</f>
        <v>Abrir facsímil</v>
      </c>
      <c r="K1999" s="15" t="s">
        <v>22</v>
      </c>
    </row>
    <row r="2000" spans="1:11" ht="42" customHeight="1">
      <c r="A2000" s="4" t="s">
        <v>4768</v>
      </c>
      <c r="B2000" s="5" t="s">
        <v>4769</v>
      </c>
      <c r="C2000" s="5" t="s">
        <v>69</v>
      </c>
      <c r="D2000" s="5" t="s">
        <v>70</v>
      </c>
      <c r="E2000" s="5" t="s">
        <v>110</v>
      </c>
      <c r="F2000" s="9">
        <v>55</v>
      </c>
      <c r="G2000" s="9">
        <v>567</v>
      </c>
      <c r="H2000" s="5" t="s">
        <v>20</v>
      </c>
      <c r="I2000" s="5" t="s">
        <v>4771</v>
      </c>
      <c r="J2000" s="12" t="str">
        <f>HYPERLINK("https://www.boe.es/gazeta/dias/1806/07/04/pdfs/GMD-1806-55.pdf#page=3","Abrir facsímil")</f>
        <v>Abrir facsímil</v>
      </c>
      <c r="K2000" s="15" t="s">
        <v>22</v>
      </c>
    </row>
    <row r="2001" spans="1:11" ht="42" customHeight="1">
      <c r="A2001" s="4" t="s">
        <v>4768</v>
      </c>
      <c r="B2001" s="5" t="s">
        <v>4769</v>
      </c>
      <c r="C2001" s="5" t="s">
        <v>69</v>
      </c>
      <c r="D2001" s="5" t="s">
        <v>70</v>
      </c>
      <c r="E2001" s="5" t="s">
        <v>140</v>
      </c>
      <c r="F2001" s="9">
        <v>83</v>
      </c>
      <c r="G2001" s="9">
        <v>853</v>
      </c>
      <c r="H2001" s="5" t="s">
        <v>20</v>
      </c>
      <c r="I2001" s="5" t="s">
        <v>4772</v>
      </c>
      <c r="J2001" s="12" t="str">
        <f>HYPERLINK("https://www.boe.es/gazeta/dias/1806/10/10/pdfs/GMD-1806-83.pdf#page=1","Abrir facsímil")</f>
        <v>Abrir facsímil</v>
      </c>
      <c r="K2001" s="15" t="s">
        <v>22</v>
      </c>
    </row>
    <row r="2002" spans="1:11" ht="42" customHeight="1">
      <c r="A2002" s="4" t="s">
        <v>4768</v>
      </c>
      <c r="B2002" s="5" t="s">
        <v>4769</v>
      </c>
      <c r="C2002" s="5" t="s">
        <v>69</v>
      </c>
      <c r="D2002" s="5" t="s">
        <v>70</v>
      </c>
      <c r="E2002" s="5" t="s">
        <v>570</v>
      </c>
      <c r="F2002" s="9">
        <v>93</v>
      </c>
      <c r="G2002" s="9">
        <v>972</v>
      </c>
      <c r="H2002" s="5" t="s">
        <v>20</v>
      </c>
      <c r="I2002" s="5" t="s">
        <v>4773</v>
      </c>
      <c r="J2002" s="12" t="str">
        <f>HYPERLINK("https://www.boe.es/gazeta/dias/1806/11/14/pdfs/GMD-1806-93.pdf#page=8","Abrir facsímil")</f>
        <v>Abrir facsímil</v>
      </c>
      <c r="K2002" s="15" t="s">
        <v>22</v>
      </c>
    </row>
    <row r="2003" spans="1:11" ht="42" customHeight="1">
      <c r="A2003" s="4" t="s">
        <v>4768</v>
      </c>
      <c r="B2003" s="5" t="s">
        <v>4769</v>
      </c>
      <c r="C2003" s="5" t="s">
        <v>17</v>
      </c>
      <c r="D2003" s="5" t="s">
        <v>18</v>
      </c>
      <c r="E2003" s="5" t="s">
        <v>209</v>
      </c>
      <c r="F2003" s="9">
        <v>95</v>
      </c>
      <c r="G2003" s="9">
        <v>1000</v>
      </c>
      <c r="H2003" s="5" t="s">
        <v>20</v>
      </c>
      <c r="I2003" s="5" t="s">
        <v>4774</v>
      </c>
      <c r="J2003" s="12" t="str">
        <f>HYPERLINK("https://www.boe.es/gazeta/dias/1806/11/21/pdfs/GMD-1806-95.pdf#page=8","Abrir facsímil")</f>
        <v>Abrir facsímil</v>
      </c>
      <c r="K2003" s="15" t="s">
        <v>22</v>
      </c>
    </row>
    <row r="2004" spans="1:11" ht="42" customHeight="1">
      <c r="A2004" s="4" t="s">
        <v>4768</v>
      </c>
      <c r="B2004" s="5" t="s">
        <v>4769</v>
      </c>
      <c r="C2004" s="5" t="s">
        <v>17</v>
      </c>
      <c r="D2004" s="5" t="s">
        <v>18</v>
      </c>
      <c r="E2004" s="5" t="s">
        <v>209</v>
      </c>
      <c r="F2004" s="9">
        <v>95</v>
      </c>
      <c r="G2004" s="9">
        <v>997</v>
      </c>
      <c r="H2004" s="5" t="s">
        <v>20</v>
      </c>
      <c r="I2004" s="5" t="s">
        <v>4775</v>
      </c>
      <c r="J2004" s="12" t="str">
        <f>HYPERLINK("https://www.boe.es/gazeta/dias/1806/11/21/pdfs/GMD-1806-95.pdf#page=5","Abrir facsímil")</f>
        <v>Abrir facsímil</v>
      </c>
      <c r="K2004" s="15" t="s">
        <v>22</v>
      </c>
    </row>
    <row r="2005" spans="1:11" ht="42" customHeight="1">
      <c r="A2005" s="4" t="s">
        <v>4776</v>
      </c>
      <c r="B2005" s="5" t="s">
        <v>4777</v>
      </c>
      <c r="C2005" s="5" t="s">
        <v>31</v>
      </c>
      <c r="D2005" s="5" t="s">
        <v>32</v>
      </c>
      <c r="E2005" s="5" t="s">
        <v>383</v>
      </c>
      <c r="F2005" s="9">
        <v>54</v>
      </c>
      <c r="G2005" s="9">
        <v>562</v>
      </c>
      <c r="H2005" s="5" t="s">
        <v>20</v>
      </c>
      <c r="I2005" s="5" t="s">
        <v>4778</v>
      </c>
      <c r="J2005" s="12" t="str">
        <f>HYPERLINK("https://www.boe.es/gazeta/dias/1806/07/01/pdfs/GMD-1806-54.pdf#page=6","Abrir facsímil")</f>
        <v>Abrir facsímil</v>
      </c>
      <c r="K2005" s="15" t="s">
        <v>22</v>
      </c>
    </row>
    <row r="2006" spans="1:11" ht="42" customHeight="1">
      <c r="A2006" s="4" t="s">
        <v>4779</v>
      </c>
      <c r="B2006" s="5" t="s">
        <v>4780</v>
      </c>
      <c r="C2006" s="5" t="s">
        <v>36</v>
      </c>
      <c r="D2006" s="5" t="s">
        <v>37</v>
      </c>
      <c r="E2006" s="5" t="s">
        <v>285</v>
      </c>
      <c r="F2006" s="9">
        <v>13</v>
      </c>
      <c r="G2006" s="9">
        <v>116</v>
      </c>
      <c r="H2006" s="5" t="s">
        <v>20</v>
      </c>
      <c r="I2006" s="5" t="s">
        <v>4781</v>
      </c>
      <c r="J2006" s="12" t="str">
        <f>HYPERLINK("https://www.boe.es/gazeta/dias/1806/02/07/pdfs/GMD-1806-13.pdf#page=8","Abrir facsímil")</f>
        <v>Abrir facsímil</v>
      </c>
      <c r="K2006" s="15" t="s">
        <v>22</v>
      </c>
    </row>
    <row r="2007" spans="1:11" ht="42" customHeight="1">
      <c r="A2007" s="4" t="s">
        <v>4782</v>
      </c>
      <c r="B2007" s="5" t="s">
        <v>4783</v>
      </c>
      <c r="C2007" s="5" t="s">
        <v>31</v>
      </c>
      <c r="D2007" s="5" t="s">
        <v>32</v>
      </c>
      <c r="E2007" s="5" t="s">
        <v>110</v>
      </c>
      <c r="F2007" s="9">
        <v>55</v>
      </c>
      <c r="G2007" s="9">
        <v>572</v>
      </c>
      <c r="H2007" s="5" t="s">
        <v>20</v>
      </c>
      <c r="I2007" s="5" t="s">
        <v>4784</v>
      </c>
      <c r="J2007" s="12" t="str">
        <f>HYPERLINK("https://www.boe.es/gazeta/dias/1806/07/04/pdfs/GMD-1806-55.pdf#page=8","Abrir facsímil")</f>
        <v>Abrir facsímil</v>
      </c>
      <c r="K2007" s="15" t="s">
        <v>22</v>
      </c>
    </row>
    <row r="2008" spans="1:11" ht="42" customHeight="1">
      <c r="A2008" s="4" t="s">
        <v>4785</v>
      </c>
      <c r="B2008" s="5" t="s">
        <v>4786</v>
      </c>
      <c r="C2008" s="5" t="s">
        <v>42</v>
      </c>
      <c r="D2008" s="5" t="s">
        <v>43</v>
      </c>
      <c r="E2008" s="5" t="s">
        <v>259</v>
      </c>
      <c r="F2008" s="9">
        <v>34</v>
      </c>
      <c r="G2008" s="9">
        <v>335</v>
      </c>
      <c r="H2008" s="5" t="s">
        <v>20</v>
      </c>
      <c r="I2008" s="5" t="s">
        <v>4787</v>
      </c>
      <c r="J2008" s="12" t="str">
        <f>HYPERLINK("https://www.boe.es/gazeta/dias/1806/04/22/pdfs/GMD-1806-34.pdf#page=7","Abrir facsímil")</f>
        <v>Abrir facsímil</v>
      </c>
      <c r="K2008" s="15" t="s">
        <v>22</v>
      </c>
    </row>
    <row r="2009" spans="1:11" ht="42" customHeight="1">
      <c r="A2009" s="4" t="s">
        <v>4788</v>
      </c>
      <c r="B2009" s="5" t="s">
        <v>4789</v>
      </c>
      <c r="C2009" s="5" t="s">
        <v>42</v>
      </c>
      <c r="D2009" s="5" t="s">
        <v>43</v>
      </c>
      <c r="E2009" s="5" t="s">
        <v>33</v>
      </c>
      <c r="F2009" s="9">
        <v>82</v>
      </c>
      <c r="G2009" s="9">
        <v>850</v>
      </c>
      <c r="H2009" s="5" t="s">
        <v>20</v>
      </c>
      <c r="I2009" s="5" t="s">
        <v>4790</v>
      </c>
      <c r="J2009" s="12" t="str">
        <f>HYPERLINK("https://www.boe.es/gazeta/dias/1806/10/07/pdfs/GMD-1806-82.pdf#page=10","Abrir facsímil")</f>
        <v>Abrir facsímil</v>
      </c>
      <c r="K2009" s="15" t="s">
        <v>22</v>
      </c>
    </row>
    <row r="2010" spans="1:11" ht="42" customHeight="1">
      <c r="A2010" s="4" t="s">
        <v>4791</v>
      </c>
      <c r="B2010" s="5" t="s">
        <v>4792</v>
      </c>
      <c r="C2010" s="5" t="s">
        <v>31</v>
      </c>
      <c r="D2010" s="5" t="s">
        <v>32</v>
      </c>
      <c r="E2010" s="5" t="s">
        <v>271</v>
      </c>
      <c r="F2010" s="9">
        <v>6</v>
      </c>
      <c r="G2010" s="9">
        <v>54</v>
      </c>
      <c r="H2010" s="5" t="s">
        <v>20</v>
      </c>
      <c r="I2010" s="5" t="s">
        <v>4793</v>
      </c>
      <c r="J2010" s="12" t="str">
        <f>HYPERLINK("https://www.boe.es/gazeta/dias/1806/01/17/pdfs/GMD-1806-6.pdf#page=10","Abrir facsímil")</f>
        <v>Abrir facsímil</v>
      </c>
      <c r="K2010" s="15" t="s">
        <v>22</v>
      </c>
    </row>
    <row r="2011" spans="1:11" ht="42" customHeight="1">
      <c r="A2011" s="4" t="s">
        <v>4794</v>
      </c>
      <c r="B2011" s="5" t="s">
        <v>4795</v>
      </c>
      <c r="C2011" s="5" t="s">
        <v>69</v>
      </c>
      <c r="D2011" s="5" t="s">
        <v>70</v>
      </c>
      <c r="E2011" s="5" t="s">
        <v>661</v>
      </c>
      <c r="F2011" s="9">
        <v>38</v>
      </c>
      <c r="G2011" s="9">
        <v>367</v>
      </c>
      <c r="H2011" s="5" t="s">
        <v>20</v>
      </c>
      <c r="I2011" s="5" t="s">
        <v>4796</v>
      </c>
      <c r="J2011" s="12" t="str">
        <f>HYPERLINK("https://www.boe.es/gazeta/dias/1806/05/06/pdfs/GMD-1806-38.pdf#page=3","Abrir facsímil")</f>
        <v>Abrir facsímil</v>
      </c>
      <c r="K2011" s="15" t="s">
        <v>22</v>
      </c>
    </row>
    <row r="2012" spans="1:11" ht="42" customHeight="1">
      <c r="A2012" s="4" t="s">
        <v>4797</v>
      </c>
      <c r="B2012" s="5" t="s">
        <v>4798</v>
      </c>
      <c r="C2012" s="5" t="s">
        <v>75</v>
      </c>
      <c r="D2012" s="5" t="s">
        <v>43</v>
      </c>
      <c r="E2012" s="5" t="s">
        <v>62</v>
      </c>
      <c r="F2012" s="9">
        <v>45</v>
      </c>
      <c r="G2012" s="9">
        <v>459</v>
      </c>
      <c r="H2012" s="5" t="s">
        <v>20</v>
      </c>
      <c r="I2012" s="5" t="s">
        <v>4799</v>
      </c>
      <c r="J2012" s="12" t="str">
        <f>HYPERLINK("https://www.boe.es/gazeta/dias/1806/05/30/pdfs/GMD-1806-45.pdf#page=11","Abrir facsímil")</f>
        <v>Abrir facsímil</v>
      </c>
      <c r="K2012" s="15" t="s">
        <v>22</v>
      </c>
    </row>
    <row r="2013" spans="1:11" ht="42" customHeight="1">
      <c r="A2013" s="4" t="s">
        <v>4800</v>
      </c>
      <c r="B2013" s="5" t="s">
        <v>4801</v>
      </c>
      <c r="C2013" s="5" t="s">
        <v>17</v>
      </c>
      <c r="D2013" s="5" t="s">
        <v>18</v>
      </c>
      <c r="E2013" s="5" t="s">
        <v>55</v>
      </c>
      <c r="F2013" s="9">
        <v>20</v>
      </c>
      <c r="G2013" s="9">
        <v>183</v>
      </c>
      <c r="H2013" s="5" t="s">
        <v>20</v>
      </c>
      <c r="I2013" s="5" t="s">
        <v>4802</v>
      </c>
      <c r="J2013" s="12" t="str">
        <f>HYPERLINK("https://www.boe.es/gazeta/dias/1806/03/04/pdfs/GMD-1806-20.pdf#page=7","Abrir facsímil")</f>
        <v>Abrir facsímil</v>
      </c>
      <c r="K2013" s="15" t="s">
        <v>22</v>
      </c>
    </row>
    <row r="2014" spans="1:11" ht="42" customHeight="1">
      <c r="A2014" s="4" t="s">
        <v>4800</v>
      </c>
      <c r="B2014" s="5" t="s">
        <v>4801</v>
      </c>
      <c r="C2014" s="5" t="s">
        <v>17</v>
      </c>
      <c r="D2014" s="5" t="s">
        <v>18</v>
      </c>
      <c r="E2014" s="5" t="s">
        <v>213</v>
      </c>
      <c r="F2014" s="9">
        <v>73</v>
      </c>
      <c r="G2014" s="9">
        <v>757</v>
      </c>
      <c r="H2014" s="5" t="s">
        <v>20</v>
      </c>
      <c r="I2014" s="5" t="s">
        <v>4803</v>
      </c>
      <c r="J2014" s="12" t="str">
        <f>HYPERLINK("https://www.boe.es/gazeta/dias/1806/09/05/pdfs/GMD-1806-73.pdf#page=5","Abrir facsímil")</f>
        <v>Abrir facsímil</v>
      </c>
      <c r="K2014" s="15" t="s">
        <v>22</v>
      </c>
    </row>
    <row r="2015" spans="1:11" ht="42" customHeight="1">
      <c r="A2015" s="4" t="s">
        <v>4804</v>
      </c>
      <c r="B2015" s="5" t="s">
        <v>4805</v>
      </c>
      <c r="C2015" s="5" t="s">
        <v>17</v>
      </c>
      <c r="D2015" s="5" t="s">
        <v>18</v>
      </c>
      <c r="E2015" s="5" t="s">
        <v>213</v>
      </c>
      <c r="F2015" s="9">
        <v>73</v>
      </c>
      <c r="G2015" s="9">
        <v>757</v>
      </c>
      <c r="H2015" s="5" t="s">
        <v>20</v>
      </c>
      <c r="I2015" s="5" t="s">
        <v>4806</v>
      </c>
      <c r="J2015" s="12" t="str">
        <f>HYPERLINK("https://www.boe.es/gazeta/dias/1806/09/05/pdfs/GMD-1806-73.pdf#page=5","Abrir facsímil")</f>
        <v>Abrir facsímil</v>
      </c>
      <c r="K2015" s="15" t="s">
        <v>22</v>
      </c>
    </row>
    <row r="2016" spans="1:11" ht="42" customHeight="1">
      <c r="A2016" s="4" t="s">
        <v>4807</v>
      </c>
      <c r="B2016" s="5" t="s">
        <v>4808</v>
      </c>
      <c r="C2016" s="5" t="s">
        <v>31</v>
      </c>
      <c r="D2016" s="5" t="s">
        <v>32</v>
      </c>
      <c r="E2016" s="5" t="s">
        <v>205</v>
      </c>
      <c r="F2016" s="9">
        <v>57</v>
      </c>
      <c r="G2016" s="9">
        <v>594</v>
      </c>
      <c r="H2016" s="5" t="s">
        <v>20</v>
      </c>
      <c r="I2016" s="5" t="s">
        <v>4809</v>
      </c>
      <c r="J2016" s="12" t="str">
        <f>HYPERLINK("https://www.boe.es/gazeta/dias/1806/07/11/pdfs/GMD-1806-57.pdf#page=6","Abrir facsímil")</f>
        <v>Abrir facsímil</v>
      </c>
      <c r="K2016" s="15" t="s">
        <v>22</v>
      </c>
    </row>
    <row r="2017" spans="1:11" ht="42" customHeight="1">
      <c r="A2017" s="4" t="s">
        <v>4810</v>
      </c>
      <c r="B2017" s="5" t="s">
        <v>4811</v>
      </c>
      <c r="C2017" s="5" t="s">
        <v>17</v>
      </c>
      <c r="D2017" s="5" t="s">
        <v>18</v>
      </c>
      <c r="E2017" s="5" t="s">
        <v>82</v>
      </c>
      <c r="F2017" s="9">
        <v>48</v>
      </c>
      <c r="G2017" s="9">
        <v>499</v>
      </c>
      <c r="H2017" s="5" t="s">
        <v>20</v>
      </c>
      <c r="I2017" s="5" t="s">
        <v>4812</v>
      </c>
      <c r="J2017" s="12" t="str">
        <f>HYPERLINK("https://www.boe.es/gazeta/dias/1806/06/10/pdfs/GMD-1806-48.pdf#page=11","Abrir facsímil")</f>
        <v>Abrir facsímil</v>
      </c>
      <c r="K2017" s="15" t="s">
        <v>22</v>
      </c>
    </row>
    <row r="2018" spans="1:11" ht="42" customHeight="1">
      <c r="A2018" s="4" t="s">
        <v>4813</v>
      </c>
      <c r="B2018" s="5" t="s">
        <v>4814</v>
      </c>
      <c r="C2018" s="5" t="s">
        <v>42</v>
      </c>
      <c r="D2018" s="5" t="s">
        <v>43</v>
      </c>
      <c r="E2018" s="5" t="s">
        <v>181</v>
      </c>
      <c r="F2018" s="9">
        <v>99</v>
      </c>
      <c r="G2018" s="9">
        <v>1053</v>
      </c>
      <c r="H2018" s="5" t="s">
        <v>20</v>
      </c>
      <c r="I2018" s="5" t="s">
        <v>4815</v>
      </c>
      <c r="J2018" s="12" t="str">
        <f>HYPERLINK("https://www.boe.es/gazeta/dias/1806/12/05/pdfs/GMD-1806-99.pdf#page=9","Abrir facsímil")</f>
        <v>Abrir facsímil</v>
      </c>
      <c r="K2018" s="15" t="s">
        <v>22</v>
      </c>
    </row>
    <row r="2019" spans="1:11" ht="42" customHeight="1">
      <c r="A2019" s="4" t="s">
        <v>4816</v>
      </c>
      <c r="B2019" s="5" t="s">
        <v>4817</v>
      </c>
      <c r="C2019" s="5" t="s">
        <v>31</v>
      </c>
      <c r="D2019" s="5" t="s">
        <v>32</v>
      </c>
      <c r="E2019" s="5" t="s">
        <v>348</v>
      </c>
      <c r="F2019" s="9">
        <v>88</v>
      </c>
      <c r="G2019" s="9">
        <v>910</v>
      </c>
      <c r="H2019" s="5" t="s">
        <v>20</v>
      </c>
      <c r="I2019" s="5" t="s">
        <v>4818</v>
      </c>
      <c r="J2019" s="12" t="str">
        <f>HYPERLINK("https://www.boe.es/gazeta/dias/1806/10/28/pdfs/GMD-1806-88.pdf#page=6","Abrir facsímil")</f>
        <v>Abrir facsímil</v>
      </c>
      <c r="K2019" s="15" t="s">
        <v>22</v>
      </c>
    </row>
    <row r="2020" spans="1:11" ht="42" customHeight="1">
      <c r="A2020" s="4" t="s">
        <v>4819</v>
      </c>
      <c r="B2020" s="5" t="s">
        <v>4820</v>
      </c>
      <c r="C2020" s="5" t="s">
        <v>42</v>
      </c>
      <c r="D2020" s="5" t="s">
        <v>43</v>
      </c>
      <c r="E2020" s="5" t="s">
        <v>24</v>
      </c>
      <c r="F2020" s="9">
        <v>32</v>
      </c>
      <c r="G2020" s="9">
        <v>315</v>
      </c>
      <c r="H2020" s="5" t="s">
        <v>20</v>
      </c>
      <c r="I2020" s="5" t="s">
        <v>4821</v>
      </c>
      <c r="J2020" s="12" t="str">
        <f>HYPERLINK("https://www.boe.es/gazeta/dias/1806/04/15/pdfs/GMD-1806-32.pdf#page=7","Abrir facsímil")</f>
        <v>Abrir facsímil</v>
      </c>
      <c r="K2020" s="15" t="s">
        <v>22</v>
      </c>
    </row>
    <row r="2021" spans="1:11" ht="42" customHeight="1">
      <c r="A2021" s="4" t="s">
        <v>4822</v>
      </c>
      <c r="B2021" s="5" t="s">
        <v>4823</v>
      </c>
      <c r="C2021" s="5" t="s">
        <v>17</v>
      </c>
      <c r="D2021" s="5" t="s">
        <v>18</v>
      </c>
      <c r="E2021" s="5" t="s">
        <v>309</v>
      </c>
      <c r="F2021" s="9">
        <v>41</v>
      </c>
      <c r="G2021" s="9">
        <v>406</v>
      </c>
      <c r="H2021" s="5" t="s">
        <v>20</v>
      </c>
      <c r="I2021" s="5" t="s">
        <v>4824</v>
      </c>
      <c r="J2021" s="12" t="str">
        <f>HYPERLINK("https://www.boe.es/gazeta/dias/1806/05/16/pdfs/GMD-1806-41.pdf#page=6","Abrir facsímil")</f>
        <v>Abrir facsímil</v>
      </c>
      <c r="K2021" s="15" t="s">
        <v>22</v>
      </c>
    </row>
    <row r="2022" spans="1:11" ht="42" customHeight="1">
      <c r="A2022" s="4" t="s">
        <v>4822</v>
      </c>
      <c r="B2022" s="5" t="s">
        <v>4823</v>
      </c>
      <c r="C2022" s="5" t="s">
        <v>31</v>
      </c>
      <c r="D2022" s="5" t="s">
        <v>32</v>
      </c>
      <c r="E2022" s="5" t="s">
        <v>540</v>
      </c>
      <c r="F2022" s="9">
        <v>51</v>
      </c>
      <c r="G2022" s="9">
        <v>529</v>
      </c>
      <c r="H2022" s="5" t="s">
        <v>20</v>
      </c>
      <c r="I2022" s="5" t="s">
        <v>4825</v>
      </c>
      <c r="J2022" s="12" t="str">
        <f>HYPERLINK("https://www.boe.es/gazeta/dias/1806/06/20/pdfs/GMD-1806-51.pdf#page=9","Abrir facsímil")</f>
        <v>Abrir facsímil</v>
      </c>
      <c r="K2022" s="15" t="s">
        <v>22</v>
      </c>
    </row>
    <row r="2023" spans="1:11" ht="42" customHeight="1">
      <c r="A2023" s="4" t="s">
        <v>4822</v>
      </c>
      <c r="B2023" s="5" t="s">
        <v>4823</v>
      </c>
      <c r="C2023" s="5" t="s">
        <v>69</v>
      </c>
      <c r="D2023" s="5" t="s">
        <v>70</v>
      </c>
      <c r="E2023" s="5" t="s">
        <v>86</v>
      </c>
      <c r="F2023" s="9">
        <v>53</v>
      </c>
      <c r="G2023" s="9">
        <v>548</v>
      </c>
      <c r="H2023" s="5" t="s">
        <v>20</v>
      </c>
      <c r="I2023" s="5" t="s">
        <v>4826</v>
      </c>
      <c r="J2023" s="12" t="str">
        <f>HYPERLINK("https://www.boe.es/gazeta/dias/1806/06/27/pdfs/GMD-1806-53.pdf#page=4","Abrir facsímil")</f>
        <v>Abrir facsímil</v>
      </c>
      <c r="K2023" s="15" t="s">
        <v>22</v>
      </c>
    </row>
    <row r="2024" spans="1:11" ht="42" customHeight="1">
      <c r="A2024" s="4" t="s">
        <v>4822</v>
      </c>
      <c r="B2024" s="5" t="s">
        <v>4823</v>
      </c>
      <c r="C2024" s="5" t="s">
        <v>69</v>
      </c>
      <c r="D2024" s="5" t="s">
        <v>70</v>
      </c>
      <c r="E2024" s="5" t="s">
        <v>110</v>
      </c>
      <c r="F2024" s="9">
        <v>55</v>
      </c>
      <c r="G2024" s="9">
        <v>568</v>
      </c>
      <c r="H2024" s="5" t="s">
        <v>20</v>
      </c>
      <c r="I2024" s="5" t="s">
        <v>4827</v>
      </c>
      <c r="J2024" s="12" t="str">
        <f>HYPERLINK("https://www.boe.es/gazeta/dias/1806/07/04/pdfs/GMD-1806-55.pdf#page=4","Abrir facsímil")</f>
        <v>Abrir facsímil</v>
      </c>
      <c r="K2024" s="15" t="s">
        <v>22</v>
      </c>
    </row>
    <row r="2025" spans="1:11" ht="42" customHeight="1">
      <c r="A2025" s="4" t="s">
        <v>4822</v>
      </c>
      <c r="B2025" s="5" t="s">
        <v>4823</v>
      </c>
      <c r="C2025" s="5" t="s">
        <v>31</v>
      </c>
      <c r="D2025" s="5" t="s">
        <v>32</v>
      </c>
      <c r="E2025" s="5" t="s">
        <v>494</v>
      </c>
      <c r="F2025" s="9">
        <v>69</v>
      </c>
      <c r="G2025" s="9">
        <v>717</v>
      </c>
      <c r="H2025" s="5" t="s">
        <v>20</v>
      </c>
      <c r="I2025" s="5" t="s">
        <v>4828</v>
      </c>
      <c r="J2025" s="12" t="str">
        <f>HYPERLINK("https://www.boe.es/gazeta/dias/1806/08/22/pdfs/GMD-1806-69.pdf#page=5","Abrir facsímil")</f>
        <v>Abrir facsímil</v>
      </c>
      <c r="K2025" s="15" t="s">
        <v>22</v>
      </c>
    </row>
    <row r="2026" spans="1:11" ht="42" customHeight="1">
      <c r="A2026" s="4" t="s">
        <v>4822</v>
      </c>
      <c r="B2026" s="5" t="s">
        <v>4823</v>
      </c>
      <c r="C2026" s="5" t="s">
        <v>31</v>
      </c>
      <c r="D2026" s="5" t="s">
        <v>32</v>
      </c>
      <c r="E2026" s="5" t="s">
        <v>213</v>
      </c>
      <c r="F2026" s="9">
        <v>73</v>
      </c>
      <c r="G2026" s="9">
        <v>759</v>
      </c>
      <c r="H2026" s="5" t="s">
        <v>20</v>
      </c>
      <c r="I2026" s="5" t="s">
        <v>4829</v>
      </c>
      <c r="J2026" s="12" t="str">
        <f>HYPERLINK("https://www.boe.es/gazeta/dias/1806/09/05/pdfs/GMD-1806-73.pdf#page=7","Abrir facsímil")</f>
        <v>Abrir facsímil</v>
      </c>
      <c r="K2026" s="15" t="s">
        <v>22</v>
      </c>
    </row>
    <row r="2027" spans="1:11" ht="42" customHeight="1">
      <c r="A2027" s="4" t="s">
        <v>4830</v>
      </c>
      <c r="B2027" s="5" t="s">
        <v>4831</v>
      </c>
      <c r="C2027" s="5" t="s">
        <v>31</v>
      </c>
      <c r="D2027" s="5" t="s">
        <v>32</v>
      </c>
      <c r="E2027" s="5" t="s">
        <v>93</v>
      </c>
      <c r="F2027" s="9">
        <v>72</v>
      </c>
      <c r="G2027" s="9">
        <v>743</v>
      </c>
      <c r="H2027" s="5" t="s">
        <v>20</v>
      </c>
      <c r="I2027" s="5" t="s">
        <v>4832</v>
      </c>
      <c r="J2027" s="12" t="str">
        <f>HYPERLINK("https://www.boe.es/gazeta/dias/1806/09/02/pdfs/GMD-1806-72.pdf#page=3","Abrir facsímil")</f>
        <v>Abrir facsímil</v>
      </c>
      <c r="K2027" s="15" t="s">
        <v>22</v>
      </c>
    </row>
    <row r="2028" spans="1:11" ht="42" customHeight="1">
      <c r="A2028" s="4" t="s">
        <v>4833</v>
      </c>
      <c r="B2028" s="5" t="s">
        <v>4833</v>
      </c>
      <c r="C2028" s="5" t="s">
        <v>31</v>
      </c>
      <c r="D2028" s="5" t="s">
        <v>32</v>
      </c>
      <c r="E2028" s="5" t="s">
        <v>780</v>
      </c>
      <c r="F2028" s="9">
        <v>33</v>
      </c>
      <c r="G2028" s="9">
        <v>325</v>
      </c>
      <c r="H2028" s="5" t="s">
        <v>20</v>
      </c>
      <c r="I2028" s="5" t="s">
        <v>4834</v>
      </c>
      <c r="J2028" s="12" t="str">
        <f>HYPERLINK("https://www.boe.es/gazeta/dias/1806/04/18/pdfs/GMD-1806-33.pdf#page=5","Abrir facsímil")</f>
        <v>Abrir facsímil</v>
      </c>
      <c r="K2028" s="15" t="s">
        <v>22</v>
      </c>
    </row>
    <row r="2029" spans="1:11" ht="42" customHeight="1">
      <c r="A2029" s="4" t="s">
        <v>4835</v>
      </c>
      <c r="B2029" s="5" t="s">
        <v>4835</v>
      </c>
      <c r="C2029" s="5" t="s">
        <v>31</v>
      </c>
      <c r="D2029" s="5" t="s">
        <v>32</v>
      </c>
      <c r="E2029" s="5" t="s">
        <v>367</v>
      </c>
      <c r="F2029" s="9">
        <v>87</v>
      </c>
      <c r="G2029" s="9">
        <v>901</v>
      </c>
      <c r="H2029" s="5" t="s">
        <v>20</v>
      </c>
      <c r="I2029" s="5" t="s">
        <v>4836</v>
      </c>
      <c r="J2029" s="12" t="str">
        <f>HYPERLINK("https://www.boe.es/gazeta/dias/1806/10/24/pdfs/GMD-1806-87.pdf#page=9","Abrir facsímil")</f>
        <v>Abrir facsímil</v>
      </c>
      <c r="K2029" s="15" t="s">
        <v>22</v>
      </c>
    </row>
    <row r="2030" spans="1:11" ht="42" customHeight="1">
      <c r="A2030" s="4" t="s">
        <v>4837</v>
      </c>
      <c r="B2030" s="5" t="s">
        <v>4837</v>
      </c>
      <c r="C2030" s="5" t="s">
        <v>36</v>
      </c>
      <c r="D2030" s="5" t="s">
        <v>37</v>
      </c>
      <c r="E2030" s="5" t="s">
        <v>702</v>
      </c>
      <c r="F2030" s="9">
        <v>43</v>
      </c>
      <c r="G2030" s="9">
        <v>435</v>
      </c>
      <c r="H2030" s="5" t="s">
        <v>20</v>
      </c>
      <c r="I2030" s="5" t="s">
        <v>4838</v>
      </c>
      <c r="J2030" s="12" t="str">
        <f>HYPERLINK("https://www.boe.es/gazeta/dias/1806/05/23/pdfs/GMD-1806-43.pdf#page=11","Abrir facsímil")</f>
        <v>Abrir facsímil</v>
      </c>
      <c r="K2030" s="15" t="s">
        <v>22</v>
      </c>
    </row>
    <row r="2031" spans="1:11" ht="42" customHeight="1">
      <c r="A2031" s="4" t="s">
        <v>4839</v>
      </c>
      <c r="B2031" s="5" t="s">
        <v>4839</v>
      </c>
      <c r="C2031" s="5" t="s">
        <v>75</v>
      </c>
      <c r="D2031" s="5" t="s">
        <v>43</v>
      </c>
      <c r="E2031" s="5" t="s">
        <v>285</v>
      </c>
      <c r="F2031" s="9">
        <v>13</v>
      </c>
      <c r="G2031" s="9">
        <v>115</v>
      </c>
      <c r="H2031" s="5" t="s">
        <v>20</v>
      </c>
      <c r="I2031" s="5" t="s">
        <v>4840</v>
      </c>
      <c r="J2031" s="12" t="str">
        <f>HYPERLINK("https://www.boe.es/gazeta/dias/1806/02/07/pdfs/GMD-1806-13.pdf#page=7","Abrir facsímil")</f>
        <v>Abrir facsímil</v>
      </c>
      <c r="K2031" s="15" t="s">
        <v>22</v>
      </c>
    </row>
    <row r="2032" spans="1:11" ht="42" customHeight="1">
      <c r="A2032" s="4" t="s">
        <v>4841</v>
      </c>
      <c r="B2032" s="5" t="s">
        <v>4841</v>
      </c>
      <c r="C2032" s="5" t="s">
        <v>31</v>
      </c>
      <c r="D2032" s="5" t="s">
        <v>32</v>
      </c>
      <c r="E2032" s="5" t="s">
        <v>24</v>
      </c>
      <c r="F2032" s="9">
        <v>32</v>
      </c>
      <c r="G2032" s="9">
        <v>316</v>
      </c>
      <c r="H2032" s="5" t="s">
        <v>20</v>
      </c>
      <c r="I2032" s="5" t="s">
        <v>4842</v>
      </c>
      <c r="J2032" s="12" t="str">
        <f>HYPERLINK("https://www.boe.es/gazeta/dias/1806/04/15/pdfs/GMD-1806-32.pdf#page=8","Abrir facsímil")</f>
        <v>Abrir facsímil</v>
      </c>
      <c r="K2032" s="15" t="s">
        <v>22</v>
      </c>
    </row>
    <row r="2033" spans="1:11" ht="42" customHeight="1">
      <c r="A2033" s="4" t="s">
        <v>4843</v>
      </c>
      <c r="B2033" s="5" t="s">
        <v>4843</v>
      </c>
      <c r="C2033" s="5" t="s">
        <v>69</v>
      </c>
      <c r="D2033" s="5" t="s">
        <v>70</v>
      </c>
      <c r="E2033" s="5" t="s">
        <v>1568</v>
      </c>
      <c r="F2033" s="9">
        <v>84</v>
      </c>
      <c r="G2033" s="9">
        <v>866</v>
      </c>
      <c r="H2033" s="5" t="s">
        <v>20</v>
      </c>
      <c r="I2033" s="5" t="s">
        <v>4844</v>
      </c>
      <c r="J2033" s="12" t="str">
        <f>HYPERLINK("https://www.boe.es/gazeta/dias/1806/10/14/pdfs/GMD-1806-84.pdf#page=2","Abrir facsímil")</f>
        <v>Abrir facsímil</v>
      </c>
      <c r="K2033" s="15" t="s">
        <v>22</v>
      </c>
    </row>
    <row r="2034" spans="1:11" ht="42" customHeight="1">
      <c r="A2034" s="4" t="s">
        <v>4845</v>
      </c>
      <c r="B2034" s="5" t="s">
        <v>4846</v>
      </c>
      <c r="C2034" s="5" t="s">
        <v>75</v>
      </c>
      <c r="D2034" s="5" t="s">
        <v>43</v>
      </c>
      <c r="E2034" s="5" t="s">
        <v>301</v>
      </c>
      <c r="F2034" s="9">
        <v>75</v>
      </c>
      <c r="G2034" s="9">
        <v>779</v>
      </c>
      <c r="H2034" s="5" t="s">
        <v>20</v>
      </c>
      <c r="I2034" s="5" t="s">
        <v>4847</v>
      </c>
      <c r="J2034" s="12" t="str">
        <f>HYPERLINK("https://www.boe.es/gazeta/dias/1806/09/12/pdfs/GMD-1806-75.pdf#page=11","Abrir facsímil")</f>
        <v>Abrir facsímil</v>
      </c>
      <c r="K2034" s="15" t="s">
        <v>22</v>
      </c>
    </row>
    <row r="2035" spans="1:11" ht="42" customHeight="1">
      <c r="A2035" s="4" t="s">
        <v>4848</v>
      </c>
      <c r="B2035" s="5" t="s">
        <v>4849</v>
      </c>
      <c r="C2035" s="5" t="s">
        <v>31</v>
      </c>
      <c r="D2035" s="5" t="s">
        <v>32</v>
      </c>
      <c r="E2035" s="5" t="s">
        <v>165</v>
      </c>
      <c r="F2035" s="9">
        <v>101</v>
      </c>
      <c r="G2035" s="9">
        <v>1074</v>
      </c>
      <c r="H2035" s="5" t="s">
        <v>20</v>
      </c>
      <c r="I2035" s="5" t="s">
        <v>4850</v>
      </c>
      <c r="J2035" s="12" t="str">
        <f>HYPERLINK("https://www.boe.es/gazeta/dias/1806/12/12/pdfs/GMD-1806-101.pdf#page=6","Abrir facsímil")</f>
        <v>Abrir facsímil</v>
      </c>
      <c r="K2035" s="15" t="s">
        <v>22</v>
      </c>
    </row>
    <row r="2036" spans="1:11" ht="42" customHeight="1">
      <c r="A2036" s="4" t="s">
        <v>4851</v>
      </c>
      <c r="B2036" s="5" t="s">
        <v>4852</v>
      </c>
      <c r="C2036" s="5" t="s">
        <v>17</v>
      </c>
      <c r="D2036" s="5" t="s">
        <v>18</v>
      </c>
      <c r="E2036" s="5" t="s">
        <v>26</v>
      </c>
      <c r="F2036" s="9">
        <v>65</v>
      </c>
      <c r="G2036" s="9">
        <v>678</v>
      </c>
      <c r="H2036" s="5" t="s">
        <v>20</v>
      </c>
      <c r="I2036" s="5" t="s">
        <v>4853</v>
      </c>
      <c r="J2036" s="12" t="str">
        <f>HYPERLINK("https://www.boe.es/gazeta/dias/1806/08/08/pdfs/GMD-1806-65.pdf#page=6","Abrir facsímil")</f>
        <v>Abrir facsímil</v>
      </c>
      <c r="K2036" s="15" t="s">
        <v>22</v>
      </c>
    </row>
    <row r="2037" spans="1:11" ht="42" customHeight="1">
      <c r="A2037" s="4" t="s">
        <v>4854</v>
      </c>
      <c r="B2037" s="5" t="s">
        <v>4855</v>
      </c>
      <c r="C2037" s="5" t="s">
        <v>36</v>
      </c>
      <c r="D2037" s="5" t="s">
        <v>37</v>
      </c>
      <c r="E2037" s="5" t="s">
        <v>680</v>
      </c>
      <c r="F2037" s="9">
        <v>97</v>
      </c>
      <c r="G2037" s="9">
        <v>1022</v>
      </c>
      <c r="H2037" s="5" t="s">
        <v>20</v>
      </c>
      <c r="I2037" s="5" t="s">
        <v>4856</v>
      </c>
      <c r="J2037" s="12" t="str">
        <f>HYPERLINK("https://www.boe.es/gazeta/dias/1806/11/28/pdfs/GMD-1806-97.pdf#page=2","Abrir facsímil")</f>
        <v>Abrir facsímil</v>
      </c>
      <c r="K2037" s="15" t="s">
        <v>22</v>
      </c>
    </row>
    <row r="2038" spans="1:11" ht="42" customHeight="1">
      <c r="A2038" s="4" t="s">
        <v>4857</v>
      </c>
      <c r="B2038" s="5" t="s">
        <v>4858</v>
      </c>
      <c r="C2038" s="5" t="s">
        <v>69</v>
      </c>
      <c r="D2038" s="5" t="s">
        <v>70</v>
      </c>
      <c r="E2038" s="5" t="s">
        <v>870</v>
      </c>
      <c r="F2038" s="9">
        <v>35</v>
      </c>
      <c r="G2038" s="9">
        <v>338</v>
      </c>
      <c r="H2038" s="5" t="s">
        <v>20</v>
      </c>
      <c r="I2038" s="5" t="s">
        <v>4859</v>
      </c>
      <c r="J2038" s="12" t="str">
        <f>HYPERLINK("https://www.boe.es/gazeta/dias/1806/04/25/pdfs/GMD-1806-35.pdf#page=2","Abrir facsímil")</f>
        <v>Abrir facsímil</v>
      </c>
      <c r="K2038" s="15" t="s">
        <v>22</v>
      </c>
    </row>
    <row r="2039" spans="1:11" ht="42" customHeight="1">
      <c r="A2039" s="4" t="s">
        <v>4860</v>
      </c>
      <c r="B2039" s="5" t="s">
        <v>4861</v>
      </c>
      <c r="C2039" s="5" t="s">
        <v>36</v>
      </c>
      <c r="D2039" s="5" t="s">
        <v>37</v>
      </c>
      <c r="E2039" s="5" t="s">
        <v>680</v>
      </c>
      <c r="F2039" s="9">
        <v>97</v>
      </c>
      <c r="G2039" s="9">
        <v>1022</v>
      </c>
      <c r="H2039" s="5" t="s">
        <v>20</v>
      </c>
      <c r="I2039" s="5" t="s">
        <v>4862</v>
      </c>
      <c r="J2039" s="12" t="str">
        <f>HYPERLINK("https://www.boe.es/gazeta/dias/1806/11/28/pdfs/GMD-1806-97.pdf#page=2","Abrir facsímil")</f>
        <v>Abrir facsímil</v>
      </c>
      <c r="K2039" s="15" t="s">
        <v>22</v>
      </c>
    </row>
    <row r="2040" spans="1:11" ht="42" customHeight="1">
      <c r="A2040" s="4" t="s">
        <v>4863</v>
      </c>
      <c r="B2040" s="5" t="s">
        <v>4864</v>
      </c>
      <c r="C2040" s="5" t="s">
        <v>31</v>
      </c>
      <c r="D2040" s="5" t="s">
        <v>32</v>
      </c>
      <c r="E2040" s="5" t="s">
        <v>455</v>
      </c>
      <c r="F2040" s="9">
        <v>85</v>
      </c>
      <c r="G2040" s="9">
        <v>881</v>
      </c>
      <c r="H2040" s="5" t="s">
        <v>20</v>
      </c>
      <c r="I2040" s="5" t="s">
        <v>4865</v>
      </c>
      <c r="J2040" s="12" t="str">
        <f>HYPERLINK("https://www.boe.es/gazeta/dias/1806/10/17/pdfs/GMD-1806-85.pdf#page=9","Abrir facsímil")</f>
        <v>Abrir facsímil</v>
      </c>
      <c r="K2040" s="15" t="s">
        <v>22</v>
      </c>
    </row>
    <row r="2041" spans="1:11" ht="42" customHeight="1">
      <c r="A2041" s="4" t="s">
        <v>4866</v>
      </c>
      <c r="B2041" s="5" t="s">
        <v>4867</v>
      </c>
      <c r="C2041" s="5" t="s">
        <v>31</v>
      </c>
      <c r="D2041" s="5" t="s">
        <v>32</v>
      </c>
      <c r="E2041" s="5" t="s">
        <v>175</v>
      </c>
      <c r="F2041" s="9">
        <v>40</v>
      </c>
      <c r="G2041" s="9">
        <v>395</v>
      </c>
      <c r="H2041" s="5" t="s">
        <v>20</v>
      </c>
      <c r="I2041" s="5" t="s">
        <v>4868</v>
      </c>
      <c r="J2041" s="12" t="str">
        <f>HYPERLINK("https://www.boe.es/gazeta/dias/1806/05/13/pdfs/GMD-1806-40.pdf#page=7","Abrir facsímil")</f>
        <v>Abrir facsímil</v>
      </c>
      <c r="K2041" s="15" t="s">
        <v>22</v>
      </c>
    </row>
    <row r="2042" spans="1:11" ht="42" customHeight="1">
      <c r="A2042" s="4" t="s">
        <v>4869</v>
      </c>
      <c r="B2042" s="5" t="s">
        <v>4869</v>
      </c>
      <c r="C2042" s="5" t="s">
        <v>31</v>
      </c>
      <c r="D2042" s="5" t="s">
        <v>32</v>
      </c>
      <c r="E2042" s="5" t="s">
        <v>195</v>
      </c>
      <c r="F2042" s="9">
        <v>4</v>
      </c>
      <c r="G2042" s="9">
        <v>35</v>
      </c>
      <c r="H2042" s="5" t="s">
        <v>20</v>
      </c>
      <c r="I2042" s="5" t="s">
        <v>4870</v>
      </c>
      <c r="J2042" s="12" t="str">
        <f>HYPERLINK("https://www.boe.es/gazeta/dias/1806/01/14/pdfs/GMD-1806-4.pdf#page=7","Abrir facsímil")</f>
        <v>Abrir facsímil</v>
      </c>
      <c r="K2042" s="15" t="s">
        <v>22</v>
      </c>
    </row>
    <row r="2043" spans="1:11" ht="42" customHeight="1">
      <c r="A2043" s="4" t="s">
        <v>4871</v>
      </c>
      <c r="B2043" s="5" t="s">
        <v>4872</v>
      </c>
      <c r="C2043" s="5" t="s">
        <v>31</v>
      </c>
      <c r="D2043" s="5" t="s">
        <v>32</v>
      </c>
      <c r="E2043" s="5" t="s">
        <v>185</v>
      </c>
      <c r="F2043" s="9">
        <v>46</v>
      </c>
      <c r="G2043" s="9">
        <v>469</v>
      </c>
      <c r="H2043" s="5" t="s">
        <v>20</v>
      </c>
      <c r="I2043" s="5" t="s">
        <v>4873</v>
      </c>
      <c r="J2043" s="12" t="str">
        <f>HYPERLINK("https://www.boe.es/gazeta/dias/1806/06/03/pdfs/GMD-1806-46.pdf#page=9","Abrir facsímil")</f>
        <v>Abrir facsímil</v>
      </c>
      <c r="K2043" s="15" t="s">
        <v>22</v>
      </c>
    </row>
    <row r="2044" spans="1:11" ht="42" customHeight="1">
      <c r="A2044" s="4" t="s">
        <v>4874</v>
      </c>
      <c r="B2044" s="5" t="s">
        <v>4875</v>
      </c>
      <c r="C2044" s="5" t="s">
        <v>42</v>
      </c>
      <c r="D2044" s="5" t="s">
        <v>43</v>
      </c>
      <c r="E2044" s="5" t="s">
        <v>175</v>
      </c>
      <c r="F2044" s="9">
        <v>40</v>
      </c>
      <c r="G2044" s="9">
        <v>394</v>
      </c>
      <c r="H2044" s="5" t="s">
        <v>20</v>
      </c>
      <c r="I2044" s="5" t="s">
        <v>4876</v>
      </c>
      <c r="J2044" s="12" t="str">
        <f>HYPERLINK("https://www.boe.es/gazeta/dias/1806/05/13/pdfs/GMD-1806-40.pdf#page=6","Abrir facsímil")</f>
        <v>Abrir facsímil</v>
      </c>
      <c r="K2044" s="15" t="s">
        <v>22</v>
      </c>
    </row>
    <row r="2045" spans="1:11" ht="42" customHeight="1">
      <c r="A2045" s="4" t="s">
        <v>4877</v>
      </c>
      <c r="B2045" s="5" t="s">
        <v>4878</v>
      </c>
      <c r="C2045" s="5" t="s">
        <v>42</v>
      </c>
      <c r="D2045" s="5" t="s">
        <v>43</v>
      </c>
      <c r="E2045" s="5" t="s">
        <v>911</v>
      </c>
      <c r="F2045" s="9">
        <v>64</v>
      </c>
      <c r="G2045" s="9">
        <v>671</v>
      </c>
      <c r="H2045" s="5" t="s">
        <v>20</v>
      </c>
      <c r="I2045" s="5" t="s">
        <v>4879</v>
      </c>
      <c r="J2045" s="12" t="str">
        <f>HYPERLINK("https://www.boe.es/gazeta/dias/1806/08/05/pdfs/GMD-1806-64.pdf#page=7","Abrir facsímil")</f>
        <v>Abrir facsímil</v>
      </c>
      <c r="K2045" s="15" t="s">
        <v>22</v>
      </c>
    </row>
    <row r="2046" spans="1:11" ht="42" customHeight="1">
      <c r="A2046" s="4" t="s">
        <v>4880</v>
      </c>
      <c r="B2046" s="5" t="s">
        <v>4881</v>
      </c>
      <c r="C2046" s="5" t="s">
        <v>42</v>
      </c>
      <c r="D2046" s="5" t="s">
        <v>43</v>
      </c>
      <c r="E2046" s="5" t="s">
        <v>227</v>
      </c>
      <c r="F2046" s="9">
        <v>27</v>
      </c>
      <c r="G2046" s="9">
        <v>269</v>
      </c>
      <c r="H2046" s="5" t="s">
        <v>20</v>
      </c>
      <c r="I2046" s="5" t="s">
        <v>4882</v>
      </c>
      <c r="J2046" s="12" t="str">
        <f>HYPERLINK("https://www.boe.es/gazeta/dias/1806/03/28/pdfs/GMD-1806-27.pdf#page=9","Abrir facsímil")</f>
        <v>Abrir facsímil</v>
      </c>
      <c r="K2046" s="15" t="s">
        <v>22</v>
      </c>
    </row>
    <row r="2047" spans="1:11" ht="42" customHeight="1">
      <c r="A2047" s="4" t="s">
        <v>4883</v>
      </c>
      <c r="B2047" s="5" t="s">
        <v>4883</v>
      </c>
      <c r="C2047" s="5" t="s">
        <v>36</v>
      </c>
      <c r="D2047" s="5" t="s">
        <v>37</v>
      </c>
      <c r="E2047" s="5" t="s">
        <v>209</v>
      </c>
      <c r="F2047" s="9">
        <v>95</v>
      </c>
      <c r="G2047" s="9">
        <v>1008</v>
      </c>
      <c r="H2047" s="5" t="s">
        <v>20</v>
      </c>
      <c r="I2047" s="5" t="s">
        <v>4884</v>
      </c>
      <c r="J2047" s="12" t="str">
        <f>HYPERLINK("https://www.boe.es/gazeta/dias/1806/11/21/pdfs/GMD-1806-95.pdf#page=16","Abrir facsímil")</f>
        <v>Abrir facsímil</v>
      </c>
      <c r="K2047" s="15" t="s">
        <v>22</v>
      </c>
    </row>
    <row r="2048" spans="1:11" ht="42" customHeight="1">
      <c r="A2048" s="4" t="s">
        <v>4885</v>
      </c>
      <c r="B2048" s="5" t="s">
        <v>4886</v>
      </c>
      <c r="C2048" s="5" t="s">
        <v>69</v>
      </c>
      <c r="D2048" s="5" t="s">
        <v>70</v>
      </c>
      <c r="E2048" s="5" t="s">
        <v>297</v>
      </c>
      <c r="F2048" s="9">
        <v>94</v>
      </c>
      <c r="G2048" s="9">
        <v>984</v>
      </c>
      <c r="H2048" s="5" t="s">
        <v>20</v>
      </c>
      <c r="I2048" s="5" t="s">
        <v>4887</v>
      </c>
      <c r="J2048" s="12" t="str">
        <f>HYPERLINK("https://www.boe.es/gazeta/dias/1806/11/18/pdfs/GMD-1806-94.pdf#page=4","Abrir facsímil")</f>
        <v>Abrir facsímil</v>
      </c>
      <c r="K2048" s="15" t="s">
        <v>22</v>
      </c>
    </row>
    <row r="2049" spans="1:11" ht="42" customHeight="1">
      <c r="A2049" s="4" t="s">
        <v>4888</v>
      </c>
      <c r="B2049" s="5" t="s">
        <v>4889</v>
      </c>
      <c r="C2049" s="5" t="s">
        <v>69</v>
      </c>
      <c r="D2049" s="5" t="s">
        <v>70</v>
      </c>
      <c r="E2049" s="5" t="s">
        <v>238</v>
      </c>
      <c r="F2049" s="9">
        <v>18</v>
      </c>
      <c r="G2049" s="9">
        <v>155</v>
      </c>
      <c r="H2049" s="5" t="s">
        <v>20</v>
      </c>
      <c r="I2049" s="5" t="s">
        <v>4890</v>
      </c>
      <c r="J2049" s="12" t="str">
        <f>HYPERLINK("https://www.boe.es/gazeta/dias/1806/02/25/pdfs/GMD-1806-18.pdf#page=3","Abrir facsímil")</f>
        <v>Abrir facsímil</v>
      </c>
      <c r="K2049" s="15" t="s">
        <v>22</v>
      </c>
    </row>
    <row r="2050" spans="1:11" ht="42" customHeight="1">
      <c r="A2050" s="4" t="s">
        <v>4891</v>
      </c>
      <c r="B2050" s="5" t="s">
        <v>4892</v>
      </c>
      <c r="C2050" s="5" t="s">
        <v>69</v>
      </c>
      <c r="D2050" s="5" t="s">
        <v>70</v>
      </c>
      <c r="E2050" s="5" t="s">
        <v>59</v>
      </c>
      <c r="F2050" s="9">
        <v>21</v>
      </c>
      <c r="G2050" s="9">
        <v>193</v>
      </c>
      <c r="H2050" s="5" t="s">
        <v>20</v>
      </c>
      <c r="I2050" s="5" t="s">
        <v>4893</v>
      </c>
      <c r="J2050" s="12" t="str">
        <f>HYPERLINK("https://www.boe.es/gazeta/dias/1806/03/07/pdfs/GMD-1806-21.pdf#page=5","Abrir facsímil")</f>
        <v>Abrir facsímil</v>
      </c>
      <c r="K2050" s="15" t="s">
        <v>22</v>
      </c>
    </row>
    <row r="2051" spans="1:11" ht="42" customHeight="1">
      <c r="A2051" s="4" t="s">
        <v>4894</v>
      </c>
      <c r="B2051" s="5" t="s">
        <v>4895</v>
      </c>
      <c r="C2051" s="5" t="s">
        <v>31</v>
      </c>
      <c r="D2051" s="5" t="s">
        <v>32</v>
      </c>
      <c r="E2051" s="5" t="s">
        <v>689</v>
      </c>
      <c r="F2051" s="9">
        <v>37</v>
      </c>
      <c r="G2051" s="9">
        <v>361</v>
      </c>
      <c r="H2051" s="5" t="s">
        <v>20</v>
      </c>
      <c r="I2051" s="5" t="s">
        <v>4896</v>
      </c>
      <c r="J2051" s="12" t="str">
        <f>HYPERLINK("https://www.boe.es/gazeta/dias/1806/05/02/pdfs/GMD-1806-37.pdf#page=9","Abrir facsímil")</f>
        <v>Abrir facsímil</v>
      </c>
      <c r="K2051" s="15" t="s">
        <v>22</v>
      </c>
    </row>
    <row r="2052" spans="1:11" ht="42" customHeight="1">
      <c r="A2052" s="4" t="s">
        <v>4897</v>
      </c>
      <c r="B2052" s="5" t="s">
        <v>4898</v>
      </c>
      <c r="C2052" s="5" t="s">
        <v>31</v>
      </c>
      <c r="D2052" s="5" t="s">
        <v>32</v>
      </c>
      <c r="E2052" s="5" t="s">
        <v>103</v>
      </c>
      <c r="F2052" s="9">
        <v>61</v>
      </c>
      <c r="G2052" s="9">
        <v>635</v>
      </c>
      <c r="H2052" s="5" t="s">
        <v>20</v>
      </c>
      <c r="I2052" s="5" t="s">
        <v>4899</v>
      </c>
      <c r="J2052" s="12" t="str">
        <f>HYPERLINK("https://www.boe.es/gazeta/dias/1806/07/25/pdfs/GMD-1806-61.pdf#page=7","Abrir facsímil")</f>
        <v>Abrir facsímil</v>
      </c>
      <c r="K2052" s="15" t="s">
        <v>22</v>
      </c>
    </row>
    <row r="2053" spans="1:11" ht="42" customHeight="1">
      <c r="A2053" s="4" t="s">
        <v>4900</v>
      </c>
      <c r="B2053" s="5" t="s">
        <v>4901</v>
      </c>
      <c r="C2053" s="5" t="s">
        <v>31</v>
      </c>
      <c r="D2053" s="5" t="s">
        <v>32</v>
      </c>
      <c r="E2053" s="5" t="s">
        <v>780</v>
      </c>
      <c r="F2053" s="9">
        <v>33</v>
      </c>
      <c r="G2053" s="9">
        <v>326</v>
      </c>
      <c r="H2053" s="5" t="s">
        <v>20</v>
      </c>
      <c r="I2053" s="5" t="s">
        <v>4902</v>
      </c>
      <c r="J2053" s="12" t="str">
        <f>HYPERLINK("https://www.boe.es/gazeta/dias/1806/04/18/pdfs/GMD-1806-33.pdf#page=6","Abrir facsímil")</f>
        <v>Abrir facsímil</v>
      </c>
      <c r="K2053" s="15" t="s">
        <v>22</v>
      </c>
    </row>
    <row r="2054" spans="1:11" ht="42" customHeight="1">
      <c r="A2054" s="4" t="s">
        <v>4903</v>
      </c>
      <c r="B2054" s="5" t="s">
        <v>4903</v>
      </c>
      <c r="C2054" s="5" t="s">
        <v>69</v>
      </c>
      <c r="D2054" s="5" t="s">
        <v>70</v>
      </c>
      <c r="E2054" s="5" t="s">
        <v>340</v>
      </c>
      <c r="F2054" s="9">
        <v>31</v>
      </c>
      <c r="G2054" s="9">
        <v>304</v>
      </c>
      <c r="H2054" s="5" t="s">
        <v>20</v>
      </c>
      <c r="I2054" s="5" t="s">
        <v>4904</v>
      </c>
      <c r="J2054" s="12" t="str">
        <f>HYPERLINK("https://www.boe.es/gazeta/dias/1806/04/11/pdfs/GMD-1806-31.pdf#page=8","Abrir facsímil")</f>
        <v>Abrir facsímil</v>
      </c>
      <c r="K2054" s="15" t="s">
        <v>22</v>
      </c>
    </row>
    <row r="2055" spans="1:11" ht="42" customHeight="1">
      <c r="A2055" s="4" t="s">
        <v>4903</v>
      </c>
      <c r="B2055" s="5" t="s">
        <v>4903</v>
      </c>
      <c r="C2055" s="5" t="s">
        <v>42</v>
      </c>
      <c r="D2055" s="5" t="s">
        <v>43</v>
      </c>
      <c r="E2055" s="5" t="s">
        <v>51</v>
      </c>
      <c r="F2055" s="9">
        <v>44</v>
      </c>
      <c r="G2055" s="9">
        <v>443</v>
      </c>
      <c r="H2055" s="5" t="s">
        <v>20</v>
      </c>
      <c r="I2055" s="5" t="s">
        <v>4905</v>
      </c>
      <c r="J2055" s="12" t="str">
        <f>HYPERLINK("https://www.boe.es/gazeta/dias/1806/05/27/pdfs/GMD-1806-44.pdf#page=7","Abrir facsímil")</f>
        <v>Abrir facsímil</v>
      </c>
      <c r="K2055" s="15" t="s">
        <v>22</v>
      </c>
    </row>
    <row r="2056" spans="1:11" ht="42" customHeight="1">
      <c r="A2056" s="4" t="s">
        <v>4906</v>
      </c>
      <c r="B2056" s="5" t="s">
        <v>4906</v>
      </c>
      <c r="C2056" s="5" t="s">
        <v>31</v>
      </c>
      <c r="D2056" s="5" t="s">
        <v>32</v>
      </c>
      <c r="E2056" s="5" t="s">
        <v>195</v>
      </c>
      <c r="F2056" s="9">
        <v>4</v>
      </c>
      <c r="G2056" s="9">
        <v>31</v>
      </c>
      <c r="H2056" s="5" t="s">
        <v>20</v>
      </c>
      <c r="I2056" s="5" t="s">
        <v>4907</v>
      </c>
      <c r="J2056" s="12" t="str">
        <f>HYPERLINK("https://www.boe.es/gazeta/dias/1806/01/14/pdfs/GMD-1806-4.pdf#page=3","Abrir facsímil")</f>
        <v>Abrir facsímil</v>
      </c>
      <c r="K2056" s="15" t="s">
        <v>22</v>
      </c>
    </row>
    <row r="2057" spans="1:11" ht="42" customHeight="1">
      <c r="A2057" s="4" t="s">
        <v>4906</v>
      </c>
      <c r="B2057" s="5" t="s">
        <v>4906</v>
      </c>
      <c r="C2057" s="5" t="s">
        <v>31</v>
      </c>
      <c r="D2057" s="5" t="s">
        <v>32</v>
      </c>
      <c r="E2057" s="5" t="s">
        <v>1778</v>
      </c>
      <c r="F2057" s="9">
        <v>16</v>
      </c>
      <c r="G2057" s="9">
        <v>139</v>
      </c>
      <c r="H2057" s="5" t="s">
        <v>20</v>
      </c>
      <c r="I2057" s="5" t="s">
        <v>4908</v>
      </c>
      <c r="J2057" s="12" t="str">
        <f>HYPERLINK("https://www.boe.es/gazeta/dias/1806/02/18/pdfs/GMD-1806-16.pdf#page=3","Abrir facsímil")</f>
        <v>Abrir facsímil</v>
      </c>
      <c r="K2057" s="15" t="s">
        <v>22</v>
      </c>
    </row>
    <row r="2058" spans="1:11" ht="42" customHeight="1">
      <c r="A2058" s="4" t="s">
        <v>4906</v>
      </c>
      <c r="B2058" s="5" t="s">
        <v>4906</v>
      </c>
      <c r="C2058" s="5" t="s">
        <v>69</v>
      </c>
      <c r="D2058" s="5" t="s">
        <v>70</v>
      </c>
      <c r="E2058" s="5" t="s">
        <v>172</v>
      </c>
      <c r="F2058" s="9">
        <v>17</v>
      </c>
      <c r="G2058" s="9">
        <v>148</v>
      </c>
      <c r="H2058" s="5" t="s">
        <v>20</v>
      </c>
      <c r="I2058" s="5" t="s">
        <v>4909</v>
      </c>
      <c r="J2058" s="12" t="str">
        <f>HYPERLINK("https://www.boe.es/gazeta/dias/1806/02/21/pdfs/GMD-1806-17.pdf#page=4","Abrir facsímil")</f>
        <v>Abrir facsímil</v>
      </c>
      <c r="K2058" s="15" t="s">
        <v>22</v>
      </c>
    </row>
    <row r="2059" spans="1:11" ht="42" customHeight="1">
      <c r="A2059" s="4" t="s">
        <v>4906</v>
      </c>
      <c r="B2059" s="5" t="s">
        <v>4906</v>
      </c>
      <c r="C2059" s="5" t="s">
        <v>31</v>
      </c>
      <c r="D2059" s="5" t="s">
        <v>32</v>
      </c>
      <c r="E2059" s="5" t="s">
        <v>238</v>
      </c>
      <c r="F2059" s="9">
        <v>18</v>
      </c>
      <c r="G2059" s="9">
        <v>156</v>
      </c>
      <c r="H2059" s="5" t="s">
        <v>20</v>
      </c>
      <c r="I2059" s="5" t="s">
        <v>4910</v>
      </c>
      <c r="J2059" s="12" t="str">
        <f>HYPERLINK("https://www.boe.es/gazeta/dias/1806/02/25/pdfs/GMD-1806-18.pdf#page=4","Abrir facsímil")</f>
        <v>Abrir facsímil</v>
      </c>
      <c r="K2059" s="15" t="s">
        <v>22</v>
      </c>
    </row>
    <row r="2060" spans="1:11" ht="42" customHeight="1">
      <c r="A2060" s="4" t="s">
        <v>4906</v>
      </c>
      <c r="B2060" s="5" t="s">
        <v>4906</v>
      </c>
      <c r="C2060" s="5" t="s">
        <v>69</v>
      </c>
      <c r="D2060" s="5" t="s">
        <v>70</v>
      </c>
      <c r="E2060" s="5" t="s">
        <v>238</v>
      </c>
      <c r="F2060" s="9">
        <v>18</v>
      </c>
      <c r="G2060" s="9">
        <v>157</v>
      </c>
      <c r="H2060" s="5" t="s">
        <v>20</v>
      </c>
      <c r="I2060" s="5" t="s">
        <v>4911</v>
      </c>
      <c r="J2060" s="12" t="str">
        <f>HYPERLINK("https://www.boe.es/gazeta/dias/1806/02/25/pdfs/GMD-1806-18.pdf#page=5","Abrir facsímil")</f>
        <v>Abrir facsímil</v>
      </c>
      <c r="K2060" s="15" t="s">
        <v>22</v>
      </c>
    </row>
    <row r="2061" spans="1:11" ht="42" customHeight="1">
      <c r="A2061" s="4" t="s">
        <v>4906</v>
      </c>
      <c r="B2061" s="5" t="s">
        <v>4906</v>
      </c>
      <c r="C2061" s="5" t="s">
        <v>69</v>
      </c>
      <c r="D2061" s="5" t="s">
        <v>70</v>
      </c>
      <c r="E2061" s="5" t="s">
        <v>59</v>
      </c>
      <c r="F2061" s="9">
        <v>21</v>
      </c>
      <c r="G2061" s="9">
        <v>192</v>
      </c>
      <c r="H2061" s="5" t="s">
        <v>20</v>
      </c>
      <c r="I2061" s="5" t="s">
        <v>4912</v>
      </c>
      <c r="J2061" s="12" t="str">
        <f>HYPERLINK("https://www.boe.es/gazeta/dias/1806/03/07/pdfs/GMD-1806-21.pdf#page=4","Abrir facsímil")</f>
        <v>Abrir facsímil</v>
      </c>
      <c r="K2061" s="15" t="s">
        <v>22</v>
      </c>
    </row>
    <row r="2062" spans="1:11" ht="42" customHeight="1">
      <c r="A2062" s="4" t="s">
        <v>4906</v>
      </c>
      <c r="B2062" s="5" t="s">
        <v>4906</v>
      </c>
      <c r="C2062" s="5" t="s">
        <v>31</v>
      </c>
      <c r="D2062" s="5" t="s">
        <v>32</v>
      </c>
      <c r="E2062" s="5" t="s">
        <v>59</v>
      </c>
      <c r="F2062" s="9">
        <v>21</v>
      </c>
      <c r="G2062" s="9">
        <v>193</v>
      </c>
      <c r="H2062" s="5" t="s">
        <v>20</v>
      </c>
      <c r="I2062" s="5" t="s">
        <v>4913</v>
      </c>
      <c r="J2062" s="12" t="str">
        <f>HYPERLINK("https://www.boe.es/gazeta/dias/1806/03/07/pdfs/GMD-1806-21.pdf#page=5","Abrir facsímil")</f>
        <v>Abrir facsímil</v>
      </c>
      <c r="K2062" s="15" t="s">
        <v>22</v>
      </c>
    </row>
    <row r="2063" spans="1:11" ht="42" customHeight="1">
      <c r="A2063" s="4" t="s">
        <v>4906</v>
      </c>
      <c r="B2063" s="5" t="s">
        <v>4906</v>
      </c>
      <c r="C2063" s="5" t="s">
        <v>69</v>
      </c>
      <c r="D2063" s="5" t="s">
        <v>70</v>
      </c>
      <c r="E2063" s="5" t="s">
        <v>400</v>
      </c>
      <c r="F2063" s="9">
        <v>22</v>
      </c>
      <c r="G2063" s="9">
        <v>204</v>
      </c>
      <c r="H2063" s="5" t="s">
        <v>20</v>
      </c>
      <c r="I2063" s="5" t="s">
        <v>4914</v>
      </c>
      <c r="J2063" s="12" t="str">
        <f>HYPERLINK("https://www.boe.es/gazeta/dias/1806/03/11/pdfs/GMD-1806-22.pdf#page=4","Abrir facsímil")</f>
        <v>Abrir facsímil</v>
      </c>
      <c r="K2063" s="15" t="s">
        <v>22</v>
      </c>
    </row>
    <row r="2064" spans="1:11" ht="42" customHeight="1">
      <c r="A2064" s="4" t="s">
        <v>4906</v>
      </c>
      <c r="B2064" s="5" t="s">
        <v>4906</v>
      </c>
      <c r="C2064" s="5" t="s">
        <v>69</v>
      </c>
      <c r="D2064" s="5" t="s">
        <v>70</v>
      </c>
      <c r="E2064" s="5" t="s">
        <v>580</v>
      </c>
      <c r="F2064" s="9">
        <v>23</v>
      </c>
      <c r="G2064" s="9">
        <v>215</v>
      </c>
      <c r="H2064" s="5" t="s">
        <v>20</v>
      </c>
      <c r="I2064" s="5" t="s">
        <v>4915</v>
      </c>
      <c r="J2064" s="12" t="str">
        <f>HYPERLINK("https://www.boe.es/gazeta/dias/1806/03/14/pdfs/GMD-1806-23.pdf#page=3","Abrir facsímil")</f>
        <v>Abrir facsímil</v>
      </c>
      <c r="K2064" s="15" t="s">
        <v>22</v>
      </c>
    </row>
    <row r="2065" spans="1:11" ht="42" customHeight="1">
      <c r="A2065" s="4" t="s">
        <v>4906</v>
      </c>
      <c r="B2065" s="5" t="s">
        <v>4906</v>
      </c>
      <c r="C2065" s="5" t="s">
        <v>69</v>
      </c>
      <c r="D2065" s="5" t="s">
        <v>70</v>
      </c>
      <c r="E2065" s="5" t="s">
        <v>580</v>
      </c>
      <c r="F2065" s="9">
        <v>23</v>
      </c>
      <c r="G2065" s="9">
        <v>216</v>
      </c>
      <c r="H2065" s="5" t="s">
        <v>20</v>
      </c>
      <c r="I2065" s="5" t="s">
        <v>4916</v>
      </c>
      <c r="J2065" s="12" t="str">
        <f>HYPERLINK("https://www.boe.es/gazeta/dias/1806/03/14/pdfs/GMD-1806-23.pdf#page=4","Abrir facsímil")</f>
        <v>Abrir facsímil</v>
      </c>
      <c r="K2065" s="15" t="s">
        <v>22</v>
      </c>
    </row>
    <row r="2066" spans="1:11" ht="42" customHeight="1">
      <c r="A2066" s="4" t="s">
        <v>4906</v>
      </c>
      <c r="B2066" s="5" t="s">
        <v>4906</v>
      </c>
      <c r="C2066" s="5" t="s">
        <v>69</v>
      </c>
      <c r="D2066" s="5" t="s">
        <v>70</v>
      </c>
      <c r="E2066" s="5" t="s">
        <v>220</v>
      </c>
      <c r="F2066" s="9">
        <v>24</v>
      </c>
      <c r="G2066" s="9">
        <v>228</v>
      </c>
      <c r="H2066" s="5" t="s">
        <v>20</v>
      </c>
      <c r="I2066" s="5" t="s">
        <v>4917</v>
      </c>
      <c r="J2066" s="12" t="str">
        <f>HYPERLINK("https://www.boe.es/gazeta/dias/1806/03/18/pdfs/GMD-1806-24.pdf#page=4","Abrir facsímil")</f>
        <v>Abrir facsímil</v>
      </c>
      <c r="K2066" s="15" t="s">
        <v>22</v>
      </c>
    </row>
    <row r="2067" spans="1:11" ht="42" customHeight="1">
      <c r="A2067" s="4" t="s">
        <v>4906</v>
      </c>
      <c r="B2067" s="5" t="s">
        <v>4906</v>
      </c>
      <c r="C2067" s="5" t="s">
        <v>69</v>
      </c>
      <c r="D2067" s="5" t="s">
        <v>70</v>
      </c>
      <c r="E2067" s="5" t="s">
        <v>124</v>
      </c>
      <c r="F2067" s="9">
        <v>25</v>
      </c>
      <c r="G2067" s="9">
        <v>241</v>
      </c>
      <c r="H2067" s="5" t="s">
        <v>20</v>
      </c>
      <c r="I2067" s="5" t="s">
        <v>4918</v>
      </c>
      <c r="J2067" s="12" t="str">
        <f>HYPERLINK("https://www.boe.es/gazeta/dias/1806/03/21/pdfs/GMD-1806-25.pdf#page=5","Abrir facsímil")</f>
        <v>Abrir facsímil</v>
      </c>
      <c r="K2067" s="15" t="s">
        <v>22</v>
      </c>
    </row>
    <row r="2068" spans="1:11" ht="42" customHeight="1">
      <c r="A2068" s="4" t="s">
        <v>4906</v>
      </c>
      <c r="B2068" s="5" t="s">
        <v>4906</v>
      </c>
      <c r="C2068" s="5" t="s">
        <v>69</v>
      </c>
      <c r="D2068" s="5" t="s">
        <v>70</v>
      </c>
      <c r="E2068" s="5" t="s">
        <v>124</v>
      </c>
      <c r="F2068" s="9">
        <v>25</v>
      </c>
      <c r="G2068" s="9">
        <v>242</v>
      </c>
      <c r="H2068" s="5" t="s">
        <v>20</v>
      </c>
      <c r="I2068" s="5" t="s">
        <v>4919</v>
      </c>
      <c r="J2068" s="12" t="str">
        <f>HYPERLINK("https://www.boe.es/gazeta/dias/1806/03/21/pdfs/GMD-1806-25.pdf#page=6","Abrir facsímil")</f>
        <v>Abrir facsímil</v>
      </c>
      <c r="K2068" s="15" t="s">
        <v>22</v>
      </c>
    </row>
    <row r="2069" spans="1:11" ht="42" customHeight="1">
      <c r="A2069" s="4" t="s">
        <v>4906</v>
      </c>
      <c r="B2069" s="5" t="s">
        <v>4906</v>
      </c>
      <c r="C2069" s="5" t="s">
        <v>31</v>
      </c>
      <c r="D2069" s="5" t="s">
        <v>32</v>
      </c>
      <c r="E2069" s="5" t="s">
        <v>837</v>
      </c>
      <c r="F2069" s="9">
        <v>26</v>
      </c>
      <c r="G2069" s="9">
        <v>251</v>
      </c>
      <c r="H2069" s="5" t="s">
        <v>20</v>
      </c>
      <c r="I2069" s="5" t="s">
        <v>4920</v>
      </c>
      <c r="J2069" s="12" t="str">
        <f>HYPERLINK("https://www.boe.es/gazeta/dias/1806/03/25/pdfs/GMD-1806-26.pdf#page=3","Abrir facsímil")</f>
        <v>Abrir facsímil</v>
      </c>
      <c r="K2069" s="15" t="s">
        <v>22</v>
      </c>
    </row>
    <row r="2070" spans="1:11" ht="42" customHeight="1">
      <c r="A2070" s="4" t="s">
        <v>4906</v>
      </c>
      <c r="B2070" s="5" t="s">
        <v>4906</v>
      </c>
      <c r="C2070" s="5" t="s">
        <v>69</v>
      </c>
      <c r="D2070" s="5" t="s">
        <v>70</v>
      </c>
      <c r="E2070" s="5" t="s">
        <v>227</v>
      </c>
      <c r="F2070" s="9">
        <v>27</v>
      </c>
      <c r="G2070" s="9">
        <v>265</v>
      </c>
      <c r="H2070" s="5" t="s">
        <v>20</v>
      </c>
      <c r="I2070" s="5" t="s">
        <v>4921</v>
      </c>
      <c r="J2070" s="12" t="str">
        <f>HYPERLINK("https://www.boe.es/gazeta/dias/1806/03/28/pdfs/GMD-1806-27.pdf#page=5","Abrir facsímil")</f>
        <v>Abrir facsímil</v>
      </c>
      <c r="K2070" s="15" t="s">
        <v>22</v>
      </c>
    </row>
    <row r="2071" spans="1:11" ht="42" customHeight="1">
      <c r="A2071" s="4" t="s">
        <v>4906</v>
      </c>
      <c r="B2071" s="5" t="s">
        <v>4906</v>
      </c>
      <c r="C2071" s="5" t="s">
        <v>69</v>
      </c>
      <c r="D2071" s="5" t="s">
        <v>70</v>
      </c>
      <c r="E2071" s="5" t="s">
        <v>113</v>
      </c>
      <c r="F2071" s="9">
        <v>28</v>
      </c>
      <c r="G2071" s="9">
        <v>275</v>
      </c>
      <c r="H2071" s="5" t="s">
        <v>20</v>
      </c>
      <c r="I2071" s="5" t="s">
        <v>4922</v>
      </c>
      <c r="J2071" s="12" t="str">
        <f>HYPERLINK("https://www.boe.es/gazeta/dias/1806/04/01/pdfs/GMD-1806-28.pdf#page=3","Abrir facsímil")</f>
        <v>Abrir facsímil</v>
      </c>
      <c r="K2071" s="15" t="s">
        <v>22</v>
      </c>
    </row>
    <row r="2072" spans="1:11" ht="42" customHeight="1">
      <c r="A2072" s="4" t="s">
        <v>4906</v>
      </c>
      <c r="B2072" s="5" t="s">
        <v>4906</v>
      </c>
      <c r="C2072" s="5" t="s">
        <v>69</v>
      </c>
      <c r="D2072" s="5" t="s">
        <v>70</v>
      </c>
      <c r="E2072" s="5" t="s">
        <v>202</v>
      </c>
      <c r="F2072" s="9">
        <v>30</v>
      </c>
      <c r="G2072" s="9">
        <v>292</v>
      </c>
      <c r="H2072" s="5" t="s">
        <v>20</v>
      </c>
      <c r="I2072" s="5" t="s">
        <v>4923</v>
      </c>
      <c r="J2072" s="12" t="str">
        <f>HYPERLINK("https://www.boe.es/gazeta/dias/1806/04/08/pdfs/GMD-1806-30.pdf#page=4","Abrir facsímil")</f>
        <v>Abrir facsímil</v>
      </c>
      <c r="K2072" s="15" t="s">
        <v>22</v>
      </c>
    </row>
    <row r="2073" spans="1:11" ht="42" customHeight="1">
      <c r="A2073" s="4" t="s">
        <v>4906</v>
      </c>
      <c r="B2073" s="5" t="s">
        <v>4906</v>
      </c>
      <c r="C2073" s="5" t="s">
        <v>69</v>
      </c>
      <c r="D2073" s="5" t="s">
        <v>70</v>
      </c>
      <c r="E2073" s="5" t="s">
        <v>870</v>
      </c>
      <c r="F2073" s="9">
        <v>35</v>
      </c>
      <c r="G2073" s="9">
        <v>340</v>
      </c>
      <c r="H2073" s="5" t="s">
        <v>20</v>
      </c>
      <c r="I2073" s="5" t="s">
        <v>4924</v>
      </c>
      <c r="J2073" s="12" t="str">
        <f>HYPERLINK("https://www.boe.es/gazeta/dias/1806/04/25/pdfs/GMD-1806-35.pdf#page=4","Abrir facsímil")</f>
        <v>Abrir facsímil</v>
      </c>
      <c r="K2073" s="15" t="s">
        <v>22</v>
      </c>
    </row>
    <row r="2074" spans="1:11" ht="42" customHeight="1">
      <c r="A2074" s="4" t="s">
        <v>4906</v>
      </c>
      <c r="B2074" s="5" t="s">
        <v>4906</v>
      </c>
      <c r="C2074" s="5" t="s">
        <v>69</v>
      </c>
      <c r="D2074" s="5" t="s">
        <v>70</v>
      </c>
      <c r="E2074" s="5" t="s">
        <v>870</v>
      </c>
      <c r="F2074" s="9">
        <v>35</v>
      </c>
      <c r="G2074" s="9">
        <v>341</v>
      </c>
      <c r="H2074" s="5" t="s">
        <v>20</v>
      </c>
      <c r="I2074" s="5" t="s">
        <v>4925</v>
      </c>
      <c r="J2074" s="12" t="str">
        <f>HYPERLINK("https://www.boe.es/gazeta/dias/1806/04/25/pdfs/GMD-1806-35.pdf#page=5","Abrir facsímil")</f>
        <v>Abrir facsímil</v>
      </c>
      <c r="K2074" s="15" t="s">
        <v>22</v>
      </c>
    </row>
    <row r="2075" spans="1:11" ht="42" customHeight="1">
      <c r="A2075" s="4" t="s">
        <v>4906</v>
      </c>
      <c r="B2075" s="5" t="s">
        <v>4906</v>
      </c>
      <c r="C2075" s="5" t="s">
        <v>17</v>
      </c>
      <c r="D2075" s="5" t="s">
        <v>18</v>
      </c>
      <c r="E2075" s="5" t="s">
        <v>689</v>
      </c>
      <c r="F2075" s="9">
        <v>37</v>
      </c>
      <c r="G2075" s="9">
        <v>356</v>
      </c>
      <c r="H2075" s="5" t="s">
        <v>20</v>
      </c>
      <c r="I2075" s="5" t="s">
        <v>4926</v>
      </c>
      <c r="J2075" s="12" t="str">
        <f>HYPERLINK("https://www.boe.es/gazeta/dias/1806/05/02/pdfs/GMD-1806-37.pdf#page=4","Abrir facsímil")</f>
        <v>Abrir facsímil</v>
      </c>
      <c r="K2075" s="15" t="s">
        <v>22</v>
      </c>
    </row>
    <row r="2076" spans="1:11" ht="42" customHeight="1">
      <c r="A2076" s="4" t="s">
        <v>4906</v>
      </c>
      <c r="B2076" s="5" t="s">
        <v>4906</v>
      </c>
      <c r="C2076" s="5" t="s">
        <v>69</v>
      </c>
      <c r="D2076" s="5" t="s">
        <v>70</v>
      </c>
      <c r="E2076" s="5" t="s">
        <v>175</v>
      </c>
      <c r="F2076" s="9">
        <v>40</v>
      </c>
      <c r="G2076" s="9">
        <v>392</v>
      </c>
      <c r="H2076" s="5" t="s">
        <v>20</v>
      </c>
      <c r="I2076" s="5" t="s">
        <v>4927</v>
      </c>
      <c r="J2076" s="12" t="str">
        <f>HYPERLINK("https://www.boe.es/gazeta/dias/1806/05/13/pdfs/GMD-1806-40.pdf#page=4","Abrir facsímil")</f>
        <v>Abrir facsímil</v>
      </c>
      <c r="K2076" s="15" t="s">
        <v>22</v>
      </c>
    </row>
    <row r="2077" spans="1:11" ht="42" customHeight="1">
      <c r="A2077" s="4" t="s">
        <v>4906</v>
      </c>
      <c r="B2077" s="5" t="s">
        <v>4906</v>
      </c>
      <c r="C2077" s="5" t="s">
        <v>69</v>
      </c>
      <c r="D2077" s="5" t="s">
        <v>70</v>
      </c>
      <c r="E2077" s="5" t="s">
        <v>309</v>
      </c>
      <c r="F2077" s="9">
        <v>41</v>
      </c>
      <c r="G2077" s="9">
        <v>402</v>
      </c>
      <c r="H2077" s="5" t="s">
        <v>20</v>
      </c>
      <c r="I2077" s="5" t="s">
        <v>4928</v>
      </c>
      <c r="J2077" s="12" t="str">
        <f>HYPERLINK("https://www.boe.es/gazeta/dias/1806/05/16/pdfs/GMD-1806-41.pdf#page=2","Abrir facsímil")</f>
        <v>Abrir facsímil</v>
      </c>
      <c r="K2077" s="15" t="s">
        <v>22</v>
      </c>
    </row>
    <row r="2078" spans="1:11" ht="42" customHeight="1">
      <c r="A2078" s="4" t="s">
        <v>4906</v>
      </c>
      <c r="B2078" s="5" t="s">
        <v>4906</v>
      </c>
      <c r="C2078" s="5" t="s">
        <v>69</v>
      </c>
      <c r="D2078" s="5" t="s">
        <v>70</v>
      </c>
      <c r="E2078" s="5" t="s">
        <v>44</v>
      </c>
      <c r="F2078" s="9">
        <v>42</v>
      </c>
      <c r="G2078" s="9">
        <v>413</v>
      </c>
      <c r="H2078" s="5" t="s">
        <v>20</v>
      </c>
      <c r="I2078" s="5" t="s">
        <v>4929</v>
      </c>
      <c r="J2078" s="12" t="str">
        <f>HYPERLINK("https://www.boe.es/gazeta/dias/1806/05/20/pdfs/GMD-1806-42.pdf#page=1","Abrir facsímil")</f>
        <v>Abrir facsímil</v>
      </c>
      <c r="K2078" s="15" t="s">
        <v>22</v>
      </c>
    </row>
    <row r="2079" spans="1:11" ht="42" customHeight="1">
      <c r="A2079" s="4" t="s">
        <v>4906</v>
      </c>
      <c r="B2079" s="5" t="s">
        <v>4906</v>
      </c>
      <c r="C2079" s="5" t="s">
        <v>69</v>
      </c>
      <c r="D2079" s="5" t="s">
        <v>70</v>
      </c>
      <c r="E2079" s="5" t="s">
        <v>44</v>
      </c>
      <c r="F2079" s="9">
        <v>42</v>
      </c>
      <c r="G2079" s="9">
        <v>414</v>
      </c>
      <c r="H2079" s="5" t="s">
        <v>20</v>
      </c>
      <c r="I2079" s="5" t="s">
        <v>4930</v>
      </c>
      <c r="J2079" s="12" t="str">
        <f>HYPERLINK("https://www.boe.es/gazeta/dias/1806/05/20/pdfs/GMD-1806-42.pdf#page=2","Abrir facsímil")</f>
        <v>Abrir facsímil</v>
      </c>
      <c r="K2079" s="15" t="s">
        <v>22</v>
      </c>
    </row>
    <row r="2080" spans="1:11" ht="42" customHeight="1">
      <c r="A2080" s="4" t="s">
        <v>4906</v>
      </c>
      <c r="B2080" s="5" t="s">
        <v>4906</v>
      </c>
      <c r="C2080" s="5" t="s">
        <v>69</v>
      </c>
      <c r="D2080" s="5" t="s">
        <v>70</v>
      </c>
      <c r="E2080" s="5" t="s">
        <v>702</v>
      </c>
      <c r="F2080" s="9">
        <v>43</v>
      </c>
      <c r="G2080" s="9">
        <v>428</v>
      </c>
      <c r="H2080" s="5" t="s">
        <v>20</v>
      </c>
      <c r="I2080" s="5" t="s">
        <v>4931</v>
      </c>
      <c r="J2080" s="12" t="str">
        <f>HYPERLINK("https://www.boe.es/gazeta/dias/1806/05/23/pdfs/GMD-1806-43.pdf#page=4","Abrir facsímil")</f>
        <v>Abrir facsímil</v>
      </c>
      <c r="K2080" s="15" t="s">
        <v>22</v>
      </c>
    </row>
    <row r="2081" spans="1:11" ht="42" customHeight="1">
      <c r="A2081" s="4" t="s">
        <v>4906</v>
      </c>
      <c r="B2081" s="5" t="s">
        <v>4906</v>
      </c>
      <c r="C2081" s="5" t="s">
        <v>17</v>
      </c>
      <c r="D2081" s="5" t="s">
        <v>18</v>
      </c>
      <c r="E2081" s="5" t="s">
        <v>702</v>
      </c>
      <c r="F2081" s="9">
        <v>43</v>
      </c>
      <c r="G2081" s="9">
        <v>430</v>
      </c>
      <c r="H2081" s="5" t="s">
        <v>20</v>
      </c>
      <c r="I2081" s="5" t="s">
        <v>4932</v>
      </c>
      <c r="J2081" s="12" t="str">
        <f>HYPERLINK("https://www.boe.es/gazeta/dias/1806/05/23/pdfs/GMD-1806-43.pdf#page=6","Abrir facsímil")</f>
        <v>Abrir facsímil</v>
      </c>
      <c r="K2081" s="15" t="s">
        <v>22</v>
      </c>
    </row>
    <row r="2082" spans="1:11" ht="42" customHeight="1">
      <c r="A2082" s="4" t="s">
        <v>4906</v>
      </c>
      <c r="B2082" s="5" t="s">
        <v>4906</v>
      </c>
      <c r="C2082" s="5" t="s">
        <v>69</v>
      </c>
      <c r="D2082" s="5" t="s">
        <v>70</v>
      </c>
      <c r="E2082" s="5" t="s">
        <v>1080</v>
      </c>
      <c r="F2082" s="9">
        <v>49</v>
      </c>
      <c r="G2082" s="9">
        <v>503</v>
      </c>
      <c r="H2082" s="5" t="s">
        <v>20</v>
      </c>
      <c r="I2082" s="5" t="s">
        <v>4933</v>
      </c>
      <c r="J2082" s="12" t="str">
        <f>HYPERLINK("https://www.boe.es/gazeta/dias/1806/06/13/pdfs/GMD-1806-49.pdf#page=3","Abrir facsímil")</f>
        <v>Abrir facsímil</v>
      </c>
      <c r="K2082" s="15" t="s">
        <v>22</v>
      </c>
    </row>
    <row r="2083" spans="1:11" ht="42" customHeight="1">
      <c r="A2083" s="4" t="s">
        <v>4906</v>
      </c>
      <c r="B2083" s="5" t="s">
        <v>4906</v>
      </c>
      <c r="C2083" s="5" t="s">
        <v>69</v>
      </c>
      <c r="D2083" s="5" t="s">
        <v>70</v>
      </c>
      <c r="E2083" s="5" t="s">
        <v>86</v>
      </c>
      <c r="F2083" s="9">
        <v>53</v>
      </c>
      <c r="G2083" s="9">
        <v>549</v>
      </c>
      <c r="H2083" s="5" t="s">
        <v>20</v>
      </c>
      <c r="I2083" s="5" t="s">
        <v>4934</v>
      </c>
      <c r="J2083" s="12" t="str">
        <f>HYPERLINK("https://www.boe.es/gazeta/dias/1806/06/27/pdfs/GMD-1806-53.pdf#page=5","Abrir facsímil")</f>
        <v>Abrir facsímil</v>
      </c>
      <c r="K2083" s="15" t="s">
        <v>22</v>
      </c>
    </row>
    <row r="2084" spans="1:11" ht="42" customHeight="1">
      <c r="A2084" s="4" t="s">
        <v>4906</v>
      </c>
      <c r="B2084" s="5" t="s">
        <v>4906</v>
      </c>
      <c r="C2084" s="5" t="s">
        <v>69</v>
      </c>
      <c r="D2084" s="5" t="s">
        <v>70</v>
      </c>
      <c r="E2084" s="5" t="s">
        <v>306</v>
      </c>
      <c r="F2084" s="9">
        <v>59</v>
      </c>
      <c r="G2084" s="9">
        <v>608</v>
      </c>
      <c r="H2084" s="5" t="s">
        <v>20</v>
      </c>
      <c r="I2084" s="5" t="s">
        <v>4935</v>
      </c>
      <c r="J2084" s="12" t="str">
        <f>HYPERLINK("https://www.boe.es/gazeta/dias/1806/07/18/pdfs/GMD-1806-59.pdf#page=4","Abrir facsímil")</f>
        <v>Abrir facsímil</v>
      </c>
      <c r="K2084" s="15" t="s">
        <v>22</v>
      </c>
    </row>
    <row r="2085" spans="1:11" ht="42" customHeight="1">
      <c r="A2085" s="4" t="s">
        <v>4906</v>
      </c>
      <c r="B2085" s="5" t="s">
        <v>4906</v>
      </c>
      <c r="C2085" s="5" t="s">
        <v>17</v>
      </c>
      <c r="D2085" s="5" t="s">
        <v>18</v>
      </c>
      <c r="E2085" s="5" t="s">
        <v>103</v>
      </c>
      <c r="F2085" s="9">
        <v>61</v>
      </c>
      <c r="G2085" s="9">
        <v>633</v>
      </c>
      <c r="H2085" s="5" t="s">
        <v>20</v>
      </c>
      <c r="I2085" s="5" t="s">
        <v>4936</v>
      </c>
      <c r="J2085" s="12" t="str">
        <f>HYPERLINK("https://www.boe.es/gazeta/dias/1806/07/25/pdfs/GMD-1806-61.pdf#page=5","Abrir facsímil")</f>
        <v>Abrir facsímil</v>
      </c>
      <c r="K2085" s="15" t="s">
        <v>22</v>
      </c>
    </row>
    <row r="2086" spans="1:11" ht="42" customHeight="1">
      <c r="A2086" s="4" t="s">
        <v>4906</v>
      </c>
      <c r="B2086" s="5" t="s">
        <v>4906</v>
      </c>
      <c r="C2086" s="5" t="s">
        <v>69</v>
      </c>
      <c r="D2086" s="5" t="s">
        <v>70</v>
      </c>
      <c r="E2086" s="5" t="s">
        <v>96</v>
      </c>
      <c r="F2086" s="9">
        <v>62</v>
      </c>
      <c r="G2086" s="9">
        <v>646</v>
      </c>
      <c r="H2086" s="5" t="s">
        <v>20</v>
      </c>
      <c r="I2086" s="5" t="s">
        <v>4937</v>
      </c>
      <c r="J2086" s="12" t="str">
        <f>HYPERLINK("https://www.boe.es/gazeta/dias/1806/07/29/pdfs/GMD-1806-62.pdf#page=6","Abrir facsímil")</f>
        <v>Abrir facsímil</v>
      </c>
      <c r="K2086" s="15" t="s">
        <v>22</v>
      </c>
    </row>
    <row r="2087" spans="1:11" ht="42" customHeight="1">
      <c r="A2087" s="4" t="s">
        <v>4906</v>
      </c>
      <c r="B2087" s="5" t="s">
        <v>4906</v>
      </c>
      <c r="C2087" s="5" t="s">
        <v>69</v>
      </c>
      <c r="D2087" s="5" t="s">
        <v>70</v>
      </c>
      <c r="E2087" s="5" t="s">
        <v>911</v>
      </c>
      <c r="F2087" s="9">
        <v>64</v>
      </c>
      <c r="G2087" s="9">
        <v>669</v>
      </c>
      <c r="H2087" s="5" t="s">
        <v>20</v>
      </c>
      <c r="I2087" s="5" t="s">
        <v>4938</v>
      </c>
      <c r="J2087" s="12" t="str">
        <f>HYPERLINK("https://www.boe.es/gazeta/dias/1806/08/05/pdfs/GMD-1806-64.pdf#page=5","Abrir facsímil")</f>
        <v>Abrir facsímil</v>
      </c>
      <c r="K2087" s="15" t="s">
        <v>22</v>
      </c>
    </row>
    <row r="2088" spans="1:11" ht="42" customHeight="1">
      <c r="A2088" s="4" t="s">
        <v>4906</v>
      </c>
      <c r="B2088" s="5" t="s">
        <v>4906</v>
      </c>
      <c r="C2088" s="5" t="s">
        <v>17</v>
      </c>
      <c r="D2088" s="5" t="s">
        <v>18</v>
      </c>
      <c r="E2088" s="5" t="s">
        <v>911</v>
      </c>
      <c r="F2088" s="9">
        <v>64</v>
      </c>
      <c r="G2088" s="9">
        <v>670</v>
      </c>
      <c r="H2088" s="5" t="s">
        <v>20</v>
      </c>
      <c r="I2088" s="5" t="s">
        <v>4939</v>
      </c>
      <c r="J2088" s="12" t="str">
        <f>HYPERLINK("https://www.boe.es/gazeta/dias/1806/08/05/pdfs/GMD-1806-64.pdf#page=6","Abrir facsímil")</f>
        <v>Abrir facsímil</v>
      </c>
      <c r="K2088" s="15" t="s">
        <v>22</v>
      </c>
    </row>
    <row r="2089" spans="1:11" ht="42" customHeight="1">
      <c r="A2089" s="4" t="s">
        <v>4906</v>
      </c>
      <c r="B2089" s="5" t="s">
        <v>4906</v>
      </c>
      <c r="C2089" s="5" t="s">
        <v>17</v>
      </c>
      <c r="D2089" s="5" t="s">
        <v>18</v>
      </c>
      <c r="E2089" s="5" t="s">
        <v>26</v>
      </c>
      <c r="F2089" s="9">
        <v>65</v>
      </c>
      <c r="G2089" s="9">
        <v>678</v>
      </c>
      <c r="H2089" s="5" t="s">
        <v>20</v>
      </c>
      <c r="I2089" s="5" t="s">
        <v>4940</v>
      </c>
      <c r="J2089" s="12" t="str">
        <f>HYPERLINK("https://www.boe.es/gazeta/dias/1806/08/08/pdfs/GMD-1806-65.pdf#page=6","Abrir facsímil")</f>
        <v>Abrir facsímil</v>
      </c>
      <c r="K2089" s="15" t="s">
        <v>22</v>
      </c>
    </row>
    <row r="2090" spans="1:11" ht="42" customHeight="1">
      <c r="A2090" s="4" t="s">
        <v>4906</v>
      </c>
      <c r="B2090" s="5" t="s">
        <v>4906</v>
      </c>
      <c r="C2090" s="5" t="s">
        <v>17</v>
      </c>
      <c r="D2090" s="5" t="s">
        <v>18</v>
      </c>
      <c r="E2090" s="5" t="s">
        <v>79</v>
      </c>
      <c r="F2090" s="9">
        <v>68</v>
      </c>
      <c r="G2090" s="9">
        <v>710</v>
      </c>
      <c r="H2090" s="5" t="s">
        <v>20</v>
      </c>
      <c r="I2090" s="5" t="s">
        <v>4941</v>
      </c>
      <c r="J2090" s="12" t="str">
        <f>HYPERLINK("https://www.boe.es/gazeta/dias/1806/08/19/pdfs/GMD-1806-68.pdf#page=6","Abrir facsímil")</f>
        <v>Abrir facsímil</v>
      </c>
      <c r="K2090" s="15" t="s">
        <v>22</v>
      </c>
    </row>
    <row r="2091" spans="1:11" ht="42" customHeight="1">
      <c r="A2091" s="4" t="s">
        <v>4906</v>
      </c>
      <c r="B2091" s="5" t="s">
        <v>4906</v>
      </c>
      <c r="C2091" s="5" t="s">
        <v>69</v>
      </c>
      <c r="D2091" s="5" t="s">
        <v>70</v>
      </c>
      <c r="E2091" s="5" t="s">
        <v>438</v>
      </c>
      <c r="F2091" s="9">
        <v>70</v>
      </c>
      <c r="G2091" s="9">
        <v>727</v>
      </c>
      <c r="H2091" s="5" t="s">
        <v>20</v>
      </c>
      <c r="I2091" s="5" t="s">
        <v>4942</v>
      </c>
      <c r="J2091" s="12" t="str">
        <f>HYPERLINK("https://www.boe.es/gazeta/dias/1806/08/26/pdfs/GMD-1806-70.pdf#page=3","Abrir facsímil")</f>
        <v>Abrir facsímil</v>
      </c>
      <c r="K2091" s="15" t="s">
        <v>22</v>
      </c>
    </row>
    <row r="2092" spans="1:11" ht="42" customHeight="1">
      <c r="A2092" s="4" t="s">
        <v>4906</v>
      </c>
      <c r="B2092" s="5" t="s">
        <v>4906</v>
      </c>
      <c r="C2092" s="5" t="s">
        <v>42</v>
      </c>
      <c r="D2092" s="5" t="s">
        <v>43</v>
      </c>
      <c r="E2092" s="5" t="s">
        <v>810</v>
      </c>
      <c r="F2092" s="9">
        <v>71</v>
      </c>
      <c r="G2092" s="9">
        <v>736</v>
      </c>
      <c r="H2092" s="5" t="s">
        <v>20</v>
      </c>
      <c r="I2092" s="5" t="s">
        <v>4943</v>
      </c>
      <c r="J2092" s="12" t="str">
        <f>HYPERLINK("https://www.boe.es/gazeta/dias/1806/08/29/pdfs/GMD-1806-71.pdf#page=4","Abrir facsímil")</f>
        <v>Abrir facsímil</v>
      </c>
      <c r="K2092" s="15" t="s">
        <v>22</v>
      </c>
    </row>
    <row r="2093" spans="1:11" ht="42" customHeight="1">
      <c r="A2093" s="4" t="s">
        <v>4906</v>
      </c>
      <c r="B2093" s="5" t="s">
        <v>4906</v>
      </c>
      <c r="C2093" s="5" t="s">
        <v>69</v>
      </c>
      <c r="D2093" s="5" t="s">
        <v>70</v>
      </c>
      <c r="E2093" s="5" t="s">
        <v>810</v>
      </c>
      <c r="F2093" s="9">
        <v>71</v>
      </c>
      <c r="G2093" s="9">
        <v>737</v>
      </c>
      <c r="H2093" s="5" t="s">
        <v>20</v>
      </c>
      <c r="I2093" s="5" t="s">
        <v>4944</v>
      </c>
      <c r="J2093" s="12" t="str">
        <f>HYPERLINK("https://www.boe.es/gazeta/dias/1806/08/29/pdfs/GMD-1806-71.pdf#page=5","Abrir facsímil")</f>
        <v>Abrir facsímil</v>
      </c>
      <c r="K2093" s="15" t="s">
        <v>22</v>
      </c>
    </row>
    <row r="2094" spans="1:11" ht="42" customHeight="1">
      <c r="A2094" s="4" t="s">
        <v>4906</v>
      </c>
      <c r="B2094" s="5" t="s">
        <v>4906</v>
      </c>
      <c r="C2094" s="5" t="s">
        <v>69</v>
      </c>
      <c r="D2094" s="5" t="s">
        <v>70</v>
      </c>
      <c r="E2094" s="5" t="s">
        <v>810</v>
      </c>
      <c r="F2094" s="9">
        <v>71</v>
      </c>
      <c r="G2094" s="9">
        <v>738</v>
      </c>
      <c r="H2094" s="5" t="s">
        <v>20</v>
      </c>
      <c r="I2094" s="5" t="s">
        <v>4945</v>
      </c>
      <c r="J2094" s="12" t="str">
        <f>HYPERLINK("https://www.boe.es/gazeta/dias/1806/08/29/pdfs/GMD-1806-71.pdf#page=6","Abrir facsímil")</f>
        <v>Abrir facsímil</v>
      </c>
      <c r="K2094" s="15" t="s">
        <v>22</v>
      </c>
    </row>
    <row r="2095" spans="1:11" ht="42" customHeight="1">
      <c r="A2095" s="4" t="s">
        <v>4906</v>
      </c>
      <c r="B2095" s="5" t="s">
        <v>4906</v>
      </c>
      <c r="C2095" s="5" t="s">
        <v>31</v>
      </c>
      <c r="D2095" s="5" t="s">
        <v>32</v>
      </c>
      <c r="E2095" s="5" t="s">
        <v>93</v>
      </c>
      <c r="F2095" s="9">
        <v>72</v>
      </c>
      <c r="G2095" s="9">
        <v>745</v>
      </c>
      <c r="H2095" s="5" t="s">
        <v>20</v>
      </c>
      <c r="I2095" s="5" t="s">
        <v>4946</v>
      </c>
      <c r="J2095" s="12" t="str">
        <f>HYPERLINK("https://www.boe.es/gazeta/dias/1806/09/02/pdfs/GMD-1806-72.pdf#page=5","Abrir facsímil")</f>
        <v>Abrir facsímil</v>
      </c>
      <c r="K2095" s="15" t="s">
        <v>22</v>
      </c>
    </row>
    <row r="2096" spans="1:11" ht="42" customHeight="1">
      <c r="A2096" s="4" t="s">
        <v>4906</v>
      </c>
      <c r="B2096" s="5" t="s">
        <v>4906</v>
      </c>
      <c r="C2096" s="5" t="s">
        <v>31</v>
      </c>
      <c r="D2096" s="5" t="s">
        <v>32</v>
      </c>
      <c r="E2096" s="5" t="s">
        <v>213</v>
      </c>
      <c r="F2096" s="9">
        <v>73</v>
      </c>
      <c r="G2096" s="9">
        <v>755</v>
      </c>
      <c r="H2096" s="5" t="s">
        <v>20</v>
      </c>
      <c r="I2096" s="5" t="s">
        <v>4947</v>
      </c>
      <c r="J2096" s="12" t="str">
        <f>HYPERLINK("https://www.boe.es/gazeta/dias/1806/09/05/pdfs/GMD-1806-73.pdf#page=3","Abrir facsímil")</f>
        <v>Abrir facsímil</v>
      </c>
      <c r="K2096" s="15" t="s">
        <v>22</v>
      </c>
    </row>
    <row r="2097" spans="1:11" ht="42" customHeight="1">
      <c r="A2097" s="4" t="s">
        <v>4906</v>
      </c>
      <c r="B2097" s="5" t="s">
        <v>4906</v>
      </c>
      <c r="C2097" s="5" t="s">
        <v>69</v>
      </c>
      <c r="D2097" s="5" t="s">
        <v>70</v>
      </c>
      <c r="E2097" s="5" t="s">
        <v>434</v>
      </c>
      <c r="F2097" s="9">
        <v>74</v>
      </c>
      <c r="G2097" s="9">
        <v>764</v>
      </c>
      <c r="H2097" s="5" t="s">
        <v>20</v>
      </c>
      <c r="I2097" s="5" t="s">
        <v>4948</v>
      </c>
      <c r="J2097" s="12" t="str">
        <f>HYPERLINK("https://www.boe.es/gazeta/dias/1806/09/09/pdfs/GMD-1806-74.pdf#page=4","Abrir facsímil")</f>
        <v>Abrir facsímil</v>
      </c>
      <c r="K2097" s="15" t="s">
        <v>22</v>
      </c>
    </row>
    <row r="2098" spans="1:11" ht="42" customHeight="1">
      <c r="A2098" s="4" t="s">
        <v>4906</v>
      </c>
      <c r="B2098" s="5" t="s">
        <v>4906</v>
      </c>
      <c r="C2098" s="5" t="s">
        <v>31</v>
      </c>
      <c r="D2098" s="5" t="s">
        <v>32</v>
      </c>
      <c r="E2098" s="5" t="s">
        <v>1005</v>
      </c>
      <c r="F2098" s="9">
        <v>76</v>
      </c>
      <c r="G2098" s="9">
        <v>785</v>
      </c>
      <c r="H2098" s="5" t="s">
        <v>20</v>
      </c>
      <c r="I2098" s="5" t="s">
        <v>4949</v>
      </c>
      <c r="J2098" s="12" t="str">
        <f>HYPERLINK("https://www.boe.es/gazeta/dias/1806/09/16/pdfs/GMD-1806-76.pdf#page=5","Abrir facsímil")</f>
        <v>Abrir facsímil</v>
      </c>
      <c r="K2098" s="15" t="s">
        <v>22</v>
      </c>
    </row>
    <row r="2099" spans="1:11" ht="42" customHeight="1">
      <c r="A2099" s="4" t="s">
        <v>4906</v>
      </c>
      <c r="B2099" s="5" t="s">
        <v>4906</v>
      </c>
      <c r="C2099" s="5" t="s">
        <v>69</v>
      </c>
      <c r="D2099" s="5" t="s">
        <v>70</v>
      </c>
      <c r="E2099" s="5" t="s">
        <v>148</v>
      </c>
      <c r="F2099" s="9">
        <v>78</v>
      </c>
      <c r="G2099" s="9">
        <v>800</v>
      </c>
      <c r="H2099" s="5" t="s">
        <v>20</v>
      </c>
      <c r="I2099" s="5" t="s">
        <v>4950</v>
      </c>
      <c r="J2099" s="12" t="str">
        <f>HYPERLINK("https://www.boe.es/gazeta/dias/1806/09/23/pdfs/GMD-1806-78.pdf#page=4","Abrir facsímil")</f>
        <v>Abrir facsímil</v>
      </c>
      <c r="K2099" s="15" t="s">
        <v>22</v>
      </c>
    </row>
    <row r="2100" spans="1:11" ht="42" customHeight="1">
      <c r="A2100" s="4" t="s">
        <v>4906</v>
      </c>
      <c r="B2100" s="5" t="s">
        <v>4906</v>
      </c>
      <c r="C2100" s="5" t="s">
        <v>31</v>
      </c>
      <c r="D2100" s="5" t="s">
        <v>32</v>
      </c>
      <c r="E2100" s="5" t="s">
        <v>144</v>
      </c>
      <c r="F2100" s="9">
        <v>79</v>
      </c>
      <c r="G2100" s="9">
        <v>815</v>
      </c>
      <c r="H2100" s="5" t="s">
        <v>20</v>
      </c>
      <c r="I2100" s="5" t="s">
        <v>4951</v>
      </c>
      <c r="J2100" s="12" t="str">
        <f>HYPERLINK("https://www.boe.es/gazeta/dias/1806/09/26/pdfs/GMD-1806-79.pdf#page=7","Abrir facsímil")</f>
        <v>Abrir facsímil</v>
      </c>
      <c r="K2100" s="15" t="s">
        <v>22</v>
      </c>
    </row>
    <row r="2101" spans="1:11" ht="42" customHeight="1">
      <c r="A2101" s="4" t="s">
        <v>4906</v>
      </c>
      <c r="B2101" s="5" t="s">
        <v>4906</v>
      </c>
      <c r="C2101" s="5" t="s">
        <v>69</v>
      </c>
      <c r="D2101" s="5" t="s">
        <v>70</v>
      </c>
      <c r="E2101" s="5" t="s">
        <v>405</v>
      </c>
      <c r="F2101" s="9">
        <v>80</v>
      </c>
      <c r="G2101" s="9">
        <v>825</v>
      </c>
      <c r="H2101" s="5" t="s">
        <v>20</v>
      </c>
      <c r="I2101" s="5" t="s">
        <v>4952</v>
      </c>
      <c r="J2101" s="12" t="str">
        <f>HYPERLINK("https://www.boe.es/gazeta/dias/1806/09/30/pdfs/GMD-1806-80.pdf#page=5","Abrir facsímil")</f>
        <v>Abrir facsímil</v>
      </c>
      <c r="K2101" s="15" t="s">
        <v>22</v>
      </c>
    </row>
    <row r="2102" spans="1:11" ht="42" customHeight="1">
      <c r="A2102" s="4" t="s">
        <v>4906</v>
      </c>
      <c r="B2102" s="5" t="s">
        <v>4906</v>
      </c>
      <c r="C2102" s="5" t="s">
        <v>69</v>
      </c>
      <c r="D2102" s="5" t="s">
        <v>70</v>
      </c>
      <c r="E2102" s="5" t="s">
        <v>127</v>
      </c>
      <c r="F2102" s="9">
        <v>81</v>
      </c>
      <c r="G2102" s="9">
        <v>836</v>
      </c>
      <c r="H2102" s="5" t="s">
        <v>20</v>
      </c>
      <c r="I2102" s="5" t="s">
        <v>4953</v>
      </c>
      <c r="J2102" s="12" t="str">
        <f>HYPERLINK("https://www.boe.es/gazeta/dias/1806/10/03/pdfs/GMD-1806-81.pdf#page=4","Abrir facsímil")</f>
        <v>Abrir facsímil</v>
      </c>
      <c r="K2102" s="15" t="s">
        <v>22</v>
      </c>
    </row>
    <row r="2103" spans="1:11" ht="42" customHeight="1">
      <c r="A2103" s="4" t="s">
        <v>4906</v>
      </c>
      <c r="B2103" s="5" t="s">
        <v>4906</v>
      </c>
      <c r="C2103" s="5" t="s">
        <v>17</v>
      </c>
      <c r="D2103" s="5" t="s">
        <v>18</v>
      </c>
      <c r="E2103" s="5" t="s">
        <v>33</v>
      </c>
      <c r="F2103" s="9">
        <v>82</v>
      </c>
      <c r="G2103" s="9">
        <v>849</v>
      </c>
      <c r="H2103" s="5" t="s">
        <v>20</v>
      </c>
      <c r="I2103" s="5" t="s">
        <v>4954</v>
      </c>
      <c r="J2103" s="12" t="str">
        <f>HYPERLINK("https://www.boe.es/gazeta/dias/1806/10/07/pdfs/GMD-1806-82.pdf#page=9","Abrir facsímil")</f>
        <v>Abrir facsímil</v>
      </c>
      <c r="K2103" s="15" t="s">
        <v>22</v>
      </c>
    </row>
    <row r="2104" spans="1:11" ht="42" customHeight="1">
      <c r="A2104" s="4" t="s">
        <v>4906</v>
      </c>
      <c r="B2104" s="5" t="s">
        <v>4906</v>
      </c>
      <c r="C2104" s="5" t="s">
        <v>42</v>
      </c>
      <c r="D2104" s="5" t="s">
        <v>43</v>
      </c>
      <c r="E2104" s="5" t="s">
        <v>1568</v>
      </c>
      <c r="F2104" s="9">
        <v>84</v>
      </c>
      <c r="G2104" s="9">
        <v>866</v>
      </c>
      <c r="H2104" s="5" t="s">
        <v>20</v>
      </c>
      <c r="I2104" s="5" t="s">
        <v>4955</v>
      </c>
      <c r="J2104" s="12" t="str">
        <f>HYPERLINK("https://www.boe.es/gazeta/dias/1806/10/14/pdfs/GMD-1806-84.pdf#page=2","Abrir facsímil")</f>
        <v>Abrir facsímil</v>
      </c>
      <c r="K2104" s="15" t="s">
        <v>22</v>
      </c>
    </row>
    <row r="2105" spans="1:11" ht="42" customHeight="1">
      <c r="A2105" s="4" t="s">
        <v>4906</v>
      </c>
      <c r="B2105" s="5" t="s">
        <v>4906</v>
      </c>
      <c r="C2105" s="5" t="s">
        <v>69</v>
      </c>
      <c r="D2105" s="5" t="s">
        <v>70</v>
      </c>
      <c r="E2105" s="5" t="s">
        <v>1568</v>
      </c>
      <c r="F2105" s="9">
        <v>84</v>
      </c>
      <c r="G2105" s="9">
        <v>867</v>
      </c>
      <c r="H2105" s="5" t="s">
        <v>20</v>
      </c>
      <c r="I2105" s="5" t="s">
        <v>4956</v>
      </c>
      <c r="J2105" s="12" t="str">
        <f>HYPERLINK("https://www.boe.es/gazeta/dias/1806/10/14/pdfs/GMD-1806-84.pdf#page=3","Abrir facsímil")</f>
        <v>Abrir facsímil</v>
      </c>
      <c r="K2105" s="15" t="s">
        <v>22</v>
      </c>
    </row>
    <row r="2106" spans="1:11" ht="42" customHeight="1">
      <c r="A2106" s="4" t="s">
        <v>4906</v>
      </c>
      <c r="B2106" s="5" t="s">
        <v>4906</v>
      </c>
      <c r="C2106" s="5" t="s">
        <v>69</v>
      </c>
      <c r="D2106" s="5" t="s">
        <v>70</v>
      </c>
      <c r="E2106" s="5" t="s">
        <v>455</v>
      </c>
      <c r="F2106" s="9">
        <v>85</v>
      </c>
      <c r="G2106" s="9">
        <v>877</v>
      </c>
      <c r="H2106" s="5" t="s">
        <v>20</v>
      </c>
      <c r="I2106" s="5" t="s">
        <v>4957</v>
      </c>
      <c r="J2106" s="12" t="str">
        <f>HYPERLINK("https://www.boe.es/gazeta/dias/1806/10/17/pdfs/GMD-1806-85.pdf#page=5","Abrir facsímil")</f>
        <v>Abrir facsímil</v>
      </c>
      <c r="K2106" s="15" t="s">
        <v>22</v>
      </c>
    </row>
    <row r="2107" spans="1:11" ht="42" customHeight="1">
      <c r="A2107" s="4" t="s">
        <v>4906</v>
      </c>
      <c r="B2107" s="5" t="s">
        <v>4906</v>
      </c>
      <c r="C2107" s="5" t="s">
        <v>42</v>
      </c>
      <c r="D2107" s="5" t="s">
        <v>43</v>
      </c>
      <c r="E2107" s="5" t="s">
        <v>367</v>
      </c>
      <c r="F2107" s="9">
        <v>87</v>
      </c>
      <c r="G2107" s="9">
        <v>896</v>
      </c>
      <c r="H2107" s="5" t="s">
        <v>20</v>
      </c>
      <c r="I2107" s="5" t="s">
        <v>4958</v>
      </c>
      <c r="J2107" s="12" t="str">
        <f>HYPERLINK("https://www.boe.es/gazeta/dias/1806/10/24/pdfs/GMD-1806-87.pdf#page=4","Abrir facsímil")</f>
        <v>Abrir facsímil</v>
      </c>
      <c r="K2107" s="15" t="s">
        <v>22</v>
      </c>
    </row>
    <row r="2108" spans="1:11" ht="42" customHeight="1">
      <c r="A2108" s="4" t="s">
        <v>4906</v>
      </c>
      <c r="B2108" s="5" t="s">
        <v>4906</v>
      </c>
      <c r="C2108" s="5" t="s">
        <v>69</v>
      </c>
      <c r="D2108" s="5" t="s">
        <v>70</v>
      </c>
      <c r="E2108" s="5" t="s">
        <v>348</v>
      </c>
      <c r="F2108" s="9">
        <v>88</v>
      </c>
      <c r="G2108" s="9">
        <v>908</v>
      </c>
      <c r="H2108" s="5" t="s">
        <v>20</v>
      </c>
      <c r="I2108" s="5" t="s">
        <v>4959</v>
      </c>
      <c r="J2108" s="12" t="str">
        <f>HYPERLINK("https://www.boe.es/gazeta/dias/1806/10/28/pdfs/GMD-1806-88.pdf#page=4","Abrir facsímil")</f>
        <v>Abrir facsímil</v>
      </c>
      <c r="K2108" s="15" t="s">
        <v>22</v>
      </c>
    </row>
    <row r="2109" spans="1:11" ht="42" customHeight="1">
      <c r="A2109" s="4" t="s">
        <v>4906</v>
      </c>
      <c r="B2109" s="5" t="s">
        <v>4906</v>
      </c>
      <c r="C2109" s="5" t="s">
        <v>31</v>
      </c>
      <c r="D2109" s="5" t="s">
        <v>32</v>
      </c>
      <c r="E2109" s="5" t="s">
        <v>396</v>
      </c>
      <c r="F2109" s="9">
        <v>91</v>
      </c>
      <c r="G2109" s="9">
        <v>942</v>
      </c>
      <c r="H2109" s="5" t="s">
        <v>20</v>
      </c>
      <c r="I2109" s="5" t="s">
        <v>4960</v>
      </c>
      <c r="J2109" s="12" t="str">
        <f>HYPERLINK("https://www.boe.es/gazeta/dias/1806/11/07/pdfs/GMD-1806-91.pdf#page=6","Abrir facsímil")</f>
        <v>Abrir facsímil</v>
      </c>
      <c r="K2109" s="15" t="s">
        <v>22</v>
      </c>
    </row>
    <row r="2110" spans="1:11" ht="42" customHeight="1">
      <c r="A2110" s="4" t="s">
        <v>4906</v>
      </c>
      <c r="B2110" s="5" t="s">
        <v>4906</v>
      </c>
      <c r="C2110" s="5" t="s">
        <v>42</v>
      </c>
      <c r="D2110" s="5" t="s">
        <v>43</v>
      </c>
      <c r="E2110" s="5" t="s">
        <v>396</v>
      </c>
      <c r="F2110" s="9">
        <v>91</v>
      </c>
      <c r="G2110" s="9">
        <v>943</v>
      </c>
      <c r="H2110" s="5" t="s">
        <v>20</v>
      </c>
      <c r="I2110" s="5" t="s">
        <v>4961</v>
      </c>
      <c r="J2110" s="12" t="str">
        <f>HYPERLINK("https://www.boe.es/gazeta/dias/1806/11/07/pdfs/GMD-1806-91.pdf#page=7","Abrir facsímil")</f>
        <v>Abrir facsímil</v>
      </c>
      <c r="K2110" s="15" t="s">
        <v>22</v>
      </c>
    </row>
    <row r="2111" spans="1:11" ht="42" customHeight="1">
      <c r="A2111" s="4" t="s">
        <v>4906</v>
      </c>
      <c r="B2111" s="5" t="s">
        <v>4906</v>
      </c>
      <c r="C2111" s="5" t="s">
        <v>31</v>
      </c>
      <c r="D2111" s="5" t="s">
        <v>32</v>
      </c>
      <c r="E2111" s="5" t="s">
        <v>570</v>
      </c>
      <c r="F2111" s="9">
        <v>93</v>
      </c>
      <c r="G2111" s="9">
        <v>966</v>
      </c>
      <c r="H2111" s="5" t="s">
        <v>20</v>
      </c>
      <c r="I2111" s="5" t="s">
        <v>4962</v>
      </c>
      <c r="J2111" s="12" t="str">
        <f>HYPERLINK("https://www.boe.es/gazeta/dias/1806/11/14/pdfs/GMD-1806-93.pdf#page=2","Abrir facsímil")</f>
        <v>Abrir facsímil</v>
      </c>
      <c r="K2111" s="15" t="s">
        <v>22</v>
      </c>
    </row>
    <row r="2112" spans="1:11" ht="42" customHeight="1">
      <c r="A2112" s="4" t="s">
        <v>4906</v>
      </c>
      <c r="B2112" s="5" t="s">
        <v>4906</v>
      </c>
      <c r="C2112" s="5" t="s">
        <v>69</v>
      </c>
      <c r="D2112" s="5" t="s">
        <v>70</v>
      </c>
      <c r="E2112" s="5" t="s">
        <v>297</v>
      </c>
      <c r="F2112" s="9">
        <v>94</v>
      </c>
      <c r="G2112" s="9">
        <v>984</v>
      </c>
      <c r="H2112" s="5" t="s">
        <v>20</v>
      </c>
      <c r="I2112" s="5" t="s">
        <v>4963</v>
      </c>
      <c r="J2112" s="12" t="str">
        <f>HYPERLINK("https://www.boe.es/gazeta/dias/1806/11/18/pdfs/GMD-1806-94.pdf#page=4","Abrir facsímil")</f>
        <v>Abrir facsímil</v>
      </c>
      <c r="K2112" s="15" t="s">
        <v>22</v>
      </c>
    </row>
    <row r="2113" spans="1:11" ht="42" customHeight="1">
      <c r="A2113" s="4" t="s">
        <v>4906</v>
      </c>
      <c r="B2113" s="5" t="s">
        <v>4906</v>
      </c>
      <c r="C2113" s="5" t="s">
        <v>42</v>
      </c>
      <c r="D2113" s="5" t="s">
        <v>43</v>
      </c>
      <c r="E2113" s="5" t="s">
        <v>680</v>
      </c>
      <c r="F2113" s="9">
        <v>97</v>
      </c>
      <c r="G2113" s="9">
        <v>1022</v>
      </c>
      <c r="H2113" s="5" t="s">
        <v>20</v>
      </c>
      <c r="I2113" s="5" t="s">
        <v>4964</v>
      </c>
      <c r="J2113" s="12" t="str">
        <f>HYPERLINK("https://www.boe.es/gazeta/dias/1806/11/28/pdfs/GMD-1806-97.pdf#page=2","Abrir facsímil")</f>
        <v>Abrir facsímil</v>
      </c>
      <c r="K2113" s="15" t="s">
        <v>22</v>
      </c>
    </row>
    <row r="2114" spans="1:11" ht="42" customHeight="1">
      <c r="A2114" s="4" t="s">
        <v>4906</v>
      </c>
      <c r="B2114" s="5" t="s">
        <v>4906</v>
      </c>
      <c r="C2114" s="5" t="s">
        <v>36</v>
      </c>
      <c r="D2114" s="5" t="s">
        <v>37</v>
      </c>
      <c r="E2114" s="5" t="s">
        <v>312</v>
      </c>
      <c r="F2114" s="9">
        <v>100</v>
      </c>
      <c r="G2114" s="9">
        <v>1068</v>
      </c>
      <c r="H2114" s="5" t="s">
        <v>20</v>
      </c>
      <c r="I2114" s="5" t="s">
        <v>4965</v>
      </c>
      <c r="J2114" s="12" t="str">
        <f>HYPERLINK("https://www.boe.es/gazeta/dias/1806/12/09/pdfs/GMD-1806-100.pdf#page=12","Abrir facsímil")</f>
        <v>Abrir facsímil</v>
      </c>
      <c r="K2114" s="15" t="s">
        <v>22</v>
      </c>
    </row>
    <row r="2115" spans="1:11" ht="42" customHeight="1">
      <c r="A2115" s="4" t="s">
        <v>4906</v>
      </c>
      <c r="B2115" s="5" t="s">
        <v>4906</v>
      </c>
      <c r="C2115" s="5" t="s">
        <v>31</v>
      </c>
      <c r="D2115" s="5" t="s">
        <v>32</v>
      </c>
      <c r="E2115" s="5" t="s">
        <v>327</v>
      </c>
      <c r="F2115" s="9">
        <v>104</v>
      </c>
      <c r="G2115" s="9">
        <v>1106</v>
      </c>
      <c r="H2115" s="5" t="s">
        <v>20</v>
      </c>
      <c r="I2115" s="5" t="s">
        <v>4966</v>
      </c>
      <c r="J2115" s="12" t="str">
        <f>HYPERLINK("https://www.boe.es/gazeta/dias/1806/12/23/pdfs/GMD-1806-104.pdf#page=6","Abrir facsímil")</f>
        <v>Abrir facsímil</v>
      </c>
      <c r="K2115" s="15" t="s">
        <v>22</v>
      </c>
    </row>
    <row r="2116" spans="1:11" ht="42" customHeight="1">
      <c r="A2116" s="4" t="s">
        <v>4906</v>
      </c>
      <c r="B2116" s="5" t="s">
        <v>4906</v>
      </c>
      <c r="C2116" s="5" t="s">
        <v>69</v>
      </c>
      <c r="D2116" s="5" t="s">
        <v>70</v>
      </c>
      <c r="E2116" s="5" t="s">
        <v>327</v>
      </c>
      <c r="F2116" s="9">
        <v>104</v>
      </c>
      <c r="G2116" s="9">
        <v>1107</v>
      </c>
      <c r="H2116" s="5" t="s">
        <v>20</v>
      </c>
      <c r="I2116" s="5" t="s">
        <v>4967</v>
      </c>
      <c r="J2116" s="12" t="str">
        <f>HYPERLINK("https://www.boe.es/gazeta/dias/1806/12/23/pdfs/GMD-1806-104.pdf#page=7","Abrir facsímil")</f>
        <v>Abrir facsímil</v>
      </c>
      <c r="K2116" s="15" t="s">
        <v>22</v>
      </c>
    </row>
    <row r="2117" spans="1:11" ht="42" customHeight="1">
      <c r="A2117" s="4" t="s">
        <v>4906</v>
      </c>
      <c r="B2117" s="5" t="s">
        <v>4906</v>
      </c>
      <c r="C2117" s="5" t="s">
        <v>31</v>
      </c>
      <c r="D2117" s="5" t="s">
        <v>32</v>
      </c>
      <c r="E2117" s="5" t="s">
        <v>327</v>
      </c>
      <c r="F2117" s="9">
        <v>104</v>
      </c>
      <c r="G2117" s="9">
        <v>1108</v>
      </c>
      <c r="H2117" s="5" t="s">
        <v>20</v>
      </c>
      <c r="I2117" s="5" t="s">
        <v>4968</v>
      </c>
      <c r="J2117" s="12" t="str">
        <f>HYPERLINK("https://www.boe.es/gazeta/dias/1806/12/23/pdfs/GMD-1806-104.pdf#page=8","Abrir facsímil")</f>
        <v>Abrir facsímil</v>
      </c>
      <c r="K2117" s="15" t="s">
        <v>22</v>
      </c>
    </row>
    <row r="2118" spans="1:11" ht="42" customHeight="1">
      <c r="A2118" s="4" t="s">
        <v>4906</v>
      </c>
      <c r="B2118" s="5" t="s">
        <v>4906</v>
      </c>
      <c r="C2118" s="5" t="s">
        <v>69</v>
      </c>
      <c r="D2118" s="5" t="s">
        <v>70</v>
      </c>
      <c r="E2118" s="5" t="s">
        <v>327</v>
      </c>
      <c r="F2118" s="9">
        <v>104</v>
      </c>
      <c r="G2118" s="9">
        <v>1109</v>
      </c>
      <c r="H2118" s="5" t="s">
        <v>20</v>
      </c>
      <c r="I2118" s="5" t="s">
        <v>4969</v>
      </c>
      <c r="J2118" s="12" t="str">
        <f>HYPERLINK("https://www.boe.es/gazeta/dias/1806/12/23/pdfs/GMD-1806-104.pdf#page=9","Abrir facsímil")</f>
        <v>Abrir facsímil</v>
      </c>
      <c r="K2118" s="15" t="s">
        <v>22</v>
      </c>
    </row>
    <row r="2119" spans="1:11" ht="42" customHeight="1">
      <c r="A2119" s="4" t="s">
        <v>4906</v>
      </c>
      <c r="B2119" s="5" t="s">
        <v>4906</v>
      </c>
      <c r="C2119" s="5" t="s">
        <v>31</v>
      </c>
      <c r="D2119" s="5" t="s">
        <v>32</v>
      </c>
      <c r="E2119" s="5" t="s">
        <v>245</v>
      </c>
      <c r="F2119" s="9">
        <v>106</v>
      </c>
      <c r="G2119" s="9">
        <v>1121</v>
      </c>
      <c r="H2119" s="5" t="s">
        <v>20</v>
      </c>
      <c r="I2119" s="5" t="s">
        <v>4970</v>
      </c>
      <c r="J2119" s="12" t="str">
        <f>HYPERLINK("https://www.boe.es/gazeta/dias/1806/12/26/pdfs/GMD-1806-106.pdf#page=5","Abrir facsímil")</f>
        <v>Abrir facsímil</v>
      </c>
      <c r="K2119" s="15" t="s">
        <v>22</v>
      </c>
    </row>
    <row r="2120" spans="1:11" ht="42" customHeight="1">
      <c r="A2120" s="4" t="s">
        <v>4971</v>
      </c>
      <c r="B2120" s="5" t="s">
        <v>4971</v>
      </c>
      <c r="C2120" s="5" t="s">
        <v>31</v>
      </c>
      <c r="D2120" s="5" t="s">
        <v>32</v>
      </c>
      <c r="E2120" s="5" t="s">
        <v>172</v>
      </c>
      <c r="F2120" s="9">
        <v>17</v>
      </c>
      <c r="G2120" s="9">
        <v>149</v>
      </c>
      <c r="H2120" s="5" t="s">
        <v>20</v>
      </c>
      <c r="I2120" s="5" t="s">
        <v>4972</v>
      </c>
      <c r="J2120" s="12" t="str">
        <f>HYPERLINK("https://www.boe.es/gazeta/dias/1806/02/21/pdfs/GMD-1806-17.pdf#page=5","Abrir facsímil")</f>
        <v>Abrir facsímil</v>
      </c>
      <c r="K2120" s="15" t="s">
        <v>22</v>
      </c>
    </row>
    <row r="2121" spans="1:11" ht="42" customHeight="1">
      <c r="A2121" s="4" t="s">
        <v>4973</v>
      </c>
      <c r="B2121" s="5" t="s">
        <v>4974</v>
      </c>
      <c r="C2121" s="5" t="s">
        <v>42</v>
      </c>
      <c r="D2121" s="5" t="s">
        <v>43</v>
      </c>
      <c r="E2121" s="5" t="s">
        <v>680</v>
      </c>
      <c r="F2121" s="9">
        <v>97</v>
      </c>
      <c r="G2121" s="9">
        <v>1022</v>
      </c>
      <c r="H2121" s="5" t="s">
        <v>20</v>
      </c>
      <c r="I2121" s="5" t="s">
        <v>4975</v>
      </c>
      <c r="J2121" s="12" t="str">
        <f>HYPERLINK("https://www.boe.es/gazeta/dias/1806/11/28/pdfs/GMD-1806-97.pdf#page=2","Abrir facsímil")</f>
        <v>Abrir facsímil</v>
      </c>
      <c r="K2121" s="15" t="s">
        <v>22</v>
      </c>
    </row>
    <row r="2122" spans="1:11" ht="42" customHeight="1">
      <c r="A2122" s="4" t="s">
        <v>4976</v>
      </c>
      <c r="B2122" s="5" t="s">
        <v>4976</v>
      </c>
      <c r="C2122" s="5" t="s">
        <v>69</v>
      </c>
      <c r="D2122" s="5" t="s">
        <v>70</v>
      </c>
      <c r="E2122" s="5" t="s">
        <v>59</v>
      </c>
      <c r="F2122" s="9">
        <v>21</v>
      </c>
      <c r="G2122" s="9">
        <v>192</v>
      </c>
      <c r="H2122" s="5" t="s">
        <v>20</v>
      </c>
      <c r="I2122" s="5" t="s">
        <v>4977</v>
      </c>
      <c r="J2122" s="12" t="str">
        <f>HYPERLINK("https://www.boe.es/gazeta/dias/1806/03/07/pdfs/GMD-1806-21.pdf#page=4","Abrir facsímil")</f>
        <v>Abrir facsímil</v>
      </c>
      <c r="K2122" s="15" t="s">
        <v>22</v>
      </c>
    </row>
    <row r="2123" spans="1:11" ht="42" customHeight="1">
      <c r="A2123" s="4" t="s">
        <v>4978</v>
      </c>
      <c r="B2123" s="5" t="s">
        <v>4979</v>
      </c>
      <c r="C2123" s="5" t="s">
        <v>31</v>
      </c>
      <c r="D2123" s="5" t="s">
        <v>32</v>
      </c>
      <c r="E2123" s="5" t="s">
        <v>121</v>
      </c>
      <c r="F2123" s="9">
        <v>19</v>
      </c>
      <c r="G2123" s="9">
        <v>171</v>
      </c>
      <c r="H2123" s="5" t="s">
        <v>20</v>
      </c>
      <c r="I2123" s="5" t="s">
        <v>4980</v>
      </c>
      <c r="J2123" s="12" t="str">
        <f>HYPERLINK("https://www.boe.es/gazeta/dias/1806/02/28/pdfs/GMD-1806-19.pdf#page=7","Abrir facsímil")</f>
        <v>Abrir facsímil</v>
      </c>
      <c r="K2123" s="15" t="s">
        <v>22</v>
      </c>
    </row>
    <row r="2124" spans="1:11" ht="42" customHeight="1">
      <c r="A2124" s="4" t="s">
        <v>4981</v>
      </c>
      <c r="B2124" s="5" t="s">
        <v>4982</v>
      </c>
      <c r="C2124" s="5" t="s">
        <v>31</v>
      </c>
      <c r="D2124" s="5" t="s">
        <v>32</v>
      </c>
      <c r="E2124" s="5" t="s">
        <v>202</v>
      </c>
      <c r="F2124" s="9">
        <v>30</v>
      </c>
      <c r="G2124" s="9">
        <v>295</v>
      </c>
      <c r="H2124" s="5" t="s">
        <v>20</v>
      </c>
      <c r="I2124" s="5" t="s">
        <v>4983</v>
      </c>
      <c r="J2124" s="12" t="str">
        <f>HYPERLINK("https://www.boe.es/gazeta/dias/1806/04/08/pdfs/GMD-1806-30.pdf#page=7","Abrir facsímil")</f>
        <v>Abrir facsímil</v>
      </c>
      <c r="K2124" s="15" t="s">
        <v>22</v>
      </c>
    </row>
    <row r="2125" spans="1:11" ht="42" customHeight="1">
      <c r="A2125" s="4" t="s">
        <v>4984</v>
      </c>
      <c r="B2125" s="5" t="s">
        <v>4984</v>
      </c>
      <c r="C2125" s="5" t="s">
        <v>69</v>
      </c>
      <c r="D2125" s="5" t="s">
        <v>70</v>
      </c>
      <c r="E2125" s="5" t="s">
        <v>238</v>
      </c>
      <c r="F2125" s="9">
        <v>18</v>
      </c>
      <c r="G2125" s="9">
        <v>154</v>
      </c>
      <c r="H2125" s="5" t="s">
        <v>20</v>
      </c>
      <c r="I2125" s="5" t="s">
        <v>4985</v>
      </c>
      <c r="J2125" s="12" t="str">
        <f>HYPERLINK("https://www.boe.es/gazeta/dias/1806/02/25/pdfs/GMD-1806-18.pdf#page=2","Abrir facsímil")</f>
        <v>Abrir facsímil</v>
      </c>
      <c r="K2125" s="15" t="s">
        <v>22</v>
      </c>
    </row>
    <row r="2126" spans="1:11" ht="42" customHeight="1">
      <c r="A2126" s="4" t="s">
        <v>4986</v>
      </c>
      <c r="B2126" s="5" t="s">
        <v>4986</v>
      </c>
      <c r="C2126" s="5" t="s">
        <v>17</v>
      </c>
      <c r="D2126" s="5" t="s">
        <v>18</v>
      </c>
      <c r="E2126" s="5" t="s">
        <v>256</v>
      </c>
      <c r="F2126" s="9">
        <v>9</v>
      </c>
      <c r="G2126" s="9">
        <v>84</v>
      </c>
      <c r="H2126" s="5" t="s">
        <v>20</v>
      </c>
      <c r="I2126" s="5" t="s">
        <v>4987</v>
      </c>
      <c r="J2126" s="12" t="str">
        <f>HYPERLINK("https://www.boe.es/gazeta/dias/1806/01/25/pdfs/GMD-1806-9.pdf#page=8","Abrir facsímil")</f>
        <v>Abrir facsímil</v>
      </c>
      <c r="K2126" s="15" t="s">
        <v>22</v>
      </c>
    </row>
    <row r="2127" spans="1:11" ht="42" customHeight="1">
      <c r="A2127" s="4" t="s">
        <v>4988</v>
      </c>
      <c r="B2127" s="5" t="s">
        <v>4988</v>
      </c>
      <c r="C2127" s="5" t="s">
        <v>31</v>
      </c>
      <c r="D2127" s="5" t="s">
        <v>32</v>
      </c>
      <c r="E2127" s="5" t="s">
        <v>191</v>
      </c>
      <c r="F2127" s="9">
        <v>103</v>
      </c>
      <c r="G2127" s="9">
        <v>1089</v>
      </c>
      <c r="H2127" s="5" t="s">
        <v>20</v>
      </c>
      <c r="I2127" s="5" t="s">
        <v>4989</v>
      </c>
      <c r="J2127" s="12" t="str">
        <f>HYPERLINK("https://www.boe.es/gazeta/dias/1806/12/19/pdfs/GMD-1806-103.pdf#page=1","Abrir facsímil")</f>
        <v>Abrir facsímil</v>
      </c>
      <c r="K2127" s="15" t="s">
        <v>22</v>
      </c>
    </row>
    <row r="2128" spans="1:11" ht="42" customHeight="1">
      <c r="A2128" s="4" t="s">
        <v>4990</v>
      </c>
      <c r="B2128" s="5" t="s">
        <v>4990</v>
      </c>
      <c r="C2128" s="5" t="s">
        <v>36</v>
      </c>
      <c r="D2128" s="5" t="s">
        <v>37</v>
      </c>
      <c r="E2128" s="5" t="s">
        <v>118</v>
      </c>
      <c r="F2128" s="9">
        <v>15</v>
      </c>
      <c r="G2128" s="9">
        <v>136</v>
      </c>
      <c r="H2128" s="5" t="s">
        <v>20</v>
      </c>
      <c r="I2128" s="5" t="s">
        <v>4991</v>
      </c>
      <c r="J2128" s="12" t="str">
        <f>HYPERLINK("https://www.boe.es/gazeta/dias/1806/02/14/pdfs/GMD-1806-15.pdf#page=12","Abrir facsímil")</f>
        <v>Abrir facsímil</v>
      </c>
      <c r="K2128" s="15" t="s">
        <v>22</v>
      </c>
    </row>
    <row r="2129" spans="1:11" ht="42" customHeight="1">
      <c r="A2129" s="4" t="s">
        <v>4992</v>
      </c>
      <c r="B2129" s="5" t="s">
        <v>4993</v>
      </c>
      <c r="C2129" s="5" t="s">
        <v>69</v>
      </c>
      <c r="D2129" s="5" t="s">
        <v>70</v>
      </c>
      <c r="E2129" s="5" t="s">
        <v>110</v>
      </c>
      <c r="F2129" s="9">
        <v>55</v>
      </c>
      <c r="G2129" s="9">
        <v>568</v>
      </c>
      <c r="H2129" s="5" t="s">
        <v>20</v>
      </c>
      <c r="I2129" s="5" t="s">
        <v>4994</v>
      </c>
      <c r="J2129" s="12" t="str">
        <f>HYPERLINK("https://www.boe.es/gazeta/dias/1806/07/04/pdfs/GMD-1806-55.pdf#page=4","Abrir facsímil")</f>
        <v>Abrir facsímil</v>
      </c>
      <c r="K2129" s="15" t="s">
        <v>22</v>
      </c>
    </row>
    <row r="2130" spans="1:11" ht="42" customHeight="1">
      <c r="A2130" s="4" t="s">
        <v>4995</v>
      </c>
      <c r="B2130" s="5" t="s">
        <v>4996</v>
      </c>
      <c r="C2130" s="5" t="s">
        <v>69</v>
      </c>
      <c r="D2130" s="5" t="s">
        <v>70</v>
      </c>
      <c r="E2130" s="5" t="s">
        <v>195</v>
      </c>
      <c r="F2130" s="9">
        <v>4</v>
      </c>
      <c r="G2130" s="9">
        <v>30</v>
      </c>
      <c r="H2130" s="5" t="s">
        <v>20</v>
      </c>
      <c r="I2130" s="5" t="s">
        <v>4997</v>
      </c>
      <c r="J2130" s="12" t="str">
        <f>HYPERLINK("https://www.boe.es/gazeta/dias/1806/01/14/pdfs/GMD-1806-4.pdf#page=2","Abrir facsímil")</f>
        <v>Abrir facsímil</v>
      </c>
      <c r="K2130" s="15" t="s">
        <v>22</v>
      </c>
    </row>
    <row r="2131" spans="1:11" ht="42" customHeight="1">
      <c r="A2131" s="4" t="s">
        <v>4998</v>
      </c>
      <c r="B2131" s="5" t="s">
        <v>4999</v>
      </c>
      <c r="C2131" s="5" t="s">
        <v>69</v>
      </c>
      <c r="D2131" s="5" t="s">
        <v>70</v>
      </c>
      <c r="E2131" s="5" t="s">
        <v>121</v>
      </c>
      <c r="F2131" s="9">
        <v>19</v>
      </c>
      <c r="G2131" s="9">
        <v>170</v>
      </c>
      <c r="H2131" s="5" t="s">
        <v>20</v>
      </c>
      <c r="I2131" s="5" t="s">
        <v>5000</v>
      </c>
      <c r="J2131" s="12" t="str">
        <f>HYPERLINK("https://www.boe.es/gazeta/dias/1806/02/28/pdfs/GMD-1806-19.pdf#page=6","Abrir facsímil")</f>
        <v>Abrir facsímil</v>
      </c>
      <c r="K2131" s="15" t="s">
        <v>22</v>
      </c>
    </row>
    <row r="2132" spans="1:11" ht="42" customHeight="1">
      <c r="A2132" s="4" t="s">
        <v>5001</v>
      </c>
      <c r="B2132" s="5" t="s">
        <v>5002</v>
      </c>
      <c r="C2132" s="5" t="s">
        <v>31</v>
      </c>
      <c r="D2132" s="5" t="s">
        <v>32</v>
      </c>
      <c r="E2132" s="5" t="s">
        <v>148</v>
      </c>
      <c r="F2132" s="9">
        <v>78</v>
      </c>
      <c r="G2132" s="9">
        <v>797</v>
      </c>
      <c r="H2132" s="5" t="s">
        <v>20</v>
      </c>
      <c r="I2132" s="5" t="s">
        <v>5003</v>
      </c>
      <c r="J2132" s="12" t="str">
        <f>HYPERLINK("https://www.boe.es/gazeta/dias/1806/09/23/pdfs/GMD-1806-78.pdf#page=1","Abrir facsímil")</f>
        <v>Abrir facsímil</v>
      </c>
      <c r="K2132" s="15" t="s">
        <v>22</v>
      </c>
    </row>
    <row r="2133" spans="1:11" ht="42" customHeight="1">
      <c r="A2133" s="4" t="s">
        <v>5004</v>
      </c>
      <c r="B2133" s="5" t="s">
        <v>5005</v>
      </c>
      <c r="C2133" s="5" t="s">
        <v>69</v>
      </c>
      <c r="D2133" s="5" t="s">
        <v>70</v>
      </c>
      <c r="E2133" s="5" t="s">
        <v>44</v>
      </c>
      <c r="F2133" s="9">
        <v>42</v>
      </c>
      <c r="G2133" s="9">
        <v>416</v>
      </c>
      <c r="H2133" s="5" t="s">
        <v>20</v>
      </c>
      <c r="I2133" s="5" t="s">
        <v>5006</v>
      </c>
      <c r="J2133" s="12" t="str">
        <f>HYPERLINK("https://www.boe.es/gazeta/dias/1806/05/20/pdfs/GMD-1806-42.pdf#page=4","Abrir facsímil")</f>
        <v>Abrir facsímil</v>
      </c>
      <c r="K2133" s="15" t="s">
        <v>22</v>
      </c>
    </row>
    <row r="2134" spans="1:11" ht="42" customHeight="1">
      <c r="A2134" s="4" t="s">
        <v>5007</v>
      </c>
      <c r="B2134" s="5" t="s">
        <v>5008</v>
      </c>
      <c r="C2134" s="5" t="s">
        <v>69</v>
      </c>
      <c r="D2134" s="5" t="s">
        <v>70</v>
      </c>
      <c r="E2134" s="5" t="s">
        <v>438</v>
      </c>
      <c r="F2134" s="9">
        <v>70</v>
      </c>
      <c r="G2134" s="9">
        <v>725</v>
      </c>
      <c r="H2134" s="5" t="s">
        <v>20</v>
      </c>
      <c r="I2134" s="5" t="s">
        <v>5009</v>
      </c>
      <c r="J2134" s="12" t="str">
        <f>HYPERLINK("https://www.boe.es/gazeta/dias/1806/08/26/pdfs/GMD-1806-70.pdf#page=1","Abrir facsímil")</f>
        <v>Abrir facsímil</v>
      </c>
      <c r="K2134" s="15" t="s">
        <v>22</v>
      </c>
    </row>
    <row r="2135" spans="1:11" ht="42" customHeight="1">
      <c r="A2135" s="4" t="s">
        <v>5010</v>
      </c>
      <c r="B2135" s="5" t="s">
        <v>5011</v>
      </c>
      <c r="C2135" s="5" t="s">
        <v>31</v>
      </c>
      <c r="D2135" s="5" t="s">
        <v>32</v>
      </c>
      <c r="E2135" s="5" t="s">
        <v>33</v>
      </c>
      <c r="F2135" s="9">
        <v>82</v>
      </c>
      <c r="G2135" s="9">
        <v>843</v>
      </c>
      <c r="H2135" s="5" t="s">
        <v>20</v>
      </c>
      <c r="I2135" s="5" t="s">
        <v>5012</v>
      </c>
      <c r="J2135" s="12" t="str">
        <f>HYPERLINK("https://www.boe.es/gazeta/dias/1806/10/07/pdfs/GMD-1806-82.pdf#page=3","Abrir facsímil")</f>
        <v>Abrir facsímil</v>
      </c>
      <c r="K2135" s="15" t="s">
        <v>22</v>
      </c>
    </row>
    <row r="2136" spans="1:11" ht="42" customHeight="1">
      <c r="A2136" s="4" t="s">
        <v>5013</v>
      </c>
      <c r="B2136" s="5" t="s">
        <v>5014</v>
      </c>
      <c r="C2136" s="5" t="s">
        <v>31</v>
      </c>
      <c r="D2136" s="5" t="s">
        <v>32</v>
      </c>
      <c r="E2136" s="5" t="s">
        <v>309</v>
      </c>
      <c r="F2136" s="9">
        <v>41</v>
      </c>
      <c r="G2136" s="9">
        <v>405</v>
      </c>
      <c r="H2136" s="5" t="s">
        <v>20</v>
      </c>
      <c r="I2136" s="5" t="s">
        <v>5015</v>
      </c>
      <c r="J2136" s="12" t="str">
        <f>HYPERLINK("https://www.boe.es/gazeta/dias/1806/05/16/pdfs/GMD-1806-41.pdf#page=5","Abrir facsímil")</f>
        <v>Abrir facsímil</v>
      </c>
      <c r="K2136" s="15" t="s">
        <v>22</v>
      </c>
    </row>
    <row r="2137" spans="1:11" ht="42" customHeight="1">
      <c r="A2137" s="4" t="s">
        <v>5016</v>
      </c>
      <c r="B2137" s="5" t="s">
        <v>5017</v>
      </c>
      <c r="C2137" s="5" t="s">
        <v>69</v>
      </c>
      <c r="D2137" s="5" t="s">
        <v>70</v>
      </c>
      <c r="E2137" s="5" t="s">
        <v>870</v>
      </c>
      <c r="F2137" s="9">
        <v>35</v>
      </c>
      <c r="G2137" s="9">
        <v>337</v>
      </c>
      <c r="H2137" s="5" t="s">
        <v>20</v>
      </c>
      <c r="I2137" s="5" t="s">
        <v>5018</v>
      </c>
      <c r="J2137" s="12" t="str">
        <f>HYPERLINK("https://www.boe.es/gazeta/dias/1806/04/25/pdfs/GMD-1806-35.pdf#page=1","Abrir facsímil")</f>
        <v>Abrir facsímil</v>
      </c>
      <c r="K2137" s="15" t="s">
        <v>22</v>
      </c>
    </row>
    <row r="2138" spans="1:11" ht="42" customHeight="1">
      <c r="A2138" s="4" t="s">
        <v>5019</v>
      </c>
      <c r="B2138" s="5" t="s">
        <v>5020</v>
      </c>
      <c r="C2138" s="5" t="s">
        <v>69</v>
      </c>
      <c r="D2138" s="5" t="s">
        <v>70</v>
      </c>
      <c r="E2138" s="5" t="s">
        <v>136</v>
      </c>
      <c r="F2138" s="9">
        <v>50</v>
      </c>
      <c r="G2138" s="9">
        <v>512</v>
      </c>
      <c r="H2138" s="5" t="s">
        <v>20</v>
      </c>
      <c r="I2138" s="5" t="s">
        <v>5021</v>
      </c>
      <c r="J2138" s="12" t="str">
        <f>HYPERLINK("https://www.boe.es/gazeta/dias/1806/06/17/pdfs/GMD-1806-50.pdf#page=4","Abrir facsímil")</f>
        <v>Abrir facsímil</v>
      </c>
      <c r="K2138" s="15" t="s">
        <v>22</v>
      </c>
    </row>
    <row r="2139" spans="1:11" ht="42" customHeight="1">
      <c r="A2139" s="4" t="s">
        <v>5022</v>
      </c>
      <c r="B2139" s="5" t="s">
        <v>5023</v>
      </c>
      <c r="C2139" s="5" t="s">
        <v>69</v>
      </c>
      <c r="D2139" s="5" t="s">
        <v>70</v>
      </c>
      <c r="E2139" s="5" t="s">
        <v>434</v>
      </c>
      <c r="F2139" s="9">
        <v>74</v>
      </c>
      <c r="G2139" s="9">
        <v>763</v>
      </c>
      <c r="H2139" s="5" t="s">
        <v>20</v>
      </c>
      <c r="I2139" s="5" t="s">
        <v>5024</v>
      </c>
      <c r="J2139" s="12" t="str">
        <f>HYPERLINK("https://www.boe.es/gazeta/dias/1806/09/09/pdfs/GMD-1806-74.pdf#page=3","Abrir facsímil")</f>
        <v>Abrir facsímil</v>
      </c>
      <c r="K2139" s="15" t="s">
        <v>22</v>
      </c>
    </row>
    <row r="2140" spans="1:11" ht="42" customHeight="1">
      <c r="A2140" s="4" t="s">
        <v>5025</v>
      </c>
      <c r="B2140" s="5" t="s">
        <v>5026</v>
      </c>
      <c r="C2140" s="5" t="s">
        <v>69</v>
      </c>
      <c r="D2140" s="5" t="s">
        <v>70</v>
      </c>
      <c r="E2140" s="5" t="s">
        <v>144</v>
      </c>
      <c r="F2140" s="9">
        <v>79</v>
      </c>
      <c r="G2140" s="9">
        <v>816</v>
      </c>
      <c r="H2140" s="5" t="s">
        <v>20</v>
      </c>
      <c r="I2140" s="5" t="s">
        <v>5027</v>
      </c>
      <c r="J2140" s="12" t="str">
        <f>HYPERLINK("https://www.boe.es/gazeta/dias/1806/09/26/pdfs/GMD-1806-79.pdf#page=8","Abrir facsímil")</f>
        <v>Abrir facsímil</v>
      </c>
      <c r="K2140" s="15" t="s">
        <v>22</v>
      </c>
    </row>
    <row r="2141" spans="1:11" ht="42" customHeight="1">
      <c r="A2141" s="4" t="s">
        <v>5028</v>
      </c>
      <c r="B2141" s="5" t="s">
        <v>5029</v>
      </c>
      <c r="C2141" s="5" t="s">
        <v>69</v>
      </c>
      <c r="D2141" s="5" t="s">
        <v>70</v>
      </c>
      <c r="E2141" s="5" t="s">
        <v>661</v>
      </c>
      <c r="F2141" s="9">
        <v>38</v>
      </c>
      <c r="G2141" s="9">
        <v>368</v>
      </c>
      <c r="H2141" s="5" t="s">
        <v>20</v>
      </c>
      <c r="I2141" s="5" t="s">
        <v>5030</v>
      </c>
      <c r="J2141" s="12" t="str">
        <f>HYPERLINK("https://www.boe.es/gazeta/dias/1806/05/06/pdfs/GMD-1806-38.pdf#page=4","Abrir facsímil")</f>
        <v>Abrir facsímil</v>
      </c>
      <c r="K2141" s="15" t="s">
        <v>22</v>
      </c>
    </row>
    <row r="2142" spans="1:11" ht="42" customHeight="1">
      <c r="A2142" s="4" t="s">
        <v>5031</v>
      </c>
      <c r="B2142" s="5" t="s">
        <v>5032</v>
      </c>
      <c r="C2142" s="5" t="s">
        <v>17</v>
      </c>
      <c r="D2142" s="5" t="s">
        <v>18</v>
      </c>
      <c r="E2142" s="5" t="s">
        <v>19</v>
      </c>
      <c r="F2142" s="9">
        <v>3</v>
      </c>
      <c r="G2142" s="9">
        <v>25</v>
      </c>
      <c r="H2142" s="5" t="s">
        <v>20</v>
      </c>
      <c r="I2142" s="5" t="s">
        <v>5033</v>
      </c>
      <c r="J2142" s="12" t="str">
        <f>HYPERLINK("https://www.boe.es/gazeta/dias/1806/01/10/pdfs/GMD-1806-3.pdf#page=5","Abrir facsímil")</f>
        <v>Abrir facsímil</v>
      </c>
      <c r="K2142" s="15" t="s">
        <v>22</v>
      </c>
    </row>
    <row r="2143" spans="1:11" ht="42" customHeight="1">
      <c r="A2143" s="4" t="s">
        <v>5031</v>
      </c>
      <c r="B2143" s="5" t="s">
        <v>5032</v>
      </c>
      <c r="C2143" s="5" t="s">
        <v>69</v>
      </c>
      <c r="D2143" s="5" t="s">
        <v>70</v>
      </c>
      <c r="E2143" s="5" t="s">
        <v>86</v>
      </c>
      <c r="F2143" s="9">
        <v>53</v>
      </c>
      <c r="G2143" s="9">
        <v>548</v>
      </c>
      <c r="H2143" s="5" t="s">
        <v>20</v>
      </c>
      <c r="I2143" s="5" t="s">
        <v>5034</v>
      </c>
      <c r="J2143" s="12" t="str">
        <f>HYPERLINK("https://www.boe.es/gazeta/dias/1806/06/27/pdfs/GMD-1806-53.pdf#page=4","Abrir facsímil")</f>
        <v>Abrir facsímil</v>
      </c>
      <c r="K2143" s="15" t="s">
        <v>22</v>
      </c>
    </row>
    <row r="2144" spans="1:11" ht="42" customHeight="1">
      <c r="A2144" s="4" t="s">
        <v>5031</v>
      </c>
      <c r="B2144" s="5" t="s">
        <v>5032</v>
      </c>
      <c r="C2144" s="5" t="s">
        <v>69</v>
      </c>
      <c r="D2144" s="5" t="s">
        <v>70</v>
      </c>
      <c r="E2144" s="5" t="s">
        <v>93</v>
      </c>
      <c r="F2144" s="9">
        <v>72</v>
      </c>
      <c r="G2144" s="9">
        <v>744</v>
      </c>
      <c r="H2144" s="5" t="s">
        <v>20</v>
      </c>
      <c r="I2144" s="5" t="s">
        <v>5035</v>
      </c>
      <c r="J2144" s="12" t="str">
        <f>HYPERLINK("https://www.boe.es/gazeta/dias/1806/09/02/pdfs/GMD-1806-72.pdf#page=4","Abrir facsímil")</f>
        <v>Abrir facsímil</v>
      </c>
      <c r="K2144" s="15" t="s">
        <v>22</v>
      </c>
    </row>
    <row r="2145" spans="1:11" ht="42" customHeight="1">
      <c r="A2145" s="4" t="s">
        <v>5031</v>
      </c>
      <c r="B2145" s="5" t="s">
        <v>5032</v>
      </c>
      <c r="C2145" s="5" t="s">
        <v>69</v>
      </c>
      <c r="D2145" s="5" t="s">
        <v>70</v>
      </c>
      <c r="E2145" s="5" t="s">
        <v>657</v>
      </c>
      <c r="F2145" s="9">
        <v>96</v>
      </c>
      <c r="G2145" s="9">
        <v>1017</v>
      </c>
      <c r="H2145" s="5" t="s">
        <v>20</v>
      </c>
      <c r="I2145" s="5" t="s">
        <v>5036</v>
      </c>
      <c r="J2145" s="12" t="str">
        <f>HYPERLINK("https://www.boe.es/gazeta/dias/1806/11/25/pdfs/GMD-1806-96.pdf#page=9","Abrir facsímil")</f>
        <v>Abrir facsímil</v>
      </c>
      <c r="K2145" s="15" t="s">
        <v>22</v>
      </c>
    </row>
    <row r="2146" spans="1:11" ht="42" customHeight="1">
      <c r="A2146" s="4" t="s">
        <v>5037</v>
      </c>
      <c r="B2146" s="5" t="s">
        <v>5038</v>
      </c>
      <c r="C2146" s="5" t="s">
        <v>69</v>
      </c>
      <c r="D2146" s="5" t="s">
        <v>70</v>
      </c>
      <c r="E2146" s="5" t="s">
        <v>657</v>
      </c>
      <c r="F2146" s="9">
        <v>96</v>
      </c>
      <c r="G2146" s="9">
        <v>1014</v>
      </c>
      <c r="H2146" s="5" t="s">
        <v>20</v>
      </c>
      <c r="I2146" s="5" t="s">
        <v>5039</v>
      </c>
      <c r="J2146" s="12" t="str">
        <f>HYPERLINK("https://www.boe.es/gazeta/dias/1806/11/25/pdfs/GMD-1806-96.pdf#page=6","Abrir facsímil")</f>
        <v>Abrir facsímil</v>
      </c>
      <c r="K2146" s="15" t="s">
        <v>22</v>
      </c>
    </row>
    <row r="2147" spans="1:11" ht="42" customHeight="1">
      <c r="A2147" s="4" t="s">
        <v>5040</v>
      </c>
      <c r="B2147" s="5" t="s">
        <v>5040</v>
      </c>
      <c r="C2147" s="5" t="s">
        <v>17</v>
      </c>
      <c r="D2147" s="5" t="s">
        <v>18</v>
      </c>
      <c r="E2147" s="5" t="s">
        <v>44</v>
      </c>
      <c r="F2147" s="9">
        <v>42</v>
      </c>
      <c r="G2147" s="9">
        <v>422</v>
      </c>
      <c r="H2147" s="5" t="s">
        <v>20</v>
      </c>
      <c r="I2147" s="5" t="s">
        <v>5041</v>
      </c>
      <c r="J2147" s="12" t="str">
        <f>HYPERLINK("https://www.boe.es/gazeta/dias/1806/05/20/pdfs/GMD-1806-42.pdf#page=10","Abrir facsímil")</f>
        <v>Abrir facsímil</v>
      </c>
      <c r="K2147" s="15" t="s">
        <v>22</v>
      </c>
    </row>
    <row r="2148" spans="1:11" ht="42" customHeight="1">
      <c r="A2148" s="4" t="s">
        <v>5042</v>
      </c>
      <c r="B2148" s="5" t="s">
        <v>5042</v>
      </c>
      <c r="C2148" s="5" t="s">
        <v>42</v>
      </c>
      <c r="D2148" s="5" t="s">
        <v>43</v>
      </c>
      <c r="E2148" s="5" t="s">
        <v>96</v>
      </c>
      <c r="F2148" s="9">
        <v>62</v>
      </c>
      <c r="G2148" s="9">
        <v>649</v>
      </c>
      <c r="H2148" s="5" t="s">
        <v>20</v>
      </c>
      <c r="I2148" s="5" t="s">
        <v>5043</v>
      </c>
      <c r="J2148" s="12" t="str">
        <f>HYPERLINK("https://www.boe.es/gazeta/dias/1806/07/29/pdfs/GMD-1806-62.pdf#page=9","Abrir facsímil")</f>
        <v>Abrir facsímil</v>
      </c>
      <c r="K2148" s="15" t="s">
        <v>22</v>
      </c>
    </row>
    <row r="2149" spans="1:11" ht="42" customHeight="1">
      <c r="A2149" s="4" t="s">
        <v>5044</v>
      </c>
      <c r="B2149" s="5" t="s">
        <v>5044</v>
      </c>
      <c r="C2149" s="5" t="s">
        <v>69</v>
      </c>
      <c r="D2149" s="5" t="s">
        <v>70</v>
      </c>
      <c r="E2149" s="5" t="s">
        <v>93</v>
      </c>
      <c r="F2149" s="9">
        <v>72</v>
      </c>
      <c r="G2149" s="9">
        <v>746</v>
      </c>
      <c r="H2149" s="5" t="s">
        <v>20</v>
      </c>
      <c r="I2149" s="5" t="s">
        <v>5045</v>
      </c>
      <c r="J2149" s="12" t="str">
        <f>HYPERLINK("https://www.boe.es/gazeta/dias/1806/09/02/pdfs/GMD-1806-72.pdf#page=6","Abrir facsímil")</f>
        <v>Abrir facsímil</v>
      </c>
      <c r="K2149" s="15" t="s">
        <v>22</v>
      </c>
    </row>
    <row r="2150" spans="1:11" ht="42" customHeight="1">
      <c r="A2150" s="4" t="s">
        <v>5046</v>
      </c>
      <c r="B2150" s="5" t="s">
        <v>5046</v>
      </c>
      <c r="C2150" s="5" t="s">
        <v>69</v>
      </c>
      <c r="D2150" s="5" t="s">
        <v>70</v>
      </c>
      <c r="E2150" s="5" t="s">
        <v>55</v>
      </c>
      <c r="F2150" s="9">
        <v>20</v>
      </c>
      <c r="G2150" s="9">
        <v>180</v>
      </c>
      <c r="H2150" s="5" t="s">
        <v>20</v>
      </c>
      <c r="I2150" s="5" t="s">
        <v>5047</v>
      </c>
      <c r="J2150" s="12" t="str">
        <f>HYPERLINK("https://www.boe.es/gazeta/dias/1806/03/04/pdfs/GMD-1806-20.pdf#page=4","Abrir facsímil")</f>
        <v>Abrir facsímil</v>
      </c>
      <c r="K2150" s="15" t="s">
        <v>22</v>
      </c>
    </row>
    <row r="2151" spans="1:11" ht="42" customHeight="1">
      <c r="A2151" s="4" t="s">
        <v>5046</v>
      </c>
      <c r="B2151" s="5" t="s">
        <v>5046</v>
      </c>
      <c r="C2151" s="5" t="s">
        <v>69</v>
      </c>
      <c r="D2151" s="5" t="s">
        <v>70</v>
      </c>
      <c r="E2151" s="5" t="s">
        <v>227</v>
      </c>
      <c r="F2151" s="9">
        <v>27</v>
      </c>
      <c r="G2151" s="9">
        <v>265</v>
      </c>
      <c r="H2151" s="5" t="s">
        <v>20</v>
      </c>
      <c r="I2151" s="5" t="s">
        <v>5048</v>
      </c>
      <c r="J2151" s="12" t="str">
        <f>HYPERLINK("https://www.boe.es/gazeta/dias/1806/03/28/pdfs/GMD-1806-27.pdf#page=5","Abrir facsímil")</f>
        <v>Abrir facsímil</v>
      </c>
      <c r="K2151" s="15" t="s">
        <v>22</v>
      </c>
    </row>
    <row r="2152" spans="1:11" ht="42" customHeight="1">
      <c r="A2152" s="4" t="s">
        <v>5046</v>
      </c>
      <c r="B2152" s="5" t="s">
        <v>5046</v>
      </c>
      <c r="C2152" s="5" t="s">
        <v>31</v>
      </c>
      <c r="D2152" s="5" t="s">
        <v>32</v>
      </c>
      <c r="E2152" s="5" t="s">
        <v>227</v>
      </c>
      <c r="F2152" s="9">
        <v>27</v>
      </c>
      <c r="G2152" s="9">
        <v>266</v>
      </c>
      <c r="H2152" s="5" t="s">
        <v>20</v>
      </c>
      <c r="I2152" s="5" t="s">
        <v>5049</v>
      </c>
      <c r="J2152" s="12" t="str">
        <f>HYPERLINK("https://www.boe.es/gazeta/dias/1806/03/28/pdfs/GMD-1806-27.pdf#page=6","Abrir facsímil")</f>
        <v>Abrir facsímil</v>
      </c>
      <c r="K2152" s="15" t="s">
        <v>22</v>
      </c>
    </row>
    <row r="2153" spans="1:11" ht="42" customHeight="1">
      <c r="A2153" s="4" t="s">
        <v>5050</v>
      </c>
      <c r="B2153" s="5" t="s">
        <v>5050</v>
      </c>
      <c r="C2153" s="5" t="s">
        <v>69</v>
      </c>
      <c r="D2153" s="5" t="s">
        <v>70</v>
      </c>
      <c r="E2153" s="5" t="s">
        <v>396</v>
      </c>
      <c r="F2153" s="9">
        <v>91</v>
      </c>
      <c r="G2153" s="9">
        <v>942</v>
      </c>
      <c r="H2153" s="5" t="s">
        <v>20</v>
      </c>
      <c r="I2153" s="5" t="s">
        <v>5051</v>
      </c>
      <c r="J2153" s="12" t="str">
        <f>HYPERLINK("https://www.boe.es/gazeta/dias/1806/11/07/pdfs/GMD-1806-91.pdf#page=6","Abrir facsímil")</f>
        <v>Abrir facsímil</v>
      </c>
      <c r="K2153" s="15" t="s">
        <v>22</v>
      </c>
    </row>
    <row r="2154" spans="1:11" ht="42" customHeight="1">
      <c r="A2154" s="4" t="s">
        <v>5052</v>
      </c>
      <c r="B2154" s="5" t="s">
        <v>5052</v>
      </c>
      <c r="C2154" s="5" t="s">
        <v>31</v>
      </c>
      <c r="D2154" s="5" t="s">
        <v>32</v>
      </c>
      <c r="E2154" s="5" t="s">
        <v>348</v>
      </c>
      <c r="F2154" s="9">
        <v>88</v>
      </c>
      <c r="G2154" s="9">
        <v>909</v>
      </c>
      <c r="H2154" s="5" t="s">
        <v>20</v>
      </c>
      <c r="I2154" s="5" t="s">
        <v>5053</v>
      </c>
      <c r="J2154" s="12" t="str">
        <f>HYPERLINK("https://www.boe.es/gazeta/dias/1806/10/28/pdfs/GMD-1806-88.pdf#page=5","Abrir facsímil")</f>
        <v>Abrir facsímil</v>
      </c>
      <c r="K2154" s="15" t="s">
        <v>22</v>
      </c>
    </row>
    <row r="2155" spans="1:11" ht="42" customHeight="1">
      <c r="A2155" s="4" t="s">
        <v>5054</v>
      </c>
      <c r="B2155" s="5" t="s">
        <v>5054</v>
      </c>
      <c r="C2155" s="5" t="s">
        <v>69</v>
      </c>
      <c r="D2155" s="5" t="s">
        <v>70</v>
      </c>
      <c r="E2155" s="5" t="s">
        <v>231</v>
      </c>
      <c r="F2155" s="9">
        <v>89</v>
      </c>
      <c r="G2155" s="9">
        <v>917</v>
      </c>
      <c r="H2155" s="5" t="s">
        <v>20</v>
      </c>
      <c r="I2155" s="5" t="s">
        <v>5055</v>
      </c>
      <c r="J2155" s="12" t="str">
        <f>HYPERLINK("https://www.boe.es/gazeta/dias/1806/10/31/pdfs/GMD-1806-89.pdf#page=5","Abrir facsímil")</f>
        <v>Abrir facsímil</v>
      </c>
      <c r="K2155" s="15" t="s">
        <v>22</v>
      </c>
    </row>
    <row r="2156" spans="1:11" ht="42" customHeight="1">
      <c r="A2156" s="4" t="s">
        <v>5056</v>
      </c>
      <c r="B2156" s="5" t="s">
        <v>5057</v>
      </c>
      <c r="C2156" s="5" t="s">
        <v>42</v>
      </c>
      <c r="D2156" s="5" t="s">
        <v>43</v>
      </c>
      <c r="E2156" s="5" t="s">
        <v>82</v>
      </c>
      <c r="F2156" s="9">
        <v>48</v>
      </c>
      <c r="G2156" s="9">
        <v>499</v>
      </c>
      <c r="H2156" s="5" t="s">
        <v>20</v>
      </c>
      <c r="I2156" s="5" t="s">
        <v>5058</v>
      </c>
      <c r="J2156" s="12" t="str">
        <f>HYPERLINK("https://www.boe.es/gazeta/dias/1806/06/10/pdfs/GMD-1806-48.pdf#page=11","Abrir facsímil")</f>
        <v>Abrir facsímil</v>
      </c>
      <c r="K2156" s="15" t="s">
        <v>22</v>
      </c>
    </row>
    <row r="2157" spans="1:11" ht="42" customHeight="1">
      <c r="A2157" s="4" t="s">
        <v>5059</v>
      </c>
      <c r="B2157" s="5" t="s">
        <v>5059</v>
      </c>
      <c r="C2157" s="5" t="s">
        <v>42</v>
      </c>
      <c r="D2157" s="5" t="s">
        <v>43</v>
      </c>
      <c r="E2157" s="5" t="s">
        <v>400</v>
      </c>
      <c r="F2157" s="9">
        <v>22</v>
      </c>
      <c r="G2157" s="9">
        <v>207</v>
      </c>
      <c r="H2157" s="5" t="s">
        <v>20</v>
      </c>
      <c r="I2157" s="5" t="s">
        <v>5060</v>
      </c>
      <c r="J2157" s="12" t="str">
        <f>HYPERLINK("https://www.boe.es/gazeta/dias/1806/03/11/pdfs/GMD-1806-22.pdf#page=7","Abrir facsímil")</f>
        <v>Abrir facsímil</v>
      </c>
      <c r="K2157" s="15" t="s">
        <v>22</v>
      </c>
    </row>
    <row r="2158" spans="1:11" ht="42" customHeight="1">
      <c r="A2158" s="4" t="s">
        <v>5061</v>
      </c>
      <c r="B2158" s="5" t="s">
        <v>5061</v>
      </c>
      <c r="C2158" s="5" t="s">
        <v>36</v>
      </c>
      <c r="D2158" s="5" t="s">
        <v>37</v>
      </c>
      <c r="E2158" s="5" t="s">
        <v>188</v>
      </c>
      <c r="F2158" s="9">
        <v>2</v>
      </c>
      <c r="G2158" s="9">
        <v>19</v>
      </c>
      <c r="H2158" s="5" t="s">
        <v>20</v>
      </c>
      <c r="I2158" s="5" t="s">
        <v>5062</v>
      </c>
      <c r="J2158" s="12" t="str">
        <f>HYPERLINK("https://www.boe.es/gazeta/dias/1806/01/07/pdfs/GMD-1806-2.pdf#page=7","Abrir facsímil")</f>
        <v>Abrir facsímil</v>
      </c>
      <c r="K2158" s="15" t="s">
        <v>22</v>
      </c>
    </row>
    <row r="2159" spans="1:11" ht="42" customHeight="1">
      <c r="A2159" s="4" t="s">
        <v>5063</v>
      </c>
      <c r="B2159" s="5" t="s">
        <v>5064</v>
      </c>
      <c r="C2159" s="5" t="s">
        <v>75</v>
      </c>
      <c r="D2159" s="5" t="s">
        <v>43</v>
      </c>
      <c r="E2159" s="5" t="s">
        <v>82</v>
      </c>
      <c r="F2159" s="9">
        <v>48</v>
      </c>
      <c r="G2159" s="9">
        <v>499</v>
      </c>
      <c r="H2159" s="5" t="s">
        <v>20</v>
      </c>
      <c r="I2159" s="5" t="s">
        <v>5065</v>
      </c>
      <c r="J2159" s="12" t="str">
        <f>HYPERLINK("https://www.boe.es/gazeta/dias/1806/06/10/pdfs/GMD-1806-48.pdf#page=11","Abrir facsímil")</f>
        <v>Abrir facsímil</v>
      </c>
      <c r="K2159" s="15" t="s">
        <v>22</v>
      </c>
    </row>
    <row r="2160" spans="1:11" ht="42" customHeight="1">
      <c r="A2160" s="4" t="s">
        <v>5066</v>
      </c>
      <c r="B2160" s="5" t="s">
        <v>5066</v>
      </c>
      <c r="C2160" s="5" t="s">
        <v>31</v>
      </c>
      <c r="D2160" s="5" t="s">
        <v>32</v>
      </c>
      <c r="E2160" s="5" t="s">
        <v>55</v>
      </c>
      <c r="F2160" s="9">
        <v>20</v>
      </c>
      <c r="G2160" s="9">
        <v>182</v>
      </c>
      <c r="H2160" s="5" t="s">
        <v>20</v>
      </c>
      <c r="I2160" s="5" t="s">
        <v>5067</v>
      </c>
      <c r="J2160" s="12" t="str">
        <f>HYPERLINK("https://www.boe.es/gazeta/dias/1806/03/04/pdfs/GMD-1806-20.pdf#page=6","Abrir facsímil")</f>
        <v>Abrir facsímil</v>
      </c>
      <c r="K2160" s="15" t="s">
        <v>22</v>
      </c>
    </row>
    <row r="2161" spans="1:11" ht="42" customHeight="1">
      <c r="A2161" s="4" t="s">
        <v>5068</v>
      </c>
      <c r="B2161" s="5" t="s">
        <v>5068</v>
      </c>
      <c r="C2161" s="5" t="s">
        <v>31</v>
      </c>
      <c r="D2161" s="5" t="s">
        <v>32</v>
      </c>
      <c r="E2161" s="5" t="s">
        <v>238</v>
      </c>
      <c r="F2161" s="9">
        <v>18</v>
      </c>
      <c r="G2161" s="9">
        <v>160</v>
      </c>
      <c r="H2161" s="5" t="s">
        <v>20</v>
      </c>
      <c r="I2161" s="5" t="s">
        <v>5069</v>
      </c>
      <c r="J2161" s="12" t="str">
        <f>HYPERLINK("https://www.boe.es/gazeta/dias/1806/02/25/pdfs/GMD-1806-18.pdf#page=8","Abrir facsímil")</f>
        <v>Abrir facsímil</v>
      </c>
      <c r="K2161" s="15" t="s">
        <v>22</v>
      </c>
    </row>
    <row r="2162" spans="1:11" ht="42" customHeight="1">
      <c r="A2162" s="4" t="s">
        <v>5068</v>
      </c>
      <c r="B2162" s="5" t="s">
        <v>5068</v>
      </c>
      <c r="C2162" s="5" t="s">
        <v>42</v>
      </c>
      <c r="D2162" s="5" t="s">
        <v>43</v>
      </c>
      <c r="E2162" s="5" t="s">
        <v>780</v>
      </c>
      <c r="F2162" s="9">
        <v>33</v>
      </c>
      <c r="G2162" s="9">
        <v>326</v>
      </c>
      <c r="H2162" s="5" t="s">
        <v>20</v>
      </c>
      <c r="I2162" s="5" t="s">
        <v>5070</v>
      </c>
      <c r="J2162" s="12" t="str">
        <f>HYPERLINK("https://www.boe.es/gazeta/dias/1806/04/18/pdfs/GMD-1806-33.pdf#page=6","Abrir facsímil")</f>
        <v>Abrir facsímil</v>
      </c>
      <c r="K2162" s="15" t="s">
        <v>22</v>
      </c>
    </row>
    <row r="2163" spans="1:11" ht="42" customHeight="1">
      <c r="A2163" s="4" t="s">
        <v>5071</v>
      </c>
      <c r="B2163" s="5" t="s">
        <v>5071</v>
      </c>
      <c r="C2163" s="5" t="s">
        <v>75</v>
      </c>
      <c r="D2163" s="5" t="s">
        <v>43</v>
      </c>
      <c r="E2163" s="5" t="s">
        <v>285</v>
      </c>
      <c r="F2163" s="9">
        <v>13</v>
      </c>
      <c r="G2163" s="9">
        <v>115</v>
      </c>
      <c r="H2163" s="5" t="s">
        <v>20</v>
      </c>
      <c r="I2163" s="5" t="s">
        <v>5072</v>
      </c>
      <c r="J2163" s="12" t="str">
        <f>HYPERLINK("https://www.boe.es/gazeta/dias/1806/02/07/pdfs/GMD-1806-13.pdf#page=7","Abrir facsímil")</f>
        <v>Abrir facsímil</v>
      </c>
      <c r="K2163" s="15" t="s">
        <v>22</v>
      </c>
    </row>
    <row r="2164" spans="1:11" ht="42" customHeight="1">
      <c r="A2164" s="4" t="s">
        <v>5073</v>
      </c>
      <c r="B2164" s="5" t="s">
        <v>5073</v>
      </c>
      <c r="C2164" s="5" t="s">
        <v>31</v>
      </c>
      <c r="D2164" s="5" t="s">
        <v>32</v>
      </c>
      <c r="E2164" s="5" t="s">
        <v>90</v>
      </c>
      <c r="F2164" s="9">
        <v>60</v>
      </c>
      <c r="G2164" s="9">
        <v>623</v>
      </c>
      <c r="H2164" s="5" t="s">
        <v>20</v>
      </c>
      <c r="I2164" s="5" t="s">
        <v>5074</v>
      </c>
      <c r="J2164" s="12" t="str">
        <f>HYPERLINK("https://www.boe.es/gazeta/dias/1806/07/22/pdfs/GMD-1806-60.pdf#page=7","Abrir facsímil")</f>
        <v>Abrir facsímil</v>
      </c>
      <c r="K2164" s="15" t="s">
        <v>22</v>
      </c>
    </row>
    <row r="2165" spans="1:11" ht="42" customHeight="1">
      <c r="A2165" s="4" t="s">
        <v>5075</v>
      </c>
      <c r="B2165" s="5" t="s">
        <v>5075</v>
      </c>
      <c r="C2165" s="5" t="s">
        <v>31</v>
      </c>
      <c r="D2165" s="5" t="s">
        <v>32</v>
      </c>
      <c r="E2165" s="5" t="s">
        <v>304</v>
      </c>
      <c r="F2165" s="9">
        <v>47</v>
      </c>
      <c r="G2165" s="9">
        <v>483</v>
      </c>
      <c r="H2165" s="5" t="s">
        <v>20</v>
      </c>
      <c r="I2165" s="5" t="s">
        <v>5076</v>
      </c>
      <c r="J2165" s="12" t="str">
        <f>HYPERLINK("https://www.boe.es/gazeta/dias/1806/06/06/pdfs/GMD-C-1806-47.pdf#page=3","Abrir facsímil")</f>
        <v>Abrir facsímil</v>
      </c>
      <c r="K2165" s="15" t="s">
        <v>22</v>
      </c>
    </row>
    <row r="2166" spans="1:11" ht="42" customHeight="1">
      <c r="A2166" s="4" t="s">
        <v>5077</v>
      </c>
      <c r="B2166" s="5" t="s">
        <v>5077</v>
      </c>
      <c r="C2166" s="5" t="s">
        <v>31</v>
      </c>
      <c r="D2166" s="5" t="s">
        <v>32</v>
      </c>
      <c r="E2166" s="5" t="s">
        <v>554</v>
      </c>
      <c r="F2166" s="9">
        <v>90</v>
      </c>
      <c r="G2166" s="9">
        <v>934</v>
      </c>
      <c r="H2166" s="5" t="s">
        <v>20</v>
      </c>
      <c r="I2166" s="5" t="s">
        <v>5078</v>
      </c>
      <c r="J2166" s="12" t="str">
        <f>HYPERLINK("https://www.boe.es/gazeta/dias/1806/11/04/pdfs/GMD-1806-90.pdf#page=10","Abrir facsímil")</f>
        <v>Abrir facsímil</v>
      </c>
      <c r="K2166" s="15" t="s">
        <v>22</v>
      </c>
    </row>
    <row r="2167" spans="1:11" ht="42" customHeight="1">
      <c r="A2167" s="4" t="s">
        <v>5079</v>
      </c>
      <c r="B2167" s="5" t="s">
        <v>5080</v>
      </c>
      <c r="C2167" s="5" t="s">
        <v>31</v>
      </c>
      <c r="D2167" s="5" t="s">
        <v>32</v>
      </c>
      <c r="E2167" s="5" t="s">
        <v>570</v>
      </c>
      <c r="F2167" s="9">
        <v>93</v>
      </c>
      <c r="G2167" s="9">
        <v>978</v>
      </c>
      <c r="H2167" s="5" t="s">
        <v>20</v>
      </c>
      <c r="I2167" s="5" t="s">
        <v>5081</v>
      </c>
      <c r="J2167" s="12" t="str">
        <f>HYPERLINK("https://www.boe.es/gazeta/dias/1806/11/14/pdfs/GMD-1806-93.pdf#page=14","Abrir facsímil")</f>
        <v>Abrir facsímil</v>
      </c>
      <c r="K2167" s="15" t="s">
        <v>22</v>
      </c>
    </row>
    <row r="2168" spans="1:11" ht="42" customHeight="1">
      <c r="A2168" s="4" t="s">
        <v>5082</v>
      </c>
      <c r="B2168" s="5" t="s">
        <v>5082</v>
      </c>
      <c r="C2168" s="5" t="s">
        <v>69</v>
      </c>
      <c r="D2168" s="5" t="s">
        <v>70</v>
      </c>
      <c r="E2168" s="5" t="s">
        <v>62</v>
      </c>
      <c r="F2168" s="9">
        <v>45</v>
      </c>
      <c r="G2168" s="9">
        <v>454</v>
      </c>
      <c r="H2168" s="5" t="s">
        <v>20</v>
      </c>
      <c r="I2168" s="5" t="s">
        <v>5083</v>
      </c>
      <c r="J2168" s="12" t="str">
        <f>HYPERLINK("https://www.boe.es/gazeta/dias/1806/05/30/pdfs/GMD-1806-45.pdf#page=6","Abrir facsímil")</f>
        <v>Abrir facsímil</v>
      </c>
      <c r="K2168" s="15" t="s">
        <v>22</v>
      </c>
    </row>
    <row r="2169" spans="1:11" ht="42" customHeight="1">
      <c r="A2169" s="4" t="s">
        <v>5082</v>
      </c>
      <c r="B2169" s="5" t="s">
        <v>5082</v>
      </c>
      <c r="C2169" s="5" t="s">
        <v>69</v>
      </c>
      <c r="D2169" s="5" t="s">
        <v>70</v>
      </c>
      <c r="E2169" s="5" t="s">
        <v>494</v>
      </c>
      <c r="F2169" s="9">
        <v>69</v>
      </c>
      <c r="G2169" s="9">
        <v>717</v>
      </c>
      <c r="H2169" s="5" t="s">
        <v>20</v>
      </c>
      <c r="I2169" s="5" t="s">
        <v>5084</v>
      </c>
      <c r="J2169" s="12" t="str">
        <f>HYPERLINK("https://www.boe.es/gazeta/dias/1806/08/22/pdfs/GMD-1806-69.pdf#page=5","Abrir facsímil")</f>
        <v>Abrir facsímil</v>
      </c>
      <c r="K2169" s="15" t="s">
        <v>22</v>
      </c>
    </row>
    <row r="2170" spans="1:11" ht="42" customHeight="1">
      <c r="A2170" s="4" t="s">
        <v>5085</v>
      </c>
      <c r="B2170" s="5" t="s">
        <v>5085</v>
      </c>
      <c r="C2170" s="5" t="s">
        <v>69</v>
      </c>
      <c r="D2170" s="5" t="s">
        <v>70</v>
      </c>
      <c r="E2170" s="5" t="s">
        <v>279</v>
      </c>
      <c r="F2170" s="9">
        <v>52</v>
      </c>
      <c r="G2170" s="9">
        <v>537</v>
      </c>
      <c r="H2170" s="5" t="s">
        <v>20</v>
      </c>
      <c r="I2170" s="5" t="s">
        <v>5086</v>
      </c>
      <c r="J2170" s="12" t="str">
        <f>HYPERLINK("https://www.boe.es/gazeta/dias/1806/06/24/pdfs/GMD-1806-52.pdf#page=5","Abrir facsímil")</f>
        <v>Abrir facsímil</v>
      </c>
      <c r="K2170" s="15" t="s">
        <v>22</v>
      </c>
    </row>
    <row r="2171" spans="1:11" ht="42" customHeight="1">
      <c r="A2171" s="4" t="s">
        <v>5087</v>
      </c>
      <c r="B2171" s="5" t="s">
        <v>5088</v>
      </c>
      <c r="C2171" s="5" t="s">
        <v>69</v>
      </c>
      <c r="D2171" s="5" t="s">
        <v>70</v>
      </c>
      <c r="E2171" s="5" t="s">
        <v>661</v>
      </c>
      <c r="F2171" s="9">
        <v>38</v>
      </c>
      <c r="G2171" s="9">
        <v>367</v>
      </c>
      <c r="H2171" s="5" t="s">
        <v>20</v>
      </c>
      <c r="I2171" s="5" t="s">
        <v>5089</v>
      </c>
      <c r="J2171" s="12" t="str">
        <f>HYPERLINK("https://www.boe.es/gazeta/dias/1806/05/06/pdfs/GMD-1806-38.pdf#page=3","Abrir facsímil")</f>
        <v>Abrir facsímil</v>
      </c>
      <c r="K2171" s="15" t="s">
        <v>22</v>
      </c>
    </row>
    <row r="2172" spans="1:11" ht="42" customHeight="1">
      <c r="A2172" s="4" t="s">
        <v>5090</v>
      </c>
      <c r="B2172" s="5" t="s">
        <v>5090</v>
      </c>
      <c r="C2172" s="5" t="s">
        <v>42</v>
      </c>
      <c r="D2172" s="5" t="s">
        <v>43</v>
      </c>
      <c r="E2172" s="5" t="s">
        <v>279</v>
      </c>
      <c r="F2172" s="9">
        <v>52</v>
      </c>
      <c r="G2172" s="9">
        <v>540</v>
      </c>
      <c r="H2172" s="5" t="s">
        <v>20</v>
      </c>
      <c r="I2172" s="5" t="s">
        <v>5091</v>
      </c>
      <c r="J2172" s="12" t="str">
        <f>HYPERLINK("https://www.boe.es/gazeta/dias/1806/06/24/pdfs/GMD-1806-52.pdf#page=8","Abrir facsímil")</f>
        <v>Abrir facsímil</v>
      </c>
      <c r="K2172" s="15" t="s">
        <v>22</v>
      </c>
    </row>
    <row r="2173" spans="1:11" ht="42" customHeight="1">
      <c r="A2173" s="4" t="s">
        <v>5092</v>
      </c>
      <c r="B2173" s="5" t="s">
        <v>5092</v>
      </c>
      <c r="C2173" s="5" t="s">
        <v>42</v>
      </c>
      <c r="D2173" s="5" t="s">
        <v>43</v>
      </c>
      <c r="E2173" s="5" t="s">
        <v>383</v>
      </c>
      <c r="F2173" s="9">
        <v>54</v>
      </c>
      <c r="G2173" s="9">
        <v>562</v>
      </c>
      <c r="H2173" s="5" t="s">
        <v>20</v>
      </c>
      <c r="I2173" s="5" t="s">
        <v>5093</v>
      </c>
      <c r="J2173" s="12" t="str">
        <f>HYPERLINK("https://www.boe.es/gazeta/dias/1806/07/01/pdfs/GMD-1806-54.pdf#page=6","Abrir facsímil")</f>
        <v>Abrir facsímil</v>
      </c>
      <c r="K2173" s="15" t="s">
        <v>22</v>
      </c>
    </row>
    <row r="2174" spans="1:11" ht="42" customHeight="1">
      <c r="A2174" s="4" t="s">
        <v>5094</v>
      </c>
      <c r="B2174" s="5" t="s">
        <v>5094</v>
      </c>
      <c r="C2174" s="5" t="s">
        <v>42</v>
      </c>
      <c r="D2174" s="5" t="s">
        <v>43</v>
      </c>
      <c r="E2174" s="5" t="s">
        <v>400</v>
      </c>
      <c r="F2174" s="9">
        <v>22</v>
      </c>
      <c r="G2174" s="9">
        <v>207</v>
      </c>
      <c r="H2174" s="5" t="s">
        <v>20</v>
      </c>
      <c r="I2174" s="5" t="s">
        <v>5095</v>
      </c>
      <c r="J2174" s="12" t="str">
        <f>HYPERLINK("https://www.boe.es/gazeta/dias/1806/03/11/pdfs/GMD-1806-22.pdf#page=7","Abrir facsímil")</f>
        <v>Abrir facsímil</v>
      </c>
      <c r="K2174" s="15" t="s">
        <v>22</v>
      </c>
    </row>
    <row r="2175" spans="1:11" ht="42" customHeight="1">
      <c r="A2175" s="4" t="s">
        <v>5096</v>
      </c>
      <c r="B2175" s="5" t="s">
        <v>5097</v>
      </c>
      <c r="C2175" s="5" t="s">
        <v>17</v>
      </c>
      <c r="D2175" s="5" t="s">
        <v>18</v>
      </c>
      <c r="E2175" s="5" t="s">
        <v>90</v>
      </c>
      <c r="F2175" s="9">
        <v>60</v>
      </c>
      <c r="G2175" s="9">
        <v>624</v>
      </c>
      <c r="H2175" s="5" t="s">
        <v>20</v>
      </c>
      <c r="I2175" s="5" t="s">
        <v>5098</v>
      </c>
      <c r="J2175" s="12" t="str">
        <f>HYPERLINK("https://www.boe.es/gazeta/dias/1806/07/22/pdfs/GMD-1806-60.pdf#page=8","Abrir facsímil")</f>
        <v>Abrir facsímil</v>
      </c>
      <c r="K2175" s="15" t="s">
        <v>22</v>
      </c>
    </row>
    <row r="2176" spans="1:11" ht="42" customHeight="1">
      <c r="A2176" s="4" t="s">
        <v>5099</v>
      </c>
      <c r="B2176" s="5" t="s">
        <v>5100</v>
      </c>
      <c r="C2176" s="5" t="s">
        <v>17</v>
      </c>
      <c r="D2176" s="5" t="s">
        <v>18</v>
      </c>
      <c r="E2176" s="5" t="s">
        <v>209</v>
      </c>
      <c r="F2176" s="9">
        <v>95</v>
      </c>
      <c r="G2176" s="9">
        <v>1007</v>
      </c>
      <c r="H2176" s="5" t="s">
        <v>20</v>
      </c>
      <c r="I2176" s="5" t="s">
        <v>5101</v>
      </c>
      <c r="J2176" s="12" t="str">
        <f>HYPERLINK("https://www.boe.es/gazeta/dias/1806/11/21/pdfs/GMD-1806-95.pdf#page=15","Abrir facsímil")</f>
        <v>Abrir facsímil</v>
      </c>
      <c r="K2176" s="15" t="s">
        <v>22</v>
      </c>
    </row>
    <row r="2177" spans="1:11" ht="42" customHeight="1">
      <c r="A2177" s="4" t="s">
        <v>5102</v>
      </c>
      <c r="B2177" s="5" t="s">
        <v>5103</v>
      </c>
      <c r="C2177" s="5" t="s">
        <v>17</v>
      </c>
      <c r="D2177" s="5" t="s">
        <v>18</v>
      </c>
      <c r="E2177" s="5" t="s">
        <v>220</v>
      </c>
      <c r="F2177" s="9">
        <v>24</v>
      </c>
      <c r="G2177" s="9">
        <v>234</v>
      </c>
      <c r="H2177" s="5" t="s">
        <v>20</v>
      </c>
      <c r="I2177" s="5" t="s">
        <v>5104</v>
      </c>
      <c r="J2177" s="12" t="str">
        <f>HYPERLINK("https://www.boe.es/gazeta/dias/1806/03/18/pdfs/GMD-1806-24.pdf#page=10","Abrir facsímil")</f>
        <v>Abrir facsímil</v>
      </c>
      <c r="K2177" s="15" t="s">
        <v>22</v>
      </c>
    </row>
    <row r="2178" spans="1:11" ht="42" customHeight="1">
      <c r="A2178" s="4" t="s">
        <v>5105</v>
      </c>
      <c r="B2178" s="5" t="s">
        <v>5106</v>
      </c>
      <c r="C2178" s="5" t="s">
        <v>42</v>
      </c>
      <c r="D2178" s="5" t="s">
        <v>43</v>
      </c>
      <c r="E2178" s="5" t="s">
        <v>238</v>
      </c>
      <c r="F2178" s="9">
        <v>18</v>
      </c>
      <c r="G2178" s="9">
        <v>160</v>
      </c>
      <c r="H2178" s="5" t="s">
        <v>20</v>
      </c>
      <c r="I2178" s="5" t="s">
        <v>5107</v>
      </c>
      <c r="J2178" s="12" t="str">
        <f>HYPERLINK("https://www.boe.es/gazeta/dias/1806/02/25/pdfs/GMD-1806-18.pdf#page=8","Abrir facsímil")</f>
        <v>Abrir facsímil</v>
      </c>
      <c r="K2178" s="15" t="s">
        <v>22</v>
      </c>
    </row>
    <row r="2179" spans="1:11" ht="42" customHeight="1">
      <c r="A2179" s="4" t="s">
        <v>5108</v>
      </c>
      <c r="B2179" s="5" t="s">
        <v>5109</v>
      </c>
      <c r="C2179" s="5" t="s">
        <v>17</v>
      </c>
      <c r="D2179" s="5" t="s">
        <v>18</v>
      </c>
      <c r="E2179" s="5" t="s">
        <v>93</v>
      </c>
      <c r="F2179" s="9">
        <v>72</v>
      </c>
      <c r="G2179" s="9">
        <v>747</v>
      </c>
      <c r="H2179" s="5" t="s">
        <v>20</v>
      </c>
      <c r="I2179" s="5" t="s">
        <v>5110</v>
      </c>
      <c r="J2179" s="12" t="str">
        <f>HYPERLINK("https://www.boe.es/gazeta/dias/1806/09/02/pdfs/GMD-1806-72.pdf#page=7","Abrir facsímil")</f>
        <v>Abrir facsímil</v>
      </c>
      <c r="K2179" s="15" t="s">
        <v>22</v>
      </c>
    </row>
    <row r="2180" spans="1:11" ht="42" customHeight="1">
      <c r="A2180" s="4" t="s">
        <v>5111</v>
      </c>
      <c r="B2180" s="5" t="s">
        <v>5112</v>
      </c>
      <c r="C2180" s="5" t="s">
        <v>42</v>
      </c>
      <c r="D2180" s="5" t="s">
        <v>43</v>
      </c>
      <c r="E2180" s="5" t="s">
        <v>340</v>
      </c>
      <c r="F2180" s="9">
        <v>31</v>
      </c>
      <c r="G2180" s="9">
        <v>305</v>
      </c>
      <c r="H2180" s="5" t="s">
        <v>20</v>
      </c>
      <c r="I2180" s="5" t="s">
        <v>5113</v>
      </c>
      <c r="J2180" s="12" t="str">
        <f>HYPERLINK("https://www.boe.es/gazeta/dias/1806/04/11/pdfs/GMD-1806-31.pdf#page=9","Abrir facsímil")</f>
        <v>Abrir facsímil</v>
      </c>
      <c r="K2180" s="15" t="s">
        <v>22</v>
      </c>
    </row>
    <row r="2181" spans="1:11" ht="42" customHeight="1">
      <c r="A2181" s="4" t="s">
        <v>5114</v>
      </c>
      <c r="B2181" s="5" t="s">
        <v>5114</v>
      </c>
      <c r="C2181" s="5" t="s">
        <v>36</v>
      </c>
      <c r="D2181" s="5" t="s">
        <v>37</v>
      </c>
      <c r="E2181" s="5" t="s">
        <v>86</v>
      </c>
      <c r="F2181" s="9">
        <v>53</v>
      </c>
      <c r="G2181" s="9">
        <v>547</v>
      </c>
      <c r="H2181" s="5" t="s">
        <v>20</v>
      </c>
      <c r="I2181" s="5" t="s">
        <v>5115</v>
      </c>
      <c r="J2181" s="12" t="str">
        <f>HYPERLINK("https://www.boe.es/gazeta/dias/1806/06/27/pdfs/GMD-1806-53.pdf#page=3","Abrir facsímil")</f>
        <v>Abrir facsímil</v>
      </c>
      <c r="K2181" s="15" t="s">
        <v>22</v>
      </c>
    </row>
    <row r="2182" spans="1:11" ht="42" customHeight="1">
      <c r="A2182" s="4" t="s">
        <v>5116</v>
      </c>
      <c r="B2182" s="5" t="s">
        <v>5116</v>
      </c>
      <c r="C2182" s="5" t="s">
        <v>31</v>
      </c>
      <c r="D2182" s="5" t="s">
        <v>32</v>
      </c>
      <c r="E2182" s="5" t="s">
        <v>140</v>
      </c>
      <c r="F2182" s="9">
        <v>83</v>
      </c>
      <c r="G2182" s="9">
        <v>856</v>
      </c>
      <c r="H2182" s="5" t="s">
        <v>20</v>
      </c>
      <c r="I2182" s="5" t="s">
        <v>5117</v>
      </c>
      <c r="J2182" s="12" t="str">
        <f>HYPERLINK("https://www.boe.es/gazeta/dias/1806/10/10/pdfs/GMD-1806-83.pdf#page=4","Abrir facsímil")</f>
        <v>Abrir facsímil</v>
      </c>
      <c r="K2182" s="15" t="s">
        <v>22</v>
      </c>
    </row>
    <row r="2183" spans="1:11" ht="42" customHeight="1">
      <c r="A2183" s="4" t="s">
        <v>5118</v>
      </c>
      <c r="B2183" s="5" t="s">
        <v>5118</v>
      </c>
      <c r="C2183" s="5" t="s">
        <v>17</v>
      </c>
      <c r="D2183" s="5" t="s">
        <v>18</v>
      </c>
      <c r="E2183" s="5" t="s">
        <v>367</v>
      </c>
      <c r="F2183" s="9">
        <v>87</v>
      </c>
      <c r="G2183" s="9">
        <v>901</v>
      </c>
      <c r="H2183" s="5" t="s">
        <v>20</v>
      </c>
      <c r="I2183" s="5" t="s">
        <v>5119</v>
      </c>
      <c r="J2183" s="12" t="str">
        <f>HYPERLINK("https://www.boe.es/gazeta/dias/1806/10/24/pdfs/GMD-1806-87.pdf#page=9","Abrir facsímil")</f>
        <v>Abrir facsímil</v>
      </c>
      <c r="K2183" s="15" t="s">
        <v>22</v>
      </c>
    </row>
    <row r="2184" spans="1:11" ht="42" customHeight="1">
      <c r="A2184" s="4" t="s">
        <v>5120</v>
      </c>
      <c r="B2184" s="5" t="s">
        <v>5120</v>
      </c>
      <c r="C2184" s="5" t="s">
        <v>42</v>
      </c>
      <c r="D2184" s="5" t="s">
        <v>43</v>
      </c>
      <c r="E2184" s="5" t="s">
        <v>600</v>
      </c>
      <c r="F2184" s="9">
        <v>77</v>
      </c>
      <c r="G2184" s="9">
        <v>794</v>
      </c>
      <c r="H2184" s="5" t="s">
        <v>20</v>
      </c>
      <c r="I2184" s="5" t="s">
        <v>5121</v>
      </c>
      <c r="J2184" s="12" t="str">
        <f>HYPERLINK("https://www.boe.es/gazeta/dias/1806/09/19/pdfs/GMD-1806-77.pdf#page=6","Abrir facsímil")</f>
        <v>Abrir facsímil</v>
      </c>
      <c r="K2184" s="15" t="s">
        <v>22</v>
      </c>
    </row>
    <row r="2185" spans="1:11" ht="42" customHeight="1">
      <c r="A2185" s="4" t="s">
        <v>5122</v>
      </c>
      <c r="B2185" s="5" t="s">
        <v>5122</v>
      </c>
      <c r="C2185" s="5" t="s">
        <v>42</v>
      </c>
      <c r="D2185" s="5" t="s">
        <v>43</v>
      </c>
      <c r="E2185" s="5" t="s">
        <v>140</v>
      </c>
      <c r="F2185" s="9">
        <v>83</v>
      </c>
      <c r="G2185" s="9">
        <v>863</v>
      </c>
      <c r="H2185" s="5" t="s">
        <v>20</v>
      </c>
      <c r="I2185" s="5" t="s">
        <v>5123</v>
      </c>
      <c r="J2185" s="12" t="str">
        <f>HYPERLINK("https://www.boe.es/gazeta/dias/1806/10/10/pdfs/GMD-1806-83.pdf#page=11","Abrir facsímil")</f>
        <v>Abrir facsímil</v>
      </c>
      <c r="K2185" s="15" t="s">
        <v>22</v>
      </c>
    </row>
    <row r="2186" spans="1:11" ht="42" customHeight="1">
      <c r="A2186" s="4" t="s">
        <v>5124</v>
      </c>
      <c r="B2186" s="5" t="s">
        <v>5125</v>
      </c>
      <c r="C2186" s="5" t="s">
        <v>17</v>
      </c>
      <c r="D2186" s="5" t="s">
        <v>18</v>
      </c>
      <c r="E2186" s="5" t="s">
        <v>279</v>
      </c>
      <c r="F2186" s="9">
        <v>52</v>
      </c>
      <c r="G2186" s="9">
        <v>541</v>
      </c>
      <c r="H2186" s="5" t="s">
        <v>20</v>
      </c>
      <c r="I2186" s="5" t="s">
        <v>5126</v>
      </c>
      <c r="J2186" s="12" t="str">
        <f>HYPERLINK("https://www.boe.es/gazeta/dias/1806/06/24/pdfs/GMD-1806-52.pdf#page=9","Abrir facsímil")</f>
        <v>Abrir facsímil</v>
      </c>
      <c r="K2186" s="15" t="s">
        <v>22</v>
      </c>
    </row>
    <row r="2187" spans="1:11" ht="42" customHeight="1">
      <c r="A2187" s="4" t="s">
        <v>5127</v>
      </c>
      <c r="B2187" s="5" t="s">
        <v>5128</v>
      </c>
      <c r="C2187" s="5" t="s">
        <v>31</v>
      </c>
      <c r="D2187" s="5" t="s">
        <v>32</v>
      </c>
      <c r="E2187" s="5" t="s">
        <v>570</v>
      </c>
      <c r="F2187" s="9">
        <v>93</v>
      </c>
      <c r="G2187" s="9">
        <v>972</v>
      </c>
      <c r="H2187" s="5" t="s">
        <v>20</v>
      </c>
      <c r="I2187" s="5" t="s">
        <v>5129</v>
      </c>
      <c r="J2187" s="12" t="str">
        <f>HYPERLINK("https://www.boe.es/gazeta/dias/1806/11/14/pdfs/GMD-1806-93.pdf#page=8","Abrir facsímil")</f>
        <v>Abrir facsímil</v>
      </c>
      <c r="K2187" s="15" t="s">
        <v>22</v>
      </c>
    </row>
    <row r="2188" spans="1:11" ht="42" customHeight="1">
      <c r="A2188" s="4" t="s">
        <v>5130</v>
      </c>
      <c r="B2188" s="5" t="s">
        <v>5130</v>
      </c>
      <c r="C2188" s="5" t="s">
        <v>69</v>
      </c>
      <c r="D2188" s="5" t="s">
        <v>70</v>
      </c>
      <c r="E2188" s="5" t="s">
        <v>205</v>
      </c>
      <c r="F2188" s="9">
        <v>57</v>
      </c>
      <c r="G2188" s="9">
        <v>592</v>
      </c>
      <c r="H2188" s="5" t="s">
        <v>20</v>
      </c>
      <c r="I2188" s="5" t="s">
        <v>5131</v>
      </c>
      <c r="J2188" s="12" t="str">
        <f>HYPERLINK("https://www.boe.es/gazeta/dias/1806/07/11/pdfs/GMD-1806-57.pdf#page=4","Abrir facsímil")</f>
        <v>Abrir facsímil</v>
      </c>
      <c r="K2188" s="15" t="s">
        <v>22</v>
      </c>
    </row>
    <row r="2189" spans="1:11" ht="42" customHeight="1">
      <c r="A2189" s="4" t="s">
        <v>5132</v>
      </c>
      <c r="B2189" s="5" t="s">
        <v>5133</v>
      </c>
      <c r="C2189" s="5" t="s">
        <v>31</v>
      </c>
      <c r="D2189" s="5" t="s">
        <v>32</v>
      </c>
      <c r="E2189" s="5" t="s">
        <v>290</v>
      </c>
      <c r="F2189" s="9">
        <v>1</v>
      </c>
      <c r="G2189" s="9">
        <v>8</v>
      </c>
      <c r="H2189" s="5" t="s">
        <v>20</v>
      </c>
      <c r="I2189" s="5" t="s">
        <v>5134</v>
      </c>
      <c r="J2189" s="12" t="str">
        <f>HYPERLINK("https://www.boe.es/gazeta/dias/1806/01/03/pdfs/GMD-1806-1.pdf#page=8","Abrir facsímil")</f>
        <v>Abrir facsímil</v>
      </c>
      <c r="K2189" s="15" t="s">
        <v>22</v>
      </c>
    </row>
    <row r="2190" spans="1:11" ht="42" customHeight="1">
      <c r="A2190" s="4" t="s">
        <v>5135</v>
      </c>
      <c r="B2190" s="5" t="s">
        <v>5136</v>
      </c>
      <c r="C2190" s="5" t="s">
        <v>69</v>
      </c>
      <c r="D2190" s="5" t="s">
        <v>70</v>
      </c>
      <c r="E2190" s="5" t="s">
        <v>702</v>
      </c>
      <c r="F2190" s="9">
        <v>43</v>
      </c>
      <c r="G2190" s="9">
        <v>427</v>
      </c>
      <c r="H2190" s="5" t="s">
        <v>20</v>
      </c>
      <c r="I2190" s="5" t="s">
        <v>5137</v>
      </c>
      <c r="J2190" s="12" t="str">
        <f>HYPERLINK("https://www.boe.es/gazeta/dias/1806/05/23/pdfs/GMD-1806-43.pdf#page=3","Abrir facsímil")</f>
        <v>Abrir facsímil</v>
      </c>
      <c r="K2190" s="15" t="s">
        <v>22</v>
      </c>
    </row>
    <row r="2191" spans="1:11" ht="42" customHeight="1">
      <c r="A2191" s="4" t="s">
        <v>5138</v>
      </c>
      <c r="B2191" s="5" t="s">
        <v>5139</v>
      </c>
      <c r="C2191" s="5" t="s">
        <v>17</v>
      </c>
      <c r="D2191" s="5" t="s">
        <v>18</v>
      </c>
      <c r="E2191" s="5" t="s">
        <v>124</v>
      </c>
      <c r="F2191" s="9">
        <v>25</v>
      </c>
      <c r="G2191" s="9">
        <v>243</v>
      </c>
      <c r="H2191" s="5" t="s">
        <v>20</v>
      </c>
      <c r="I2191" s="5" t="s">
        <v>5140</v>
      </c>
      <c r="J2191" s="12" t="str">
        <f>HYPERLINK("https://www.boe.es/gazeta/dias/1806/03/21/pdfs/GMD-1806-25.pdf#page=7","Abrir facsímil")</f>
        <v>Abrir facsímil</v>
      </c>
      <c r="K2191" s="15" t="s">
        <v>22</v>
      </c>
    </row>
    <row r="2192" spans="1:11" ht="42" customHeight="1">
      <c r="A2192" s="4" t="s">
        <v>5141</v>
      </c>
      <c r="B2192" s="5" t="s">
        <v>5142</v>
      </c>
      <c r="C2192" s="5" t="s">
        <v>31</v>
      </c>
      <c r="D2192" s="5" t="s">
        <v>32</v>
      </c>
      <c r="E2192" s="5" t="s">
        <v>140</v>
      </c>
      <c r="F2192" s="9">
        <v>83</v>
      </c>
      <c r="G2192" s="9">
        <v>860</v>
      </c>
      <c r="H2192" s="5" t="s">
        <v>20</v>
      </c>
      <c r="I2192" s="5" t="s">
        <v>5143</v>
      </c>
      <c r="J2192" s="12" t="str">
        <f>HYPERLINK("https://www.boe.es/gazeta/dias/1806/10/10/pdfs/GMD-1806-83.pdf#page=8","Abrir facsímil")</f>
        <v>Abrir facsímil</v>
      </c>
      <c r="K2192" s="15" t="s">
        <v>22</v>
      </c>
    </row>
    <row r="2193" spans="1:11" ht="42" customHeight="1">
      <c r="A2193" s="4" t="s">
        <v>5144</v>
      </c>
      <c r="B2193" s="5" t="s">
        <v>5145</v>
      </c>
      <c r="C2193" s="5" t="s">
        <v>42</v>
      </c>
      <c r="D2193" s="5" t="s">
        <v>43</v>
      </c>
      <c r="E2193" s="5" t="s">
        <v>130</v>
      </c>
      <c r="F2193" s="9">
        <v>66</v>
      </c>
      <c r="G2193" s="9">
        <v>690</v>
      </c>
      <c r="H2193" s="5" t="s">
        <v>20</v>
      </c>
      <c r="I2193" s="5" t="s">
        <v>5146</v>
      </c>
      <c r="J2193" s="12" t="str">
        <f>HYPERLINK("https://www.boe.es/gazeta/dias/1806/08/12/pdfs/GMD-1806-66.pdf#page=6","Abrir facsímil")</f>
        <v>Abrir facsímil</v>
      </c>
      <c r="K2193" s="15" t="s">
        <v>22</v>
      </c>
    </row>
    <row r="2194" spans="1:11" ht="42" customHeight="1">
      <c r="A2194" s="4" t="s">
        <v>5147</v>
      </c>
      <c r="B2194" s="5" t="s">
        <v>5148</v>
      </c>
      <c r="C2194" s="5" t="s">
        <v>42</v>
      </c>
      <c r="D2194" s="5" t="s">
        <v>43</v>
      </c>
      <c r="E2194" s="5" t="s">
        <v>301</v>
      </c>
      <c r="F2194" s="9">
        <v>75</v>
      </c>
      <c r="G2194" s="9">
        <v>776</v>
      </c>
      <c r="H2194" s="5" t="s">
        <v>20</v>
      </c>
      <c r="I2194" s="5" t="s">
        <v>5149</v>
      </c>
      <c r="J2194" s="12" t="str">
        <f>HYPERLINK("https://www.boe.es/gazeta/dias/1806/09/12/pdfs/GMD-1806-75.pdf#page=8","Abrir facsímil")</f>
        <v>Abrir facsímil</v>
      </c>
      <c r="K2194" s="15" t="s">
        <v>22</v>
      </c>
    </row>
    <row r="2195" spans="1:11" ht="42" customHeight="1">
      <c r="A2195" s="4" t="s">
        <v>5150</v>
      </c>
      <c r="B2195" s="5" t="s">
        <v>5150</v>
      </c>
      <c r="C2195" s="5" t="s">
        <v>69</v>
      </c>
      <c r="D2195" s="5" t="s">
        <v>70</v>
      </c>
      <c r="E2195" s="5" t="s">
        <v>238</v>
      </c>
      <c r="F2195" s="9">
        <v>18</v>
      </c>
      <c r="G2195" s="9">
        <v>154</v>
      </c>
      <c r="H2195" s="5" t="s">
        <v>20</v>
      </c>
      <c r="I2195" s="5" t="s">
        <v>5151</v>
      </c>
      <c r="J2195" s="12" t="str">
        <f>HYPERLINK("https://www.boe.es/gazeta/dias/1806/02/25/pdfs/GMD-1806-18.pdf#page=2","Abrir facsímil")</f>
        <v>Abrir facsímil</v>
      </c>
      <c r="K2195" s="15" t="s">
        <v>22</v>
      </c>
    </row>
    <row r="2196" spans="1:11" ht="42" customHeight="1">
      <c r="A2196" s="4" t="s">
        <v>5150</v>
      </c>
      <c r="B2196" s="5" t="s">
        <v>5150</v>
      </c>
      <c r="C2196" s="5" t="s">
        <v>17</v>
      </c>
      <c r="D2196" s="5" t="s">
        <v>18</v>
      </c>
      <c r="E2196" s="5" t="s">
        <v>26</v>
      </c>
      <c r="F2196" s="9">
        <v>65</v>
      </c>
      <c r="G2196" s="9">
        <v>679</v>
      </c>
      <c r="H2196" s="5" t="s">
        <v>20</v>
      </c>
      <c r="I2196" s="5" t="s">
        <v>5152</v>
      </c>
      <c r="J2196" s="12" t="str">
        <f>HYPERLINK("https://www.boe.es/gazeta/dias/1806/08/08/pdfs/GMD-1806-65.pdf#page=7","Abrir facsímil")</f>
        <v>Abrir facsímil</v>
      </c>
      <c r="K2196" s="15" t="s">
        <v>22</v>
      </c>
    </row>
    <row r="2197" spans="1:11" ht="42" customHeight="1">
      <c r="A2197" s="4" t="s">
        <v>5153</v>
      </c>
      <c r="B2197" s="5" t="s">
        <v>5153</v>
      </c>
      <c r="C2197" s="5" t="s">
        <v>17</v>
      </c>
      <c r="D2197" s="5" t="s">
        <v>18</v>
      </c>
      <c r="E2197" s="5" t="s">
        <v>405</v>
      </c>
      <c r="F2197" s="9">
        <v>80</v>
      </c>
      <c r="G2197" s="9">
        <v>830</v>
      </c>
      <c r="H2197" s="5" t="s">
        <v>20</v>
      </c>
      <c r="I2197" s="5" t="s">
        <v>5154</v>
      </c>
      <c r="J2197" s="12" t="str">
        <f>HYPERLINK("https://www.boe.es/gazeta/dias/1806/09/30/pdfs/GMD-1806-80.pdf#page=10","Abrir facsímil")</f>
        <v>Abrir facsímil</v>
      </c>
      <c r="K2197" s="15" t="s">
        <v>22</v>
      </c>
    </row>
    <row r="2198" spans="1:11" ht="42" customHeight="1">
      <c r="A2198" s="4" t="s">
        <v>5155</v>
      </c>
      <c r="B2198" s="5" t="s">
        <v>5156</v>
      </c>
      <c r="C2198" s="5" t="s">
        <v>31</v>
      </c>
      <c r="D2198" s="5" t="s">
        <v>32</v>
      </c>
      <c r="E2198" s="5" t="s">
        <v>304</v>
      </c>
      <c r="F2198" s="9">
        <v>47</v>
      </c>
      <c r="G2198" s="9">
        <v>479</v>
      </c>
      <c r="H2198" s="5" t="s">
        <v>20</v>
      </c>
      <c r="I2198" s="5" t="s">
        <v>5157</v>
      </c>
      <c r="J2198" s="12" t="str">
        <f>HYPERLINK("https://www.boe.es/gazeta/dias/1806/06/06/pdfs/GMD-1806-47.pdf#page=7","Abrir facsímil")</f>
        <v>Abrir facsímil</v>
      </c>
      <c r="K2198" s="15" t="s">
        <v>22</v>
      </c>
    </row>
    <row r="2199" spans="1:11" ht="42" customHeight="1">
      <c r="A2199" s="4" t="s">
        <v>5158</v>
      </c>
      <c r="B2199" s="5" t="s">
        <v>5159</v>
      </c>
      <c r="C2199" s="5" t="s">
        <v>17</v>
      </c>
      <c r="D2199" s="5" t="s">
        <v>18</v>
      </c>
      <c r="E2199" s="5" t="s">
        <v>689</v>
      </c>
      <c r="F2199" s="9">
        <v>37</v>
      </c>
      <c r="G2199" s="9">
        <v>361</v>
      </c>
      <c r="H2199" s="5" t="s">
        <v>20</v>
      </c>
      <c r="I2199" s="5" t="s">
        <v>5160</v>
      </c>
      <c r="J2199" s="12" t="str">
        <f>HYPERLINK("https://www.boe.es/gazeta/dias/1806/05/02/pdfs/GMD-1806-37.pdf#page=9","Abrir facsímil")</f>
        <v>Abrir facsímil</v>
      </c>
      <c r="K2199" s="15" t="s">
        <v>22</v>
      </c>
    </row>
    <row r="2200" spans="1:11" ht="42" customHeight="1">
      <c r="A2200" s="4" t="s">
        <v>5161</v>
      </c>
      <c r="B2200" s="5" t="s">
        <v>5162</v>
      </c>
      <c r="C2200" s="5" t="s">
        <v>36</v>
      </c>
      <c r="D2200" s="5" t="s">
        <v>37</v>
      </c>
      <c r="E2200" s="5" t="s">
        <v>304</v>
      </c>
      <c r="F2200" s="9">
        <v>47</v>
      </c>
      <c r="G2200" s="9">
        <v>483</v>
      </c>
      <c r="H2200" s="5" t="s">
        <v>20</v>
      </c>
      <c r="I2200" s="5" t="s">
        <v>5163</v>
      </c>
      <c r="J2200" s="12" t="str">
        <f>HYPERLINK("https://www.boe.es/gazeta/dias/1806/06/06/pdfs/GMD-C-1806-47.pdf#page=3","Abrir facsímil")</f>
        <v>Abrir facsímil</v>
      </c>
      <c r="K2200" s="15" t="s">
        <v>22</v>
      </c>
    </row>
    <row r="2201" spans="1:11" ht="42" customHeight="1">
      <c r="A2201" s="4" t="s">
        <v>5164</v>
      </c>
      <c r="B2201" s="5" t="s">
        <v>5165</v>
      </c>
      <c r="C2201" s="5" t="s">
        <v>31</v>
      </c>
      <c r="D2201" s="5" t="s">
        <v>32</v>
      </c>
      <c r="E2201" s="5" t="s">
        <v>348</v>
      </c>
      <c r="F2201" s="9">
        <v>88</v>
      </c>
      <c r="G2201" s="9">
        <v>910</v>
      </c>
      <c r="H2201" s="5" t="s">
        <v>20</v>
      </c>
      <c r="I2201" s="5" t="s">
        <v>5166</v>
      </c>
      <c r="J2201" s="12" t="str">
        <f>HYPERLINK("https://www.boe.es/gazeta/dias/1806/10/28/pdfs/GMD-1806-88.pdf#page=6","Abrir facsímil")</f>
        <v>Abrir facsímil</v>
      </c>
      <c r="K2201" s="15" t="s">
        <v>22</v>
      </c>
    </row>
    <row r="2202" spans="1:11" ht="42" customHeight="1">
      <c r="A2202" s="4" t="s">
        <v>5167</v>
      </c>
      <c r="B2202" s="5" t="s">
        <v>5167</v>
      </c>
      <c r="C2202" s="5" t="s">
        <v>69</v>
      </c>
      <c r="D2202" s="5" t="s">
        <v>70</v>
      </c>
      <c r="E2202" s="5" t="s">
        <v>501</v>
      </c>
      <c r="F2202" s="9">
        <v>39</v>
      </c>
      <c r="G2202" s="9">
        <v>381</v>
      </c>
      <c r="H2202" s="5" t="s">
        <v>20</v>
      </c>
      <c r="I2202" s="5" t="s">
        <v>5168</v>
      </c>
      <c r="J2202" s="12" t="str">
        <f>HYPERLINK("https://www.boe.es/gazeta/dias/1806/05/09/pdfs/GMD-1806-39.pdf#page=5","Abrir facsímil")</f>
        <v>Abrir facsímil</v>
      </c>
      <c r="K2202" s="15" t="s">
        <v>22</v>
      </c>
    </row>
    <row r="2203" spans="1:11" ht="42" customHeight="1">
      <c r="A2203" s="4" t="s">
        <v>5169</v>
      </c>
      <c r="B2203" s="5" t="s">
        <v>5170</v>
      </c>
      <c r="C2203" s="5" t="s">
        <v>17</v>
      </c>
      <c r="D2203" s="5" t="s">
        <v>18</v>
      </c>
      <c r="E2203" s="5" t="s">
        <v>870</v>
      </c>
      <c r="F2203" s="9">
        <v>35</v>
      </c>
      <c r="G2203" s="9">
        <v>343</v>
      </c>
      <c r="H2203" s="5" t="s">
        <v>20</v>
      </c>
      <c r="I2203" s="5" t="s">
        <v>5171</v>
      </c>
      <c r="J2203" s="12" t="str">
        <f>HYPERLINK("https://www.boe.es/gazeta/dias/1806/04/25/pdfs/GMD-1806-35.pdf#page=7","Abrir facsímil")</f>
        <v>Abrir facsímil</v>
      </c>
      <c r="K2203" s="15" t="s">
        <v>22</v>
      </c>
    </row>
    <row r="2204" spans="1:11" ht="42" customHeight="1">
      <c r="A2204" s="4" t="s">
        <v>5172</v>
      </c>
      <c r="B2204" s="5" t="s">
        <v>5173</v>
      </c>
      <c r="C2204" s="5" t="s">
        <v>31</v>
      </c>
      <c r="D2204" s="5" t="s">
        <v>32</v>
      </c>
      <c r="E2204" s="5" t="s">
        <v>165</v>
      </c>
      <c r="F2204" s="9">
        <v>101</v>
      </c>
      <c r="G2204" s="9">
        <v>1074</v>
      </c>
      <c r="H2204" s="5" t="s">
        <v>20</v>
      </c>
      <c r="I2204" s="5" t="s">
        <v>5174</v>
      </c>
      <c r="J2204" s="12" t="str">
        <f>HYPERLINK("https://www.boe.es/gazeta/dias/1806/12/12/pdfs/GMD-1806-101.pdf#page=6","Abrir facsímil")</f>
        <v>Abrir facsímil</v>
      </c>
      <c r="K2204" s="15" t="s">
        <v>22</v>
      </c>
    </row>
    <row r="2205" spans="1:11" ht="42" customHeight="1">
      <c r="A2205" s="4" t="s">
        <v>5175</v>
      </c>
      <c r="B2205" s="5" t="s">
        <v>5176</v>
      </c>
      <c r="C2205" s="5" t="s">
        <v>75</v>
      </c>
      <c r="D2205" s="5" t="s">
        <v>43</v>
      </c>
      <c r="E2205" s="5" t="s">
        <v>148</v>
      </c>
      <c r="F2205" s="9">
        <v>78</v>
      </c>
      <c r="G2205" s="9">
        <v>806</v>
      </c>
      <c r="H2205" s="5" t="s">
        <v>20</v>
      </c>
      <c r="I2205" s="5" t="s">
        <v>5177</v>
      </c>
      <c r="J2205" s="12" t="str">
        <f>HYPERLINK("https://www.boe.es/gazeta/dias/1806/09/23/pdfs/GMD-1806-78.pdf#page=10","Abrir facsímil")</f>
        <v>Abrir facsímil</v>
      </c>
      <c r="K2205" s="15" t="s">
        <v>22</v>
      </c>
    </row>
    <row r="2206" spans="1:11" ht="42" customHeight="1">
      <c r="A2206" s="4" t="s">
        <v>5178</v>
      </c>
      <c r="B2206" s="5" t="s">
        <v>5178</v>
      </c>
      <c r="C2206" s="5" t="s">
        <v>36</v>
      </c>
      <c r="D2206" s="5" t="s">
        <v>37</v>
      </c>
      <c r="E2206" s="5" t="s">
        <v>144</v>
      </c>
      <c r="F2206" s="9">
        <v>79</v>
      </c>
      <c r="G2206" s="9">
        <v>820</v>
      </c>
      <c r="H2206" s="5" t="s">
        <v>20</v>
      </c>
      <c r="I2206" s="5" t="s">
        <v>5179</v>
      </c>
      <c r="J2206" s="12" t="str">
        <f>HYPERLINK("https://www.boe.es/gazeta/dias/1806/09/26/pdfs/GMD-1806-79.pdf#page=12","Abrir facsímil")</f>
        <v>Abrir facsímil</v>
      </c>
      <c r="K2206" s="15" t="s">
        <v>22</v>
      </c>
    </row>
    <row r="2207" spans="1:11" ht="42" customHeight="1">
      <c r="A2207" s="4" t="s">
        <v>5180</v>
      </c>
      <c r="B2207" s="5" t="s">
        <v>5181</v>
      </c>
      <c r="C2207" s="5" t="s">
        <v>17</v>
      </c>
      <c r="D2207" s="5" t="s">
        <v>18</v>
      </c>
      <c r="E2207" s="5" t="s">
        <v>279</v>
      </c>
      <c r="F2207" s="9">
        <v>52</v>
      </c>
      <c r="G2207" s="9">
        <v>541</v>
      </c>
      <c r="H2207" s="5" t="s">
        <v>20</v>
      </c>
      <c r="I2207" s="5" t="s">
        <v>5182</v>
      </c>
      <c r="J2207" s="12" t="str">
        <f>HYPERLINK("https://www.boe.es/gazeta/dias/1806/06/24/pdfs/GMD-1806-52.pdf#page=9","Abrir facsímil")</f>
        <v>Abrir facsímil</v>
      </c>
      <c r="K2207" s="15" t="s">
        <v>22</v>
      </c>
    </row>
    <row r="2208" spans="1:11" ht="42" customHeight="1">
      <c r="A2208" s="4" t="s">
        <v>5183</v>
      </c>
      <c r="B2208" s="5" t="s">
        <v>5184</v>
      </c>
      <c r="C2208" s="5" t="s">
        <v>31</v>
      </c>
      <c r="D2208" s="5" t="s">
        <v>32</v>
      </c>
      <c r="E2208" s="5" t="s">
        <v>185</v>
      </c>
      <c r="F2208" s="9">
        <v>46</v>
      </c>
      <c r="G2208" s="9">
        <v>469</v>
      </c>
      <c r="H2208" s="5" t="s">
        <v>20</v>
      </c>
      <c r="I2208" s="5" t="s">
        <v>5185</v>
      </c>
      <c r="J2208" s="12" t="str">
        <f>HYPERLINK("https://www.boe.es/gazeta/dias/1806/06/03/pdfs/GMD-1806-46.pdf#page=9","Abrir facsímil")</f>
        <v>Abrir facsímil</v>
      </c>
      <c r="K2208" s="15" t="s">
        <v>22</v>
      </c>
    </row>
    <row r="2209" spans="1:11" ht="42" customHeight="1">
      <c r="A2209" s="4" t="s">
        <v>5186</v>
      </c>
      <c r="B2209" s="5" t="s">
        <v>5186</v>
      </c>
      <c r="C2209" s="5" t="s">
        <v>36</v>
      </c>
      <c r="D2209" s="5" t="s">
        <v>37</v>
      </c>
      <c r="E2209" s="5" t="s">
        <v>76</v>
      </c>
      <c r="F2209" s="9">
        <v>98</v>
      </c>
      <c r="G2209" s="9">
        <v>1044</v>
      </c>
      <c r="H2209" s="5" t="s">
        <v>20</v>
      </c>
      <c r="I2209" s="5" t="s">
        <v>5187</v>
      </c>
      <c r="J2209" s="12" t="str">
        <f>HYPERLINK("https://www.boe.es/gazeta/dias/1806/12/02/pdfs/GMD-1806-98.pdf#page=12","Abrir facsímil")</f>
        <v>Abrir facsímil</v>
      </c>
      <c r="K2209" s="15" t="s">
        <v>22</v>
      </c>
    </row>
    <row r="2210" spans="1:11" ht="42" customHeight="1">
      <c r="A2210" s="4" t="s">
        <v>5188</v>
      </c>
      <c r="B2210" s="5" t="s">
        <v>5188</v>
      </c>
      <c r="C2210" s="5" t="s">
        <v>69</v>
      </c>
      <c r="D2210" s="5" t="s">
        <v>70</v>
      </c>
      <c r="E2210" s="5" t="s">
        <v>62</v>
      </c>
      <c r="F2210" s="9">
        <v>45</v>
      </c>
      <c r="G2210" s="9">
        <v>454</v>
      </c>
      <c r="H2210" s="5" t="s">
        <v>20</v>
      </c>
      <c r="I2210" s="5" t="s">
        <v>5189</v>
      </c>
      <c r="J2210" s="12" t="str">
        <f>HYPERLINK("https://www.boe.es/gazeta/dias/1806/05/30/pdfs/GMD-1806-45.pdf#page=6","Abrir facsímil")</f>
        <v>Abrir facsímil</v>
      </c>
      <c r="K2210" s="15" t="s">
        <v>22</v>
      </c>
    </row>
    <row r="2211" spans="1:11" ht="42" customHeight="1">
      <c r="A2211" s="4" t="s">
        <v>5190</v>
      </c>
      <c r="B2211" s="5" t="s">
        <v>5191</v>
      </c>
      <c r="C2211" s="5" t="s">
        <v>75</v>
      </c>
      <c r="D2211" s="5" t="s">
        <v>43</v>
      </c>
      <c r="E2211" s="5" t="s">
        <v>434</v>
      </c>
      <c r="F2211" s="9">
        <v>74</v>
      </c>
      <c r="G2211" s="9">
        <v>767</v>
      </c>
      <c r="H2211" s="5" t="s">
        <v>20</v>
      </c>
      <c r="I2211" s="5" t="s">
        <v>5192</v>
      </c>
      <c r="J2211" s="12" t="str">
        <f>HYPERLINK("https://www.boe.es/gazeta/dias/1806/09/09/pdfs/GMD-1806-74.pdf#page=7","Abrir facsímil")</f>
        <v>Abrir facsímil</v>
      </c>
      <c r="K2211" s="15" t="s">
        <v>22</v>
      </c>
    </row>
    <row r="2212" spans="1:11" ht="42" customHeight="1">
      <c r="A2212" s="4" t="s">
        <v>5193</v>
      </c>
      <c r="B2212" s="5" t="s">
        <v>5194</v>
      </c>
      <c r="C2212" s="5" t="s">
        <v>31</v>
      </c>
      <c r="D2212" s="5" t="s">
        <v>32</v>
      </c>
      <c r="E2212" s="5" t="s">
        <v>76</v>
      </c>
      <c r="F2212" s="9">
        <v>98</v>
      </c>
      <c r="G2212" s="9">
        <v>1043</v>
      </c>
      <c r="H2212" s="5" t="s">
        <v>20</v>
      </c>
      <c r="I2212" s="5" t="s">
        <v>5195</v>
      </c>
      <c r="J2212" s="12" t="str">
        <f>HYPERLINK("https://www.boe.es/gazeta/dias/1806/12/02/pdfs/GMD-1806-98.pdf#page=11","Abrir facsímil")</f>
        <v>Abrir facsímil</v>
      </c>
      <c r="K2212" s="15" t="s">
        <v>22</v>
      </c>
    </row>
    <row r="2213" spans="1:11" ht="42" customHeight="1">
      <c r="A2213" s="4" t="s">
        <v>5196</v>
      </c>
      <c r="B2213" s="5" t="s">
        <v>5197</v>
      </c>
      <c r="C2213" s="5" t="s">
        <v>75</v>
      </c>
      <c r="D2213" s="5" t="s">
        <v>43</v>
      </c>
      <c r="E2213" s="5" t="s">
        <v>59</v>
      </c>
      <c r="F2213" s="9">
        <v>21</v>
      </c>
      <c r="G2213" s="9">
        <v>199</v>
      </c>
      <c r="H2213" s="5" t="s">
        <v>20</v>
      </c>
      <c r="I2213" s="5" t="s">
        <v>5198</v>
      </c>
      <c r="J2213" s="12" t="str">
        <f>HYPERLINK("https://www.boe.es/gazeta/dias/1806/03/07/pdfs/GMD-1806-21.pdf#page=11","Abrir facsímil")</f>
        <v>Abrir facsímil</v>
      </c>
      <c r="K2213" s="15" t="s">
        <v>22</v>
      </c>
    </row>
    <row r="2214" spans="1:11" ht="42" customHeight="1">
      <c r="A2214" s="4" t="s">
        <v>5199</v>
      </c>
      <c r="B2214" s="5" t="s">
        <v>5200</v>
      </c>
      <c r="C2214" s="5" t="s">
        <v>31</v>
      </c>
      <c r="D2214" s="5" t="s">
        <v>32</v>
      </c>
      <c r="E2214" s="5" t="s">
        <v>400</v>
      </c>
      <c r="F2214" s="9">
        <v>22</v>
      </c>
      <c r="G2214" s="9">
        <v>206</v>
      </c>
      <c r="H2214" s="5" t="s">
        <v>20</v>
      </c>
      <c r="I2214" s="5" t="s">
        <v>5201</v>
      </c>
      <c r="J2214" s="12" t="str">
        <f>HYPERLINK("https://www.boe.es/gazeta/dias/1806/03/11/pdfs/GMD-1806-22.pdf#page=6","Abrir facsímil")</f>
        <v>Abrir facsímil</v>
      </c>
      <c r="K2214" s="15" t="s">
        <v>22</v>
      </c>
    </row>
    <row r="2215" spans="1:11" ht="42" customHeight="1">
      <c r="A2215" s="4" t="s">
        <v>5202</v>
      </c>
      <c r="B2215" s="5" t="s">
        <v>5203</v>
      </c>
      <c r="C2215" s="5" t="s">
        <v>17</v>
      </c>
      <c r="D2215" s="5" t="s">
        <v>18</v>
      </c>
      <c r="E2215" s="5" t="s">
        <v>1005</v>
      </c>
      <c r="F2215" s="9">
        <v>76</v>
      </c>
      <c r="G2215" s="9">
        <v>786</v>
      </c>
      <c r="H2215" s="5" t="s">
        <v>20</v>
      </c>
      <c r="I2215" s="5" t="s">
        <v>5204</v>
      </c>
      <c r="J2215" s="12" t="str">
        <f>HYPERLINK("https://www.boe.es/gazeta/dias/1806/09/16/pdfs/GMD-1806-76.pdf#page=6","Abrir facsímil")</f>
        <v>Abrir facsímil</v>
      </c>
      <c r="K2215" s="15" t="s">
        <v>22</v>
      </c>
    </row>
    <row r="2216" spans="1:11" ht="42" customHeight="1">
      <c r="A2216" s="4" t="s">
        <v>5205</v>
      </c>
      <c r="B2216" s="5" t="s">
        <v>5206</v>
      </c>
      <c r="C2216" s="5" t="s">
        <v>17</v>
      </c>
      <c r="D2216" s="5" t="s">
        <v>18</v>
      </c>
      <c r="E2216" s="5" t="s">
        <v>44</v>
      </c>
      <c r="F2216" s="9">
        <v>42</v>
      </c>
      <c r="G2216" s="9">
        <v>424</v>
      </c>
      <c r="H2216" s="5" t="s">
        <v>20</v>
      </c>
      <c r="I2216" s="5" t="s">
        <v>5207</v>
      </c>
      <c r="J2216" s="12" t="str">
        <f>HYPERLINK("https://www.boe.es/gazeta/dias/1806/05/20/pdfs/GMD-1806-42.pdf#page=12","Abrir facsímil")</f>
        <v>Abrir facsímil</v>
      </c>
      <c r="K2216" s="15" t="s">
        <v>22</v>
      </c>
    </row>
    <row r="2217" spans="1:11" ht="42" customHeight="1">
      <c r="A2217" s="4" t="s">
        <v>5208</v>
      </c>
      <c r="B2217" s="5" t="s">
        <v>5209</v>
      </c>
      <c r="C2217" s="5" t="s">
        <v>31</v>
      </c>
      <c r="D2217" s="5" t="s">
        <v>32</v>
      </c>
      <c r="E2217" s="5" t="s">
        <v>76</v>
      </c>
      <c r="F2217" s="9">
        <v>98</v>
      </c>
      <c r="G2217" s="9">
        <v>1043</v>
      </c>
      <c r="H2217" s="5" t="s">
        <v>20</v>
      </c>
      <c r="I2217" s="5" t="s">
        <v>5210</v>
      </c>
      <c r="J2217" s="12" t="str">
        <f>HYPERLINK("https://www.boe.es/gazeta/dias/1806/12/02/pdfs/GMD-1806-98.pdf#page=11","Abrir facsímil")</f>
        <v>Abrir facsímil</v>
      </c>
      <c r="K2217" s="15" t="s">
        <v>22</v>
      </c>
    </row>
    <row r="2218" spans="1:11" ht="42" customHeight="1">
      <c r="A2218" s="4" t="s">
        <v>5211</v>
      </c>
      <c r="B2218" s="5" t="s">
        <v>5212</v>
      </c>
      <c r="C2218" s="5" t="s">
        <v>447</v>
      </c>
      <c r="D2218" s="5" t="s">
        <v>448</v>
      </c>
      <c r="E2218" s="5" t="s">
        <v>304</v>
      </c>
      <c r="F2218" s="9">
        <v>47</v>
      </c>
      <c r="G2218" s="9">
        <v>483</v>
      </c>
      <c r="H2218" s="5" t="s">
        <v>20</v>
      </c>
      <c r="I2218" s="5" t="s">
        <v>5213</v>
      </c>
      <c r="J2218" s="12" t="str">
        <f>HYPERLINK("https://www.boe.es/gazeta/dias/1806/06/06/pdfs/GMD-C-1806-47.pdf#page=3","Abrir facsímil")</f>
        <v>Abrir facsímil</v>
      </c>
      <c r="K2218" s="15" t="s">
        <v>22</v>
      </c>
    </row>
    <row r="2219" spans="1:11" ht="42" customHeight="1">
      <c r="A2219" s="4" t="s">
        <v>5214</v>
      </c>
      <c r="B2219" s="5" t="s">
        <v>5215</v>
      </c>
      <c r="C2219" s="5" t="s">
        <v>75</v>
      </c>
      <c r="D2219" s="5" t="s">
        <v>43</v>
      </c>
      <c r="E2219" s="5" t="s">
        <v>121</v>
      </c>
      <c r="F2219" s="9">
        <v>19</v>
      </c>
      <c r="G2219" s="9">
        <v>174</v>
      </c>
      <c r="H2219" s="5" t="s">
        <v>20</v>
      </c>
      <c r="I2219" s="5" t="s">
        <v>5216</v>
      </c>
      <c r="J2219" s="12" t="str">
        <f>HYPERLINK("https://www.boe.es/gazeta/dias/1806/02/28/pdfs/GMD-1806-19.pdf#page=10","Abrir facsímil")</f>
        <v>Abrir facsímil</v>
      </c>
      <c r="K2219" s="15" t="s">
        <v>22</v>
      </c>
    </row>
    <row r="2220" spans="1:11" ht="42" customHeight="1">
      <c r="A2220" s="4" t="s">
        <v>5217</v>
      </c>
      <c r="B2220" s="5" t="s">
        <v>5218</v>
      </c>
      <c r="C2220" s="5" t="s">
        <v>75</v>
      </c>
      <c r="D2220" s="5" t="s">
        <v>43</v>
      </c>
      <c r="E2220" s="5" t="s">
        <v>19</v>
      </c>
      <c r="F2220" s="9">
        <v>3</v>
      </c>
      <c r="G2220" s="9">
        <v>28</v>
      </c>
      <c r="H2220" s="5" t="s">
        <v>20</v>
      </c>
      <c r="I2220" s="5" t="s">
        <v>5219</v>
      </c>
      <c r="J2220" s="12" t="str">
        <f>HYPERLINK("https://www.boe.es/gazeta/dias/1806/01/10/pdfs/GMD-1806-3.pdf#page=8","Abrir facsímil")</f>
        <v>Abrir facsímil</v>
      </c>
      <c r="K2220" s="15" t="s">
        <v>22</v>
      </c>
    </row>
    <row r="2221" spans="1:11" ht="42" customHeight="1">
      <c r="A2221" s="4" t="s">
        <v>5217</v>
      </c>
      <c r="B2221" s="5" t="s">
        <v>5218</v>
      </c>
      <c r="C2221" s="5" t="s">
        <v>36</v>
      </c>
      <c r="D2221" s="5" t="s">
        <v>37</v>
      </c>
      <c r="E2221" s="5" t="s">
        <v>195</v>
      </c>
      <c r="F2221" s="9">
        <v>4</v>
      </c>
      <c r="G2221" s="9">
        <v>38</v>
      </c>
      <c r="H2221" s="5" t="s">
        <v>20</v>
      </c>
      <c r="I2221" s="5" t="s">
        <v>5220</v>
      </c>
      <c r="J2221" s="12" t="str">
        <f>HYPERLINK("https://www.boe.es/gazeta/dias/1806/01/14/pdfs/GMD-1806-4.pdf#page=10","Abrir facsímil")</f>
        <v>Abrir facsímil</v>
      </c>
      <c r="K2221" s="15" t="s">
        <v>22</v>
      </c>
    </row>
    <row r="2222" spans="1:11" ht="42" customHeight="1">
      <c r="A2222" s="4" t="s">
        <v>5217</v>
      </c>
      <c r="B2222" s="5" t="s">
        <v>5218</v>
      </c>
      <c r="C2222" s="5" t="s">
        <v>75</v>
      </c>
      <c r="D2222" s="5" t="s">
        <v>43</v>
      </c>
      <c r="E2222" s="5" t="s">
        <v>271</v>
      </c>
      <c r="F2222" s="9">
        <v>6</v>
      </c>
      <c r="G2222" s="9">
        <v>56</v>
      </c>
      <c r="H2222" s="5" t="s">
        <v>20</v>
      </c>
      <c r="I2222" s="5" t="s">
        <v>5221</v>
      </c>
      <c r="J2222" s="12" t="str">
        <f>HYPERLINK("https://www.boe.es/gazeta/dias/1806/01/17/pdfs/GMD-1806-6.pdf#page=12","Abrir facsímil")</f>
        <v>Abrir facsímil</v>
      </c>
      <c r="K2222" s="15" t="s">
        <v>22</v>
      </c>
    </row>
    <row r="2223" spans="1:11" ht="42" customHeight="1">
      <c r="A2223" s="4" t="s">
        <v>5217</v>
      </c>
      <c r="B2223" s="5" t="s">
        <v>5218</v>
      </c>
      <c r="C2223" s="5" t="s">
        <v>75</v>
      </c>
      <c r="D2223" s="5" t="s">
        <v>43</v>
      </c>
      <c r="E2223" s="5" t="s">
        <v>100</v>
      </c>
      <c r="F2223" s="9">
        <v>7</v>
      </c>
      <c r="G2223" s="9">
        <v>67</v>
      </c>
      <c r="H2223" s="5" t="s">
        <v>20</v>
      </c>
      <c r="I2223" s="5" t="s">
        <v>5222</v>
      </c>
      <c r="J2223" s="12" t="str">
        <f>HYPERLINK("https://www.boe.es/gazeta/dias/1806/01/21/pdfs/GMD-1806-7.pdf#page=11","Abrir facsímil")</f>
        <v>Abrir facsímil</v>
      </c>
      <c r="K2223" s="15" t="s">
        <v>22</v>
      </c>
    </row>
    <row r="2224" spans="1:11" ht="42" customHeight="1">
      <c r="A2224" s="4" t="s">
        <v>5217</v>
      </c>
      <c r="B2224" s="5" t="s">
        <v>5218</v>
      </c>
      <c r="C2224" s="5" t="s">
        <v>75</v>
      </c>
      <c r="D2224" s="5" t="s">
        <v>43</v>
      </c>
      <c r="E2224" s="5" t="s">
        <v>161</v>
      </c>
      <c r="F2224" s="9">
        <v>11</v>
      </c>
      <c r="G2224" s="9">
        <v>99</v>
      </c>
      <c r="H2224" s="5" t="s">
        <v>20</v>
      </c>
      <c r="I2224" s="5" t="s">
        <v>5223</v>
      </c>
      <c r="J2224" s="12" t="str">
        <f>HYPERLINK("https://www.boe.es/gazeta/dias/1806/01/31/pdfs/GMD-1806-11.pdf#page=7","Abrir facsímil")</f>
        <v>Abrir facsímil</v>
      </c>
      <c r="K2224" s="15" t="s">
        <v>22</v>
      </c>
    </row>
    <row r="2225" spans="1:11" ht="42" customHeight="1">
      <c r="A2225" s="4" t="s">
        <v>5217</v>
      </c>
      <c r="B2225" s="5" t="s">
        <v>5218</v>
      </c>
      <c r="C2225" s="5" t="s">
        <v>75</v>
      </c>
      <c r="D2225" s="5" t="s">
        <v>43</v>
      </c>
      <c r="E2225" s="5" t="s">
        <v>430</v>
      </c>
      <c r="F2225" s="9">
        <v>12</v>
      </c>
      <c r="G2225" s="9">
        <v>107</v>
      </c>
      <c r="H2225" s="5" t="s">
        <v>20</v>
      </c>
      <c r="I2225" s="5" t="s">
        <v>5224</v>
      </c>
      <c r="J2225" s="12" t="str">
        <f>HYPERLINK("https://www.boe.es/gazeta/dias/1806/02/04/pdfs/GMD-1806-12.pdf#page=7","Abrir facsímil")</f>
        <v>Abrir facsímil</v>
      </c>
      <c r="K2225" s="15" t="s">
        <v>22</v>
      </c>
    </row>
    <row r="2226" spans="1:11" ht="42" customHeight="1">
      <c r="A2226" s="4" t="s">
        <v>5217</v>
      </c>
      <c r="B2226" s="5" t="s">
        <v>5218</v>
      </c>
      <c r="C2226" s="5" t="s">
        <v>75</v>
      </c>
      <c r="D2226" s="5" t="s">
        <v>43</v>
      </c>
      <c r="E2226" s="5" t="s">
        <v>118</v>
      </c>
      <c r="F2226" s="9">
        <v>15</v>
      </c>
      <c r="G2226" s="9">
        <v>135</v>
      </c>
      <c r="H2226" s="5" t="s">
        <v>20</v>
      </c>
      <c r="I2226" s="5" t="s">
        <v>5225</v>
      </c>
      <c r="J2226" s="12" t="str">
        <f>HYPERLINK("https://www.boe.es/gazeta/dias/1806/02/14/pdfs/GMD-1806-15.pdf#page=11","Abrir facsímil")</f>
        <v>Abrir facsímil</v>
      </c>
      <c r="K2226" s="15" t="s">
        <v>22</v>
      </c>
    </row>
    <row r="2227" spans="1:11" ht="42" customHeight="1">
      <c r="A2227" s="4" t="s">
        <v>5217</v>
      </c>
      <c r="B2227" s="5" t="s">
        <v>5218</v>
      </c>
      <c r="C2227" s="5" t="s">
        <v>75</v>
      </c>
      <c r="D2227" s="5" t="s">
        <v>43</v>
      </c>
      <c r="E2227" s="5" t="s">
        <v>1778</v>
      </c>
      <c r="F2227" s="9">
        <v>16</v>
      </c>
      <c r="G2227" s="9">
        <v>144</v>
      </c>
      <c r="H2227" s="5" t="s">
        <v>20</v>
      </c>
      <c r="I2227" s="5" t="s">
        <v>5226</v>
      </c>
      <c r="J2227" s="12" t="str">
        <f>HYPERLINK("https://www.boe.es/gazeta/dias/1806/02/18/pdfs/GMD-1806-16.pdf#page=8","Abrir facsímil")</f>
        <v>Abrir facsímil</v>
      </c>
      <c r="K2227" s="15" t="s">
        <v>22</v>
      </c>
    </row>
    <row r="2228" spans="1:11" ht="42" customHeight="1">
      <c r="A2228" s="4" t="s">
        <v>5217</v>
      </c>
      <c r="B2228" s="5" t="s">
        <v>5218</v>
      </c>
      <c r="C2228" s="5" t="s">
        <v>75</v>
      </c>
      <c r="D2228" s="5" t="s">
        <v>43</v>
      </c>
      <c r="E2228" s="5" t="s">
        <v>172</v>
      </c>
      <c r="F2228" s="9">
        <v>17</v>
      </c>
      <c r="G2228" s="9">
        <v>151</v>
      </c>
      <c r="H2228" s="5" t="s">
        <v>20</v>
      </c>
      <c r="I2228" s="5" t="s">
        <v>5227</v>
      </c>
      <c r="J2228" s="12" t="str">
        <f>HYPERLINK("https://www.boe.es/gazeta/dias/1806/02/21/pdfs/GMD-1806-17.pdf#page=7","Abrir facsímil")</f>
        <v>Abrir facsímil</v>
      </c>
      <c r="K2228" s="15" t="s">
        <v>22</v>
      </c>
    </row>
    <row r="2229" spans="1:11" ht="42" customHeight="1">
      <c r="A2229" s="4" t="s">
        <v>5217</v>
      </c>
      <c r="B2229" s="5" t="s">
        <v>5218</v>
      </c>
      <c r="C2229" s="5" t="s">
        <v>31</v>
      </c>
      <c r="D2229" s="5" t="s">
        <v>32</v>
      </c>
      <c r="E2229" s="5" t="s">
        <v>55</v>
      </c>
      <c r="F2229" s="9">
        <v>20</v>
      </c>
      <c r="G2229" s="9">
        <v>186</v>
      </c>
      <c r="H2229" s="5" t="s">
        <v>20</v>
      </c>
      <c r="I2229" s="5" t="s">
        <v>5228</v>
      </c>
      <c r="J2229" s="12" t="str">
        <f>HYPERLINK("https://www.boe.es/gazeta/dias/1806/03/04/pdfs/GMD-1806-20.pdf#page=10","Abrir facsímil")</f>
        <v>Abrir facsímil</v>
      </c>
      <c r="K2229" s="15" t="s">
        <v>22</v>
      </c>
    </row>
    <row r="2230" spans="1:11" ht="42" customHeight="1">
      <c r="A2230" s="4" t="s">
        <v>5217</v>
      </c>
      <c r="B2230" s="5" t="s">
        <v>5218</v>
      </c>
      <c r="C2230" s="5" t="s">
        <v>75</v>
      </c>
      <c r="D2230" s="5" t="s">
        <v>43</v>
      </c>
      <c r="E2230" s="5" t="s">
        <v>400</v>
      </c>
      <c r="F2230" s="9">
        <v>22</v>
      </c>
      <c r="G2230" s="9">
        <v>210</v>
      </c>
      <c r="H2230" s="5" t="s">
        <v>20</v>
      </c>
      <c r="I2230" s="5" t="s">
        <v>5229</v>
      </c>
      <c r="J2230" s="12" t="str">
        <f>HYPERLINK("https://www.boe.es/gazeta/dias/1806/03/11/pdfs/GMD-1806-22.pdf#page=10","Abrir facsímil")</f>
        <v>Abrir facsímil</v>
      </c>
      <c r="K2230" s="15" t="s">
        <v>22</v>
      </c>
    </row>
    <row r="2231" spans="1:11" ht="42" customHeight="1">
      <c r="A2231" s="4" t="s">
        <v>5217</v>
      </c>
      <c r="B2231" s="5" t="s">
        <v>5218</v>
      </c>
      <c r="C2231" s="5" t="s">
        <v>31</v>
      </c>
      <c r="D2231" s="5" t="s">
        <v>32</v>
      </c>
      <c r="E2231" s="5" t="s">
        <v>580</v>
      </c>
      <c r="F2231" s="9">
        <v>23</v>
      </c>
      <c r="G2231" s="9">
        <v>223</v>
      </c>
      <c r="H2231" s="5" t="s">
        <v>20</v>
      </c>
      <c r="I2231" s="5" t="s">
        <v>5230</v>
      </c>
      <c r="J2231" s="12" t="str">
        <f>HYPERLINK("https://www.boe.es/gazeta/dias/1806/03/14/pdfs/GMD-1806-23.pdf#page=11","Abrir facsímil")</f>
        <v>Abrir facsímil</v>
      </c>
      <c r="K2231" s="15" t="s">
        <v>22</v>
      </c>
    </row>
    <row r="2232" spans="1:11" ht="42" customHeight="1">
      <c r="A2232" s="4" t="s">
        <v>5217</v>
      </c>
      <c r="B2232" s="5" t="s">
        <v>5218</v>
      </c>
      <c r="C2232" s="5" t="s">
        <v>75</v>
      </c>
      <c r="D2232" s="5" t="s">
        <v>43</v>
      </c>
      <c r="E2232" s="5" t="s">
        <v>227</v>
      </c>
      <c r="F2232" s="9">
        <v>27</v>
      </c>
      <c r="G2232" s="9">
        <v>270</v>
      </c>
      <c r="H2232" s="5" t="s">
        <v>20</v>
      </c>
      <c r="I2232" s="5" t="s">
        <v>5231</v>
      </c>
      <c r="J2232" s="12" t="str">
        <f>HYPERLINK("https://www.boe.es/gazeta/dias/1806/03/28/pdfs/GMD-1806-27.pdf#page=10","Abrir facsímil")</f>
        <v>Abrir facsímil</v>
      </c>
      <c r="K2232" s="15" t="s">
        <v>22</v>
      </c>
    </row>
    <row r="2233" spans="1:11" ht="42" customHeight="1">
      <c r="A2233" s="4" t="s">
        <v>5217</v>
      </c>
      <c r="B2233" s="5" t="s">
        <v>5218</v>
      </c>
      <c r="C2233" s="5" t="s">
        <v>31</v>
      </c>
      <c r="D2233" s="5" t="s">
        <v>32</v>
      </c>
      <c r="E2233" s="5" t="s">
        <v>71</v>
      </c>
      <c r="F2233" s="9">
        <v>29</v>
      </c>
      <c r="G2233" s="9">
        <v>288</v>
      </c>
      <c r="H2233" s="5" t="s">
        <v>20</v>
      </c>
      <c r="I2233" s="5" t="s">
        <v>5232</v>
      </c>
      <c r="J2233" s="12" t="str">
        <f>HYPERLINK("https://www.boe.es/gazeta/dias/1806/04/04/pdfs/GMD-1806-29.pdf#page=8","Abrir facsímil")</f>
        <v>Abrir facsímil</v>
      </c>
      <c r="K2233" s="15" t="s">
        <v>22</v>
      </c>
    </row>
    <row r="2234" spans="1:11" ht="42" customHeight="1">
      <c r="A2234" s="4" t="s">
        <v>5217</v>
      </c>
      <c r="B2234" s="5" t="s">
        <v>5218</v>
      </c>
      <c r="C2234" s="5" t="s">
        <v>75</v>
      </c>
      <c r="D2234" s="5" t="s">
        <v>43</v>
      </c>
      <c r="E2234" s="5" t="s">
        <v>340</v>
      </c>
      <c r="F2234" s="9">
        <v>31</v>
      </c>
      <c r="G2234" s="9">
        <v>307</v>
      </c>
      <c r="H2234" s="5" t="s">
        <v>20</v>
      </c>
      <c r="I2234" s="5" t="s">
        <v>5233</v>
      </c>
      <c r="J2234" s="12" t="str">
        <f>HYPERLINK("https://www.boe.es/gazeta/dias/1806/04/11/pdfs/GMD-1806-31.pdf#page=11","Abrir facsímil")</f>
        <v>Abrir facsímil</v>
      </c>
      <c r="K2234" s="15" t="s">
        <v>22</v>
      </c>
    </row>
    <row r="2235" spans="1:11" ht="42" customHeight="1">
      <c r="A2235" s="4" t="s">
        <v>5217</v>
      </c>
      <c r="B2235" s="5" t="s">
        <v>5218</v>
      </c>
      <c r="C2235" s="5" t="s">
        <v>75</v>
      </c>
      <c r="D2235" s="5" t="s">
        <v>43</v>
      </c>
      <c r="E2235" s="5" t="s">
        <v>24</v>
      </c>
      <c r="F2235" s="9">
        <v>32</v>
      </c>
      <c r="G2235" s="9">
        <v>317</v>
      </c>
      <c r="H2235" s="5" t="s">
        <v>20</v>
      </c>
      <c r="I2235" s="5" t="s">
        <v>5234</v>
      </c>
      <c r="J2235" s="12" t="str">
        <f>HYPERLINK("https://www.boe.es/gazeta/dias/1806/04/15/pdfs/GMD-1806-32.pdf#page=9","Abrir facsímil")</f>
        <v>Abrir facsímil</v>
      </c>
      <c r="K2235" s="15" t="s">
        <v>22</v>
      </c>
    </row>
    <row r="2236" spans="1:11" ht="42" customHeight="1">
      <c r="A2236" s="4" t="s">
        <v>5235</v>
      </c>
      <c r="B2236" s="5" t="s">
        <v>5236</v>
      </c>
      <c r="C2236" s="5" t="s">
        <v>17</v>
      </c>
      <c r="D2236" s="5" t="s">
        <v>18</v>
      </c>
      <c r="E2236" s="5" t="s">
        <v>195</v>
      </c>
      <c r="F2236" s="9">
        <v>4</v>
      </c>
      <c r="G2236" s="9">
        <v>37</v>
      </c>
      <c r="H2236" s="5" t="s">
        <v>20</v>
      </c>
      <c r="I2236" s="5" t="s">
        <v>5237</v>
      </c>
      <c r="J2236" s="12" t="str">
        <f>HYPERLINK("https://www.boe.es/gazeta/dias/1806/01/14/pdfs/GMD-1806-4.pdf#page=9","Abrir facsímil")</f>
        <v>Abrir facsímil</v>
      </c>
      <c r="K2236" s="15" t="s">
        <v>22</v>
      </c>
    </row>
    <row r="2237" spans="1:11" ht="42" customHeight="1">
      <c r="A2237" s="4" t="s">
        <v>5238</v>
      </c>
      <c r="B2237" s="5" t="s">
        <v>5239</v>
      </c>
      <c r="C2237" s="5" t="s">
        <v>31</v>
      </c>
      <c r="D2237" s="5" t="s">
        <v>32</v>
      </c>
      <c r="E2237" s="5" t="s">
        <v>59</v>
      </c>
      <c r="F2237" s="9">
        <v>21</v>
      </c>
      <c r="G2237" s="9">
        <v>196</v>
      </c>
      <c r="H2237" s="5" t="s">
        <v>20</v>
      </c>
      <c r="I2237" s="5" t="s">
        <v>5240</v>
      </c>
      <c r="J2237" s="12" t="str">
        <f>HYPERLINK("https://www.boe.es/gazeta/dias/1806/03/07/pdfs/GMD-1806-21.pdf#page=8","Abrir facsímil")</f>
        <v>Abrir facsímil</v>
      </c>
      <c r="K2237" s="15" t="s">
        <v>22</v>
      </c>
    </row>
    <row r="2238" spans="1:11" ht="42" customHeight="1">
      <c r="A2238" s="4" t="s">
        <v>5241</v>
      </c>
      <c r="B2238" s="5" t="s">
        <v>5242</v>
      </c>
      <c r="C2238" s="5" t="s">
        <v>75</v>
      </c>
      <c r="D2238" s="5" t="s">
        <v>43</v>
      </c>
      <c r="E2238" s="5" t="s">
        <v>202</v>
      </c>
      <c r="F2238" s="9">
        <v>30</v>
      </c>
      <c r="G2238" s="9">
        <v>296</v>
      </c>
      <c r="H2238" s="5" t="s">
        <v>20</v>
      </c>
      <c r="I2238" s="5" t="s">
        <v>5243</v>
      </c>
      <c r="J2238" s="12" t="str">
        <f>HYPERLINK("https://www.boe.es/gazeta/dias/1806/04/08/pdfs/GMD-1806-30.pdf#page=8","Abrir facsímil")</f>
        <v>Abrir facsímil</v>
      </c>
      <c r="K2238" s="15" t="s">
        <v>22</v>
      </c>
    </row>
    <row r="2239" spans="1:11" ht="42" customHeight="1">
      <c r="A2239" s="4" t="s">
        <v>5244</v>
      </c>
      <c r="B2239" s="5" t="s">
        <v>5245</v>
      </c>
      <c r="C2239" s="5" t="s">
        <v>17</v>
      </c>
      <c r="D2239" s="5" t="s">
        <v>18</v>
      </c>
      <c r="E2239" s="5" t="s">
        <v>86</v>
      </c>
      <c r="F2239" s="9">
        <v>53</v>
      </c>
      <c r="G2239" s="9">
        <v>553</v>
      </c>
      <c r="H2239" s="5" t="s">
        <v>20</v>
      </c>
      <c r="I2239" s="5" t="s">
        <v>5246</v>
      </c>
      <c r="J2239" s="12" t="str">
        <f>HYPERLINK("https://www.boe.es/gazeta/dias/1806/06/27/pdfs/GMD-1806-53.pdf#page=9","Abrir facsímil")</f>
        <v>Abrir facsímil</v>
      </c>
      <c r="K2239" s="15" t="s">
        <v>22</v>
      </c>
    </row>
    <row r="2240" spans="1:11" ht="42" customHeight="1">
      <c r="A2240" s="4" t="s">
        <v>5247</v>
      </c>
      <c r="B2240" s="5" t="s">
        <v>5248</v>
      </c>
      <c r="C2240" s="5" t="s">
        <v>36</v>
      </c>
      <c r="D2240" s="5" t="s">
        <v>37</v>
      </c>
      <c r="E2240" s="5" t="s">
        <v>279</v>
      </c>
      <c r="F2240" s="9">
        <v>52</v>
      </c>
      <c r="G2240" s="9">
        <v>543</v>
      </c>
      <c r="H2240" s="5" t="s">
        <v>20</v>
      </c>
      <c r="I2240" s="5" t="s">
        <v>5249</v>
      </c>
      <c r="J2240" s="12" t="str">
        <f>HYPERLINK("https://www.boe.es/gazeta/dias/1806/06/24/pdfs/GMD-1806-52.pdf#page=11","Abrir facsímil")</f>
        <v>Abrir facsímil</v>
      </c>
      <c r="K2240" s="15" t="s">
        <v>22</v>
      </c>
    </row>
    <row r="2241" spans="1:11" ht="42" customHeight="1">
      <c r="A2241" s="4" t="s">
        <v>5247</v>
      </c>
      <c r="B2241" s="5" t="s">
        <v>5248</v>
      </c>
      <c r="C2241" s="5" t="s">
        <v>36</v>
      </c>
      <c r="D2241" s="5" t="s">
        <v>37</v>
      </c>
      <c r="E2241" s="5" t="s">
        <v>48</v>
      </c>
      <c r="F2241" s="9">
        <v>67</v>
      </c>
      <c r="G2241" s="9">
        <v>703</v>
      </c>
      <c r="H2241" s="5" t="s">
        <v>20</v>
      </c>
      <c r="I2241" s="5" t="s">
        <v>5250</v>
      </c>
      <c r="J2241" s="12" t="str">
        <f>HYPERLINK("https://www.boe.es/gazeta/dias/1806/08/15/pdfs/GMD-1806-67.pdf#page=11","Abrir facsímil")</f>
        <v>Abrir facsímil</v>
      </c>
      <c r="K2241" s="15" t="s">
        <v>22</v>
      </c>
    </row>
    <row r="2242" spans="1:11" ht="42" customHeight="1">
      <c r="A2242" s="4" t="s">
        <v>5251</v>
      </c>
      <c r="B2242" s="5" t="s">
        <v>5252</v>
      </c>
      <c r="C2242" s="5" t="s">
        <v>31</v>
      </c>
      <c r="D2242" s="5" t="s">
        <v>32</v>
      </c>
      <c r="E2242" s="5" t="s">
        <v>161</v>
      </c>
      <c r="F2242" s="9">
        <v>11</v>
      </c>
      <c r="G2242" s="9">
        <v>98</v>
      </c>
      <c r="H2242" s="5" t="s">
        <v>20</v>
      </c>
      <c r="I2242" s="5" t="s">
        <v>5253</v>
      </c>
      <c r="J2242" s="12" t="str">
        <f>HYPERLINK("https://www.boe.es/gazeta/dias/1806/01/31/pdfs/GMD-1806-11.pdf#page=6","Abrir facsímil")</f>
        <v>Abrir facsímil</v>
      </c>
      <c r="K2242" s="15" t="s">
        <v>22</v>
      </c>
    </row>
    <row r="2243" spans="1:11" ht="42" customHeight="1">
      <c r="A2243" s="4" t="s">
        <v>5254</v>
      </c>
      <c r="B2243" s="5" t="s">
        <v>5255</v>
      </c>
      <c r="C2243" s="5" t="s">
        <v>42</v>
      </c>
      <c r="D2243" s="5" t="s">
        <v>43</v>
      </c>
      <c r="E2243" s="5" t="s">
        <v>185</v>
      </c>
      <c r="F2243" s="9">
        <v>46</v>
      </c>
      <c r="G2243" s="9">
        <v>468</v>
      </c>
      <c r="H2243" s="5" t="s">
        <v>20</v>
      </c>
      <c r="I2243" s="5" t="s">
        <v>5256</v>
      </c>
      <c r="J2243" s="12" t="str">
        <f>HYPERLINK("https://www.boe.es/gazeta/dias/1806/06/03/pdfs/GMD-1806-46.pdf#page=8","Abrir facsímil")</f>
        <v>Abrir facsímil</v>
      </c>
      <c r="K2243" s="15" t="s">
        <v>22</v>
      </c>
    </row>
    <row r="2244" spans="1:11" ht="42" customHeight="1">
      <c r="A2244" s="4" t="s">
        <v>5257</v>
      </c>
      <c r="B2244" s="5" t="s">
        <v>5258</v>
      </c>
      <c r="C2244" s="5" t="s">
        <v>42</v>
      </c>
      <c r="D2244" s="5" t="s">
        <v>43</v>
      </c>
      <c r="E2244" s="5" t="s">
        <v>367</v>
      </c>
      <c r="F2244" s="9">
        <v>87</v>
      </c>
      <c r="G2244" s="9">
        <v>901</v>
      </c>
      <c r="H2244" s="5" t="s">
        <v>20</v>
      </c>
      <c r="I2244" s="5" t="s">
        <v>5259</v>
      </c>
      <c r="J2244" s="12" t="str">
        <f>HYPERLINK("https://www.boe.es/gazeta/dias/1806/10/24/pdfs/GMD-1806-87.pdf#page=9","Abrir facsímil")</f>
        <v>Abrir facsímil</v>
      </c>
      <c r="K2244" s="15" t="s">
        <v>22</v>
      </c>
    </row>
    <row r="2245" spans="1:11" ht="42" customHeight="1">
      <c r="A2245" s="4" t="s">
        <v>5260</v>
      </c>
      <c r="B2245" s="5" t="s">
        <v>5261</v>
      </c>
      <c r="C2245" s="5" t="s">
        <v>31</v>
      </c>
      <c r="D2245" s="5" t="s">
        <v>32</v>
      </c>
      <c r="E2245" s="5" t="s">
        <v>689</v>
      </c>
      <c r="F2245" s="9">
        <v>37</v>
      </c>
      <c r="G2245" s="9">
        <v>361</v>
      </c>
      <c r="H2245" s="5" t="s">
        <v>20</v>
      </c>
      <c r="I2245" s="5" t="s">
        <v>5262</v>
      </c>
      <c r="J2245" s="12" t="str">
        <f>HYPERLINK("https://www.boe.es/gazeta/dias/1806/05/02/pdfs/GMD-1806-37.pdf#page=9","Abrir facsímil")</f>
        <v>Abrir facsímil</v>
      </c>
      <c r="K2245" s="15" t="s">
        <v>22</v>
      </c>
    </row>
    <row r="2246" spans="1:11" ht="42" customHeight="1">
      <c r="A2246" s="4" t="s">
        <v>5263</v>
      </c>
      <c r="B2246" s="5" t="s">
        <v>5264</v>
      </c>
      <c r="C2246" s="5" t="s">
        <v>75</v>
      </c>
      <c r="D2246" s="5" t="s">
        <v>43</v>
      </c>
      <c r="E2246" s="5" t="s">
        <v>554</v>
      </c>
      <c r="F2246" s="9">
        <v>90</v>
      </c>
      <c r="G2246" s="9">
        <v>935</v>
      </c>
      <c r="H2246" s="5" t="s">
        <v>20</v>
      </c>
      <c r="I2246" s="5" t="s">
        <v>5265</v>
      </c>
      <c r="J2246" s="12" t="str">
        <f>HYPERLINK("https://www.boe.es/gazeta/dias/1806/11/04/pdfs/GMD-1806-90.pdf#page=11","Abrir facsímil")</f>
        <v>Abrir facsímil</v>
      </c>
      <c r="K2246" s="15" t="s">
        <v>22</v>
      </c>
    </row>
    <row r="2247" spans="1:11" ht="42" customHeight="1">
      <c r="A2247" s="4" t="s">
        <v>5266</v>
      </c>
      <c r="B2247" s="5" t="s">
        <v>5267</v>
      </c>
      <c r="C2247" s="5" t="s">
        <v>31</v>
      </c>
      <c r="D2247" s="5" t="s">
        <v>32</v>
      </c>
      <c r="E2247" s="5" t="s">
        <v>71</v>
      </c>
      <c r="F2247" s="9">
        <v>29</v>
      </c>
      <c r="G2247" s="9">
        <v>287</v>
      </c>
      <c r="H2247" s="5" t="s">
        <v>20</v>
      </c>
      <c r="I2247" s="5" t="s">
        <v>5268</v>
      </c>
      <c r="J2247" s="12" t="str">
        <f>HYPERLINK("https://www.boe.es/gazeta/dias/1806/04/04/pdfs/GMD-1806-29.pdf#page=7","Abrir facsímil")</f>
        <v>Abrir facsímil</v>
      </c>
      <c r="K2247" s="15" t="s">
        <v>22</v>
      </c>
    </row>
    <row r="2248" spans="1:11" ht="42" customHeight="1">
      <c r="A2248" s="4" t="s">
        <v>5269</v>
      </c>
      <c r="B2248" s="5" t="s">
        <v>5270</v>
      </c>
      <c r="C2248" s="5" t="s">
        <v>31</v>
      </c>
      <c r="D2248" s="5" t="s">
        <v>32</v>
      </c>
      <c r="E2248" s="5" t="s">
        <v>312</v>
      </c>
      <c r="F2248" s="9">
        <v>100</v>
      </c>
      <c r="G2248" s="9">
        <v>1065</v>
      </c>
      <c r="H2248" s="5" t="s">
        <v>20</v>
      </c>
      <c r="I2248" s="5" t="s">
        <v>5271</v>
      </c>
      <c r="J2248" s="12" t="str">
        <f>HYPERLINK("https://www.boe.es/gazeta/dias/1806/12/09/pdfs/GMD-1806-100.pdf#page=9","Abrir facsímil")</f>
        <v>Abrir facsímil</v>
      </c>
      <c r="K2248" s="15" t="s">
        <v>22</v>
      </c>
    </row>
    <row r="2249" spans="1:11" ht="42" customHeight="1">
      <c r="A2249" s="4" t="s">
        <v>5272</v>
      </c>
      <c r="B2249" s="5" t="s">
        <v>5273</v>
      </c>
      <c r="C2249" s="5" t="s">
        <v>17</v>
      </c>
      <c r="D2249" s="5" t="s">
        <v>18</v>
      </c>
      <c r="E2249" s="5" t="s">
        <v>306</v>
      </c>
      <c r="F2249" s="9">
        <v>59</v>
      </c>
      <c r="G2249" s="9">
        <v>613</v>
      </c>
      <c r="H2249" s="5" t="s">
        <v>20</v>
      </c>
      <c r="I2249" s="5" t="s">
        <v>5274</v>
      </c>
      <c r="J2249" s="12" t="str">
        <f>HYPERLINK("https://www.boe.es/gazeta/dias/1806/07/18/pdfs/GMD-1806-59.pdf#page=9","Abrir facsímil")</f>
        <v>Abrir facsímil</v>
      </c>
      <c r="K2249" s="15" t="s">
        <v>22</v>
      </c>
    </row>
    <row r="2250" spans="1:11" ht="42" customHeight="1">
      <c r="A2250" s="4" t="s">
        <v>5275</v>
      </c>
      <c r="B2250" s="5" t="s">
        <v>5276</v>
      </c>
      <c r="C2250" s="5" t="s">
        <v>17</v>
      </c>
      <c r="D2250" s="5" t="s">
        <v>18</v>
      </c>
      <c r="E2250" s="5" t="s">
        <v>90</v>
      </c>
      <c r="F2250" s="9">
        <v>60</v>
      </c>
      <c r="G2250" s="9">
        <v>625</v>
      </c>
      <c r="H2250" s="5" t="s">
        <v>20</v>
      </c>
      <c r="I2250" s="5" t="s">
        <v>5277</v>
      </c>
      <c r="J2250" s="12" t="str">
        <f>HYPERLINK("https://www.boe.es/gazeta/dias/1806/07/22/pdfs/GMD-1806-60.pdf#page=9","Abrir facsímil")</f>
        <v>Abrir facsímil</v>
      </c>
      <c r="K2250" s="15" t="s">
        <v>22</v>
      </c>
    </row>
    <row r="2251" spans="1:11" ht="42" customHeight="1">
      <c r="A2251" s="4" t="s">
        <v>5275</v>
      </c>
      <c r="B2251" s="5" t="s">
        <v>5276</v>
      </c>
      <c r="C2251" s="5" t="s">
        <v>17</v>
      </c>
      <c r="D2251" s="5" t="s">
        <v>18</v>
      </c>
      <c r="E2251" s="5" t="s">
        <v>209</v>
      </c>
      <c r="F2251" s="9">
        <v>95</v>
      </c>
      <c r="G2251" s="9">
        <v>1007</v>
      </c>
      <c r="H2251" s="5" t="s">
        <v>20</v>
      </c>
      <c r="I2251" s="5" t="s">
        <v>5278</v>
      </c>
      <c r="J2251" s="12" t="str">
        <f>HYPERLINK("https://www.boe.es/gazeta/dias/1806/11/21/pdfs/GMD-1806-95.pdf#page=15","Abrir facsímil")</f>
        <v>Abrir facsímil</v>
      </c>
      <c r="K2251" s="15" t="s">
        <v>22</v>
      </c>
    </row>
    <row r="2252" spans="1:11" ht="42" customHeight="1">
      <c r="A2252" s="4" t="s">
        <v>5279</v>
      </c>
      <c r="B2252" s="5" t="s">
        <v>5280</v>
      </c>
      <c r="C2252" s="5" t="s">
        <v>36</v>
      </c>
      <c r="D2252" s="5" t="s">
        <v>37</v>
      </c>
      <c r="E2252" s="5" t="s">
        <v>103</v>
      </c>
      <c r="F2252" s="9">
        <v>61</v>
      </c>
      <c r="G2252" s="9">
        <v>638</v>
      </c>
      <c r="H2252" s="5" t="s">
        <v>20</v>
      </c>
      <c r="I2252" s="5" t="s">
        <v>5281</v>
      </c>
      <c r="J2252" s="12" t="str">
        <f>HYPERLINK("https://www.boe.es/gazeta/dias/1806/07/25/pdfs/GMD-1806-61.pdf#page=10","Abrir facsímil")</f>
        <v>Abrir facsímil</v>
      </c>
      <c r="K2252" s="15" t="s">
        <v>22</v>
      </c>
    </row>
    <row r="2253" spans="1:11" ht="42" customHeight="1">
      <c r="A2253" s="4" t="s">
        <v>5282</v>
      </c>
      <c r="B2253" s="5" t="s">
        <v>5283</v>
      </c>
      <c r="C2253" s="5" t="s">
        <v>31</v>
      </c>
      <c r="D2253" s="5" t="s">
        <v>32</v>
      </c>
      <c r="E2253" s="5" t="s">
        <v>100</v>
      </c>
      <c r="F2253" s="9">
        <v>7</v>
      </c>
      <c r="G2253" s="9">
        <v>65</v>
      </c>
      <c r="H2253" s="5" t="s">
        <v>20</v>
      </c>
      <c r="I2253" s="5" t="s">
        <v>5284</v>
      </c>
      <c r="J2253" s="12" t="str">
        <f>HYPERLINK("https://www.boe.es/gazeta/dias/1806/01/21/pdfs/GMD-1806-7.pdf#page=9","Abrir facsímil")</f>
        <v>Abrir facsímil</v>
      </c>
      <c r="K2253" s="15" t="s">
        <v>22</v>
      </c>
    </row>
    <row r="2254" spans="1:11" ht="42" customHeight="1">
      <c r="A2254" s="4" t="s">
        <v>5285</v>
      </c>
      <c r="B2254" s="5" t="s">
        <v>5286</v>
      </c>
      <c r="C2254" s="5" t="s">
        <v>31</v>
      </c>
      <c r="D2254" s="5" t="s">
        <v>32</v>
      </c>
      <c r="E2254" s="5" t="s">
        <v>93</v>
      </c>
      <c r="F2254" s="9">
        <v>72</v>
      </c>
      <c r="G2254" s="9">
        <v>749</v>
      </c>
      <c r="H2254" s="5" t="s">
        <v>20</v>
      </c>
      <c r="I2254" s="5" t="s">
        <v>5287</v>
      </c>
      <c r="J2254" s="12" t="str">
        <f>HYPERLINK("https://www.boe.es/gazeta/dias/1806/09/02/pdfs/GMD-1806-72.pdf#page=9","Abrir facsímil")</f>
        <v>Abrir facsímil</v>
      </c>
      <c r="K2254" s="15" t="s">
        <v>22</v>
      </c>
    </row>
    <row r="2255" spans="1:11" ht="42" customHeight="1">
      <c r="A2255" s="4" t="s">
        <v>5288</v>
      </c>
      <c r="B2255" s="5" t="s">
        <v>5289</v>
      </c>
      <c r="C2255" s="5" t="s">
        <v>36</v>
      </c>
      <c r="D2255" s="5" t="s">
        <v>37</v>
      </c>
      <c r="E2255" s="5" t="s">
        <v>231</v>
      </c>
      <c r="F2255" s="9">
        <v>89</v>
      </c>
      <c r="G2255" s="9">
        <v>924</v>
      </c>
      <c r="H2255" s="5" t="s">
        <v>20</v>
      </c>
      <c r="I2255" s="5" t="s">
        <v>5290</v>
      </c>
      <c r="J2255" s="12" t="str">
        <f>HYPERLINK("https://www.boe.es/gazeta/dias/1806/10/31/pdfs/GMD-1806-89.pdf#page=12","Abrir facsímil")</f>
        <v>Abrir facsímil</v>
      </c>
      <c r="K2255" s="15" t="s">
        <v>22</v>
      </c>
    </row>
    <row r="2256" spans="1:11" ht="42" customHeight="1">
      <c r="A2256" s="4" t="s">
        <v>5291</v>
      </c>
      <c r="B2256" s="5" t="s">
        <v>5292</v>
      </c>
      <c r="C2256" s="5" t="s">
        <v>31</v>
      </c>
      <c r="D2256" s="5" t="s">
        <v>32</v>
      </c>
      <c r="E2256" s="5" t="s">
        <v>285</v>
      </c>
      <c r="F2256" s="9">
        <v>13</v>
      </c>
      <c r="G2256" s="9">
        <v>115</v>
      </c>
      <c r="H2256" s="5" t="s">
        <v>20</v>
      </c>
      <c r="I2256" s="5" t="s">
        <v>5293</v>
      </c>
      <c r="J2256" s="12" t="str">
        <f>HYPERLINK("https://www.boe.es/gazeta/dias/1806/02/07/pdfs/GMD-1806-13.pdf#page=7","Abrir facsímil")</f>
        <v>Abrir facsímil</v>
      </c>
      <c r="K2256" s="15" t="s">
        <v>22</v>
      </c>
    </row>
    <row r="2257" spans="1:11" ht="42" customHeight="1">
      <c r="A2257" s="4" t="s">
        <v>5291</v>
      </c>
      <c r="B2257" s="5" t="s">
        <v>5292</v>
      </c>
      <c r="C2257" s="5" t="s">
        <v>31</v>
      </c>
      <c r="D2257" s="5" t="s">
        <v>32</v>
      </c>
      <c r="E2257" s="5" t="s">
        <v>48</v>
      </c>
      <c r="F2257" s="9">
        <v>67</v>
      </c>
      <c r="G2257" s="9">
        <v>702</v>
      </c>
      <c r="H2257" s="5" t="s">
        <v>20</v>
      </c>
      <c r="I2257" s="5" t="s">
        <v>5294</v>
      </c>
      <c r="J2257" s="12" t="str">
        <f>HYPERLINK("https://www.boe.es/gazeta/dias/1806/08/15/pdfs/GMD-1806-67.pdf#page=10","Abrir facsímil")</f>
        <v>Abrir facsímil</v>
      </c>
      <c r="K2257" s="15" t="s">
        <v>22</v>
      </c>
    </row>
    <row r="2258" spans="1:11" ht="42" customHeight="1">
      <c r="A2258" s="4" t="s">
        <v>5291</v>
      </c>
      <c r="B2258" s="5" t="s">
        <v>5292</v>
      </c>
      <c r="C2258" s="5" t="s">
        <v>31</v>
      </c>
      <c r="D2258" s="5" t="s">
        <v>32</v>
      </c>
      <c r="E2258" s="5" t="s">
        <v>494</v>
      </c>
      <c r="F2258" s="9">
        <v>69</v>
      </c>
      <c r="G2258" s="9">
        <v>722</v>
      </c>
      <c r="H2258" s="5" t="s">
        <v>20</v>
      </c>
      <c r="I2258" s="5" t="s">
        <v>5295</v>
      </c>
      <c r="J2258" s="12" t="str">
        <f>HYPERLINK("https://www.boe.es/gazeta/dias/1806/08/22/pdfs/GMD-1806-69.pdf#page=10","Abrir facsímil")</f>
        <v>Abrir facsímil</v>
      </c>
      <c r="K2258" s="15" t="s">
        <v>22</v>
      </c>
    </row>
    <row r="2259" spans="1:11" ht="42" customHeight="1">
      <c r="A2259" s="4" t="s">
        <v>5291</v>
      </c>
      <c r="B2259" s="5" t="s">
        <v>5292</v>
      </c>
      <c r="C2259" s="5" t="s">
        <v>31</v>
      </c>
      <c r="D2259" s="5" t="s">
        <v>32</v>
      </c>
      <c r="E2259" s="5" t="s">
        <v>301</v>
      </c>
      <c r="F2259" s="9">
        <v>75</v>
      </c>
      <c r="G2259" s="9">
        <v>778</v>
      </c>
      <c r="H2259" s="5" t="s">
        <v>20</v>
      </c>
      <c r="I2259" s="5" t="s">
        <v>5296</v>
      </c>
      <c r="J2259" s="12" t="str">
        <f>HYPERLINK("https://www.boe.es/gazeta/dias/1806/09/12/pdfs/GMD-1806-75.pdf#page=10","Abrir facsímil")</f>
        <v>Abrir facsímil</v>
      </c>
      <c r="K2259" s="15" t="s">
        <v>22</v>
      </c>
    </row>
    <row r="2260" spans="1:11" ht="42" customHeight="1">
      <c r="A2260" s="4" t="s">
        <v>5291</v>
      </c>
      <c r="B2260" s="5" t="s">
        <v>5292</v>
      </c>
      <c r="C2260" s="5" t="s">
        <v>31</v>
      </c>
      <c r="D2260" s="5" t="s">
        <v>32</v>
      </c>
      <c r="E2260" s="5" t="s">
        <v>570</v>
      </c>
      <c r="F2260" s="9">
        <v>93</v>
      </c>
      <c r="G2260" s="9">
        <v>980</v>
      </c>
      <c r="H2260" s="5" t="s">
        <v>20</v>
      </c>
      <c r="I2260" s="5" t="s">
        <v>5297</v>
      </c>
      <c r="J2260" s="12" t="str">
        <f>HYPERLINK("https://www.boe.es/gazeta/dias/1806/11/14/pdfs/GMD-1806-93.pdf#page=16","Abrir facsímil")</f>
        <v>Abrir facsímil</v>
      </c>
      <c r="K2260" s="15" t="s">
        <v>22</v>
      </c>
    </row>
    <row r="2261" spans="1:11" ht="42" customHeight="1">
      <c r="A2261" s="4" t="s">
        <v>5298</v>
      </c>
      <c r="B2261" s="5" t="s">
        <v>5299</v>
      </c>
      <c r="C2261" s="5" t="s">
        <v>31</v>
      </c>
      <c r="D2261" s="5" t="s">
        <v>32</v>
      </c>
      <c r="E2261" s="5" t="s">
        <v>100</v>
      </c>
      <c r="F2261" s="9">
        <v>7</v>
      </c>
      <c r="G2261" s="9">
        <v>67</v>
      </c>
      <c r="H2261" s="5" t="s">
        <v>20</v>
      </c>
      <c r="I2261" s="5" t="s">
        <v>5300</v>
      </c>
      <c r="J2261" s="12" t="str">
        <f>HYPERLINK("https://www.boe.es/gazeta/dias/1806/01/21/pdfs/GMD-1806-7.pdf#page=11","Abrir facsímil")</f>
        <v>Abrir facsímil</v>
      </c>
      <c r="K2261" s="15" t="s">
        <v>22</v>
      </c>
    </row>
    <row r="2262" spans="1:11" ht="42" customHeight="1">
      <c r="A2262" s="4" t="s">
        <v>5301</v>
      </c>
      <c r="B2262" s="5" t="s">
        <v>5302</v>
      </c>
      <c r="C2262" s="5" t="s">
        <v>17</v>
      </c>
      <c r="D2262" s="5" t="s">
        <v>18</v>
      </c>
      <c r="E2262" s="5" t="s">
        <v>494</v>
      </c>
      <c r="F2262" s="9">
        <v>69</v>
      </c>
      <c r="G2262" s="9">
        <v>723</v>
      </c>
      <c r="H2262" s="5" t="s">
        <v>20</v>
      </c>
      <c r="I2262" s="5" t="s">
        <v>5303</v>
      </c>
      <c r="J2262" s="12" t="str">
        <f>HYPERLINK("https://www.boe.es/gazeta/dias/1806/08/22/pdfs/GMD-1806-69.pdf#page=11","Abrir facsímil")</f>
        <v>Abrir facsímil</v>
      </c>
      <c r="K2262" s="15" t="s">
        <v>22</v>
      </c>
    </row>
    <row r="2263" spans="1:11" ht="42" customHeight="1">
      <c r="A2263" s="4" t="s">
        <v>5304</v>
      </c>
      <c r="B2263" s="5" t="s">
        <v>5305</v>
      </c>
      <c r="C2263" s="5" t="s">
        <v>17</v>
      </c>
      <c r="D2263" s="5" t="s">
        <v>18</v>
      </c>
      <c r="E2263" s="5" t="s">
        <v>859</v>
      </c>
      <c r="F2263" s="9">
        <v>63</v>
      </c>
      <c r="G2263" s="9">
        <v>663</v>
      </c>
      <c r="H2263" s="5" t="s">
        <v>20</v>
      </c>
      <c r="I2263" s="5" t="s">
        <v>5306</v>
      </c>
      <c r="J2263" s="12" t="str">
        <f>HYPERLINK("https://www.boe.es/gazeta/dias/1806/08/01/pdfs/GMD-1806-63.pdf#page=11","Abrir facsímil")</f>
        <v>Abrir facsímil</v>
      </c>
      <c r="K2263" s="15" t="s">
        <v>22</v>
      </c>
    </row>
    <row r="2264" spans="1:11" ht="42" customHeight="1">
      <c r="A2264" s="4" t="s">
        <v>5307</v>
      </c>
      <c r="B2264" s="5" t="s">
        <v>5308</v>
      </c>
      <c r="C2264" s="5" t="s">
        <v>42</v>
      </c>
      <c r="D2264" s="5" t="s">
        <v>43</v>
      </c>
      <c r="E2264" s="5" t="s">
        <v>124</v>
      </c>
      <c r="F2264" s="9">
        <v>25</v>
      </c>
      <c r="G2264" s="9">
        <v>245</v>
      </c>
      <c r="H2264" s="5" t="s">
        <v>20</v>
      </c>
      <c r="I2264" s="5" t="s">
        <v>5309</v>
      </c>
      <c r="J2264" s="12" t="str">
        <f>HYPERLINK("https://www.boe.es/gazeta/dias/1806/03/21/pdfs/GMD-1806-25.pdf#page=9","Abrir facsímil")</f>
        <v>Abrir facsímil</v>
      </c>
      <c r="K2264" s="15" t="s">
        <v>22</v>
      </c>
    </row>
    <row r="2265" spans="1:11" ht="42" customHeight="1">
      <c r="A2265" s="4" t="s">
        <v>5307</v>
      </c>
      <c r="B2265" s="5" t="s">
        <v>5308</v>
      </c>
      <c r="C2265" s="5" t="s">
        <v>31</v>
      </c>
      <c r="D2265" s="5" t="s">
        <v>32</v>
      </c>
      <c r="E2265" s="5" t="s">
        <v>178</v>
      </c>
      <c r="F2265" s="9">
        <v>36</v>
      </c>
      <c r="G2265" s="9">
        <v>350</v>
      </c>
      <c r="H2265" s="5" t="s">
        <v>20</v>
      </c>
      <c r="I2265" s="5" t="s">
        <v>5310</v>
      </c>
      <c r="J2265" s="12" t="str">
        <f>HYPERLINK("https://www.boe.es/gazeta/dias/1806/04/29/pdfs/GMD-1806-36.pdf#page=6","Abrir facsímil")</f>
        <v>Abrir facsímil</v>
      </c>
      <c r="K2265" s="15" t="s">
        <v>22</v>
      </c>
    </row>
    <row r="2266" spans="1:11" ht="42" customHeight="1">
      <c r="A2266" s="4" t="s">
        <v>5307</v>
      </c>
      <c r="B2266" s="5" t="s">
        <v>5308</v>
      </c>
      <c r="C2266" s="5" t="s">
        <v>31</v>
      </c>
      <c r="D2266" s="5" t="s">
        <v>32</v>
      </c>
      <c r="E2266" s="5" t="s">
        <v>185</v>
      </c>
      <c r="F2266" s="9">
        <v>46</v>
      </c>
      <c r="G2266" s="9">
        <v>469</v>
      </c>
      <c r="H2266" s="5" t="s">
        <v>20</v>
      </c>
      <c r="I2266" s="5" t="s">
        <v>5311</v>
      </c>
      <c r="J2266" s="12" t="str">
        <f>HYPERLINK("https://www.boe.es/gazeta/dias/1806/06/03/pdfs/GMD-1806-46.pdf#page=9","Abrir facsímil")</f>
        <v>Abrir facsímil</v>
      </c>
      <c r="K2266" s="15" t="s">
        <v>22</v>
      </c>
    </row>
    <row r="2267" spans="1:11" ht="42" customHeight="1">
      <c r="A2267" s="4" t="s">
        <v>5312</v>
      </c>
      <c r="B2267" s="5" t="s">
        <v>5313</v>
      </c>
      <c r="C2267" s="5" t="s">
        <v>42</v>
      </c>
      <c r="D2267" s="5" t="s">
        <v>43</v>
      </c>
      <c r="E2267" s="5" t="s">
        <v>144</v>
      </c>
      <c r="F2267" s="9">
        <v>79</v>
      </c>
      <c r="G2267" s="9">
        <v>819</v>
      </c>
      <c r="H2267" s="5" t="s">
        <v>20</v>
      </c>
      <c r="I2267" s="5" t="s">
        <v>5314</v>
      </c>
      <c r="J2267" s="12" t="str">
        <f>HYPERLINK("https://www.boe.es/gazeta/dias/1806/09/26/pdfs/GMD-1806-79.pdf#page=11","Abrir facsímil")</f>
        <v>Abrir facsímil</v>
      </c>
      <c r="K2267" s="15" t="s">
        <v>22</v>
      </c>
    </row>
    <row r="2268" spans="1:11" ht="42" customHeight="1">
      <c r="A2268" s="4" t="s">
        <v>5315</v>
      </c>
      <c r="B2268" s="5" t="s">
        <v>5316</v>
      </c>
      <c r="C2268" s="5" t="s">
        <v>31</v>
      </c>
      <c r="D2268" s="5" t="s">
        <v>32</v>
      </c>
      <c r="E2268" s="5" t="s">
        <v>570</v>
      </c>
      <c r="F2268" s="9">
        <v>93</v>
      </c>
      <c r="G2268" s="9">
        <v>978</v>
      </c>
      <c r="H2268" s="5" t="s">
        <v>20</v>
      </c>
      <c r="I2268" s="5" t="s">
        <v>5317</v>
      </c>
      <c r="J2268" s="12" t="str">
        <f>HYPERLINK("https://www.boe.es/gazeta/dias/1806/11/14/pdfs/GMD-1806-93.pdf#page=14","Abrir facsímil")</f>
        <v>Abrir facsímil</v>
      </c>
      <c r="K2268" s="15" t="s">
        <v>22</v>
      </c>
    </row>
    <row r="2269" spans="1:11" ht="42" customHeight="1">
      <c r="A2269" s="4" t="s">
        <v>5318</v>
      </c>
      <c r="B2269" s="5" t="s">
        <v>5319</v>
      </c>
      <c r="C2269" s="5" t="s">
        <v>31</v>
      </c>
      <c r="D2269" s="5" t="s">
        <v>32</v>
      </c>
      <c r="E2269" s="5" t="s">
        <v>185</v>
      </c>
      <c r="F2269" s="9">
        <v>46</v>
      </c>
      <c r="G2269" s="9">
        <v>467</v>
      </c>
      <c r="H2269" s="5" t="s">
        <v>20</v>
      </c>
      <c r="I2269" s="5" t="s">
        <v>5320</v>
      </c>
      <c r="J2269" s="12" t="str">
        <f>HYPERLINK("https://www.boe.es/gazeta/dias/1806/06/03/pdfs/GMD-1806-46.pdf#page=7","Abrir facsímil")</f>
        <v>Abrir facsímil</v>
      </c>
      <c r="K2269" s="15" t="s">
        <v>22</v>
      </c>
    </row>
    <row r="2270" spans="1:11" ht="42" customHeight="1">
      <c r="A2270" s="4" t="s">
        <v>5321</v>
      </c>
      <c r="B2270" s="5" t="s">
        <v>5322</v>
      </c>
      <c r="C2270" s="5" t="s">
        <v>31</v>
      </c>
      <c r="D2270" s="5" t="s">
        <v>32</v>
      </c>
      <c r="E2270" s="5" t="s">
        <v>363</v>
      </c>
      <c r="F2270" s="9">
        <v>8</v>
      </c>
      <c r="G2270" s="9">
        <v>73</v>
      </c>
      <c r="H2270" s="5" t="s">
        <v>20</v>
      </c>
      <c r="I2270" s="5" t="s">
        <v>5323</v>
      </c>
      <c r="J2270" s="12" t="str">
        <f>HYPERLINK("https://www.boe.es/gazeta/dias/1806/01/24/pdfs/GMD-1806-8.pdf#page=5","Abrir facsímil")</f>
        <v>Abrir facsímil</v>
      </c>
      <c r="K2270" s="15" t="s">
        <v>22</v>
      </c>
    </row>
    <row r="2271" spans="1:11" ht="42" customHeight="1">
      <c r="A2271" s="4" t="s">
        <v>5324</v>
      </c>
      <c r="B2271" s="5" t="s">
        <v>5325</v>
      </c>
      <c r="C2271" s="5" t="s">
        <v>31</v>
      </c>
      <c r="D2271" s="5" t="s">
        <v>32</v>
      </c>
      <c r="E2271" s="5" t="s">
        <v>100</v>
      </c>
      <c r="F2271" s="9">
        <v>7</v>
      </c>
      <c r="G2271" s="9">
        <v>65</v>
      </c>
      <c r="H2271" s="5" t="s">
        <v>20</v>
      </c>
      <c r="I2271" s="5" t="s">
        <v>5326</v>
      </c>
      <c r="J2271" s="12" t="str">
        <f>HYPERLINK("https://www.boe.es/gazeta/dias/1806/01/21/pdfs/GMD-1806-7.pdf#page=9","Abrir facsímil")</f>
        <v>Abrir facsímil</v>
      </c>
      <c r="K2271" s="15" t="s">
        <v>22</v>
      </c>
    </row>
    <row r="2272" spans="1:11" ht="42" customHeight="1">
      <c r="A2272" s="4" t="s">
        <v>5327</v>
      </c>
      <c r="B2272" s="5" t="s">
        <v>5328</v>
      </c>
      <c r="C2272" s="5" t="s">
        <v>31</v>
      </c>
      <c r="D2272" s="5" t="s">
        <v>32</v>
      </c>
      <c r="E2272" s="5" t="s">
        <v>110</v>
      </c>
      <c r="F2272" s="9">
        <v>55</v>
      </c>
      <c r="G2272" s="9">
        <v>572</v>
      </c>
      <c r="H2272" s="5" t="s">
        <v>20</v>
      </c>
      <c r="I2272" s="5" t="s">
        <v>5329</v>
      </c>
      <c r="J2272" s="12" t="str">
        <f>HYPERLINK("https://www.boe.es/gazeta/dias/1806/07/04/pdfs/GMD-1806-55.pdf#page=8","Abrir facsímil")</f>
        <v>Abrir facsímil</v>
      </c>
      <c r="K2272" s="15" t="s">
        <v>22</v>
      </c>
    </row>
    <row r="2273" spans="1:11" ht="42" customHeight="1">
      <c r="A2273" s="4" t="s">
        <v>5330</v>
      </c>
      <c r="B2273" s="5" t="s">
        <v>5331</v>
      </c>
      <c r="C2273" s="5" t="s">
        <v>31</v>
      </c>
      <c r="D2273" s="5" t="s">
        <v>32</v>
      </c>
      <c r="E2273" s="5" t="s">
        <v>127</v>
      </c>
      <c r="F2273" s="9">
        <v>81</v>
      </c>
      <c r="G2273" s="9">
        <v>837</v>
      </c>
      <c r="H2273" s="5" t="s">
        <v>20</v>
      </c>
      <c r="I2273" s="5" t="s">
        <v>5332</v>
      </c>
      <c r="J2273" s="12" t="str">
        <f>HYPERLINK("https://www.boe.es/gazeta/dias/1806/10/03/pdfs/GMD-1806-81.pdf#page=5","Abrir facsímil")</f>
        <v>Abrir facsímil</v>
      </c>
      <c r="K2273" s="15" t="s">
        <v>22</v>
      </c>
    </row>
    <row r="2274" spans="1:11" ht="42" customHeight="1">
      <c r="A2274" s="4" t="s">
        <v>5333</v>
      </c>
      <c r="B2274" s="5" t="s">
        <v>5334</v>
      </c>
      <c r="C2274" s="5" t="s">
        <v>17</v>
      </c>
      <c r="D2274" s="5" t="s">
        <v>18</v>
      </c>
      <c r="E2274" s="5" t="s">
        <v>400</v>
      </c>
      <c r="F2274" s="9">
        <v>22</v>
      </c>
      <c r="G2274" s="9">
        <v>207</v>
      </c>
      <c r="H2274" s="5" t="s">
        <v>20</v>
      </c>
      <c r="I2274" s="5" t="s">
        <v>5335</v>
      </c>
      <c r="J2274" s="12" t="str">
        <f>HYPERLINK("https://www.boe.es/gazeta/dias/1806/03/11/pdfs/GMD-1806-22.pdf#page=7","Abrir facsímil")</f>
        <v>Abrir facsímil</v>
      </c>
      <c r="K2274" s="15" t="s">
        <v>22</v>
      </c>
    </row>
    <row r="2275" spans="1:11" ht="42" customHeight="1">
      <c r="A2275" s="4" t="s">
        <v>5336</v>
      </c>
      <c r="B2275" s="5" t="s">
        <v>5337</v>
      </c>
      <c r="C2275" s="5" t="s">
        <v>31</v>
      </c>
      <c r="D2275" s="5" t="s">
        <v>32</v>
      </c>
      <c r="E2275" s="5" t="s">
        <v>148</v>
      </c>
      <c r="F2275" s="9">
        <v>78</v>
      </c>
      <c r="G2275" s="9">
        <v>804</v>
      </c>
      <c r="H2275" s="5" t="s">
        <v>20</v>
      </c>
      <c r="I2275" s="5" t="s">
        <v>5338</v>
      </c>
      <c r="J2275" s="12" t="str">
        <f>HYPERLINK("https://www.boe.es/gazeta/dias/1806/09/23/pdfs/GMD-1806-78.pdf#page=8","Abrir facsímil")</f>
        <v>Abrir facsímil</v>
      </c>
      <c r="K2275" s="15" t="s">
        <v>22</v>
      </c>
    </row>
    <row r="2276" spans="1:11" ht="42" customHeight="1">
      <c r="A2276" s="4" t="s">
        <v>5339</v>
      </c>
      <c r="B2276" s="5" t="s">
        <v>5340</v>
      </c>
      <c r="C2276" s="5" t="s">
        <v>17</v>
      </c>
      <c r="D2276" s="5" t="s">
        <v>18</v>
      </c>
      <c r="E2276" s="5" t="s">
        <v>178</v>
      </c>
      <c r="F2276" s="9">
        <v>36</v>
      </c>
      <c r="G2276" s="9">
        <v>350</v>
      </c>
      <c r="H2276" s="5" t="s">
        <v>20</v>
      </c>
      <c r="I2276" s="5" t="s">
        <v>5341</v>
      </c>
      <c r="J2276" s="12" t="str">
        <f>HYPERLINK("https://www.boe.es/gazeta/dias/1806/04/29/pdfs/GMD-1806-36.pdf#page=6","Abrir facsímil")</f>
        <v>Abrir facsímil</v>
      </c>
      <c r="K2276" s="15" t="s">
        <v>22</v>
      </c>
    </row>
    <row r="2277" spans="1:11" ht="42" customHeight="1">
      <c r="A2277" s="4" t="s">
        <v>5342</v>
      </c>
      <c r="B2277" s="5" t="s">
        <v>5343</v>
      </c>
      <c r="C2277" s="5" t="s">
        <v>69</v>
      </c>
      <c r="D2277" s="5" t="s">
        <v>70</v>
      </c>
      <c r="E2277" s="5" t="s">
        <v>430</v>
      </c>
      <c r="F2277" s="9">
        <v>12</v>
      </c>
      <c r="G2277" s="9">
        <v>104</v>
      </c>
      <c r="H2277" s="5" t="s">
        <v>20</v>
      </c>
      <c r="I2277" s="5" t="s">
        <v>5344</v>
      </c>
      <c r="J2277" s="12" t="str">
        <f>HYPERLINK("https://www.boe.es/gazeta/dias/1806/02/04/pdfs/GMD-1806-12.pdf#page=4","Abrir facsímil")</f>
        <v>Abrir facsímil</v>
      </c>
      <c r="K2277" s="15" t="s">
        <v>22</v>
      </c>
    </row>
    <row r="2278" spans="1:11" ht="42" customHeight="1">
      <c r="A2278" s="4" t="s">
        <v>5345</v>
      </c>
      <c r="B2278" s="5" t="s">
        <v>5346</v>
      </c>
      <c r="C2278" s="5" t="s">
        <v>17</v>
      </c>
      <c r="D2278" s="5" t="s">
        <v>18</v>
      </c>
      <c r="E2278" s="5" t="s">
        <v>494</v>
      </c>
      <c r="F2278" s="9">
        <v>69</v>
      </c>
      <c r="G2278" s="9">
        <v>724</v>
      </c>
      <c r="H2278" s="5" t="s">
        <v>20</v>
      </c>
      <c r="I2278" s="5" t="s">
        <v>5347</v>
      </c>
      <c r="J2278" s="12" t="str">
        <f>HYPERLINK("https://www.boe.es/gazeta/dias/1806/08/22/pdfs/GMD-1806-69.pdf#page=12","Abrir facsímil")</f>
        <v>Abrir facsímil</v>
      </c>
      <c r="K2278" s="15" t="s">
        <v>22</v>
      </c>
    </row>
    <row r="2279" spans="1:11" ht="42" customHeight="1">
      <c r="A2279" s="4" t="s">
        <v>5348</v>
      </c>
      <c r="B2279" s="5" t="s">
        <v>5348</v>
      </c>
      <c r="C2279" s="5" t="s">
        <v>69</v>
      </c>
      <c r="D2279" s="5" t="s">
        <v>70</v>
      </c>
      <c r="E2279" s="5" t="s">
        <v>306</v>
      </c>
      <c r="F2279" s="9">
        <v>59</v>
      </c>
      <c r="G2279" s="9">
        <v>609</v>
      </c>
      <c r="H2279" s="5" t="s">
        <v>20</v>
      </c>
      <c r="I2279" s="5" t="s">
        <v>5349</v>
      </c>
      <c r="J2279" s="12" t="str">
        <f>HYPERLINK("https://www.boe.es/gazeta/dias/1806/07/18/pdfs/GMD-1806-59.pdf#page=5","Abrir facsímil")</f>
        <v>Abrir facsímil</v>
      </c>
      <c r="K2279" s="15" t="s">
        <v>22</v>
      </c>
    </row>
    <row r="2280" spans="1:11" ht="42" customHeight="1">
      <c r="A2280" s="4" t="s">
        <v>5350</v>
      </c>
      <c r="B2280" s="5" t="s">
        <v>5350</v>
      </c>
      <c r="C2280" s="5" t="s">
        <v>69</v>
      </c>
      <c r="D2280" s="5" t="s">
        <v>70</v>
      </c>
      <c r="E2280" s="5" t="s">
        <v>400</v>
      </c>
      <c r="F2280" s="9">
        <v>22</v>
      </c>
      <c r="G2280" s="9">
        <v>205</v>
      </c>
      <c r="H2280" s="5" t="s">
        <v>20</v>
      </c>
      <c r="I2280" s="5" t="s">
        <v>5351</v>
      </c>
      <c r="J2280" s="12" t="str">
        <f>HYPERLINK("https://www.boe.es/gazeta/dias/1806/03/11/pdfs/GMD-1806-22.pdf#page=5","Abrir facsímil")</f>
        <v>Abrir facsímil</v>
      </c>
      <c r="K2280" s="15" t="s">
        <v>22</v>
      </c>
    </row>
    <row r="2281" spans="1:11" ht="42" customHeight="1">
      <c r="A2281" s="4" t="s">
        <v>5352</v>
      </c>
      <c r="B2281" s="5" t="s">
        <v>5352</v>
      </c>
      <c r="C2281" s="5" t="s">
        <v>69</v>
      </c>
      <c r="D2281" s="5" t="s">
        <v>70</v>
      </c>
      <c r="E2281" s="5" t="s">
        <v>71</v>
      </c>
      <c r="F2281" s="9">
        <v>29</v>
      </c>
      <c r="G2281" s="9">
        <v>285</v>
      </c>
      <c r="H2281" s="5" t="s">
        <v>20</v>
      </c>
      <c r="I2281" s="5" t="s">
        <v>5353</v>
      </c>
      <c r="J2281" s="12" t="str">
        <f>HYPERLINK("https://www.boe.es/gazeta/dias/1806/04/04/pdfs/GMD-1806-29.pdf#page=5","Abrir facsímil")</f>
        <v>Abrir facsímil</v>
      </c>
      <c r="K2281" s="15" t="s">
        <v>22</v>
      </c>
    </row>
    <row r="2282" spans="1:11" ht="42" customHeight="1">
      <c r="A2282" s="4" t="s">
        <v>5354</v>
      </c>
      <c r="B2282" s="5" t="s">
        <v>5355</v>
      </c>
      <c r="C2282" s="5" t="s">
        <v>75</v>
      </c>
      <c r="D2282" s="5" t="s">
        <v>43</v>
      </c>
      <c r="E2282" s="5" t="s">
        <v>702</v>
      </c>
      <c r="F2282" s="9">
        <v>43</v>
      </c>
      <c r="G2282" s="9">
        <v>434</v>
      </c>
      <c r="H2282" s="5" t="s">
        <v>20</v>
      </c>
      <c r="I2282" s="5" t="s">
        <v>5356</v>
      </c>
      <c r="J2282" s="12" t="str">
        <f>HYPERLINK("https://www.boe.es/gazeta/dias/1806/05/23/pdfs/GMD-1806-43.pdf#page=10","Abrir facsímil")</f>
        <v>Abrir facsímil</v>
      </c>
      <c r="K2282" s="15" t="s">
        <v>22</v>
      </c>
    </row>
    <row r="2283" spans="1:11" ht="42" customHeight="1">
      <c r="A2283" s="4" t="s">
        <v>5354</v>
      </c>
      <c r="B2283" s="5" t="s">
        <v>5355</v>
      </c>
      <c r="C2283" s="5" t="s">
        <v>75</v>
      </c>
      <c r="D2283" s="5" t="s">
        <v>43</v>
      </c>
      <c r="E2283" s="5" t="s">
        <v>82</v>
      </c>
      <c r="F2283" s="9">
        <v>48</v>
      </c>
      <c r="G2283" s="9">
        <v>499</v>
      </c>
      <c r="H2283" s="5" t="s">
        <v>20</v>
      </c>
      <c r="I2283" s="5" t="s">
        <v>5357</v>
      </c>
      <c r="J2283" s="12" t="str">
        <f>HYPERLINK("https://www.boe.es/gazeta/dias/1806/06/10/pdfs/GMD-1806-48.pdf#page=11","Abrir facsímil")</f>
        <v>Abrir facsímil</v>
      </c>
      <c r="K2283" s="15" t="s">
        <v>22</v>
      </c>
    </row>
    <row r="2284" spans="1:11" ht="42" customHeight="1">
      <c r="A2284" s="4" t="s">
        <v>5354</v>
      </c>
      <c r="B2284" s="5" t="s">
        <v>5355</v>
      </c>
      <c r="C2284" s="5" t="s">
        <v>75</v>
      </c>
      <c r="D2284" s="5" t="s">
        <v>43</v>
      </c>
      <c r="E2284" s="5" t="s">
        <v>136</v>
      </c>
      <c r="F2284" s="9">
        <v>50</v>
      </c>
      <c r="G2284" s="9">
        <v>519</v>
      </c>
      <c r="H2284" s="5" t="s">
        <v>20</v>
      </c>
      <c r="I2284" s="5" t="s">
        <v>5358</v>
      </c>
      <c r="J2284" s="12" t="str">
        <f>HYPERLINK("https://www.boe.es/gazeta/dias/1806/06/17/pdfs/GMD-1806-50.pdf#page=11","Abrir facsímil")</f>
        <v>Abrir facsímil</v>
      </c>
      <c r="K2284" s="15" t="s">
        <v>22</v>
      </c>
    </row>
    <row r="2285" spans="1:11" ht="42" customHeight="1">
      <c r="A2285" s="4" t="s">
        <v>5354</v>
      </c>
      <c r="B2285" s="5" t="s">
        <v>5355</v>
      </c>
      <c r="C2285" s="5" t="s">
        <v>75</v>
      </c>
      <c r="D2285" s="5" t="s">
        <v>43</v>
      </c>
      <c r="E2285" s="5" t="s">
        <v>86</v>
      </c>
      <c r="F2285" s="9">
        <v>53</v>
      </c>
      <c r="G2285" s="9">
        <v>554</v>
      </c>
      <c r="H2285" s="5" t="s">
        <v>20</v>
      </c>
      <c r="I2285" s="5" t="s">
        <v>5359</v>
      </c>
      <c r="J2285" s="12" t="str">
        <f>HYPERLINK("https://www.boe.es/gazeta/dias/1806/06/27/pdfs/GMD-1806-53.pdf#page=10","Abrir facsímil")</f>
        <v>Abrir facsímil</v>
      </c>
      <c r="K2285" s="15" t="s">
        <v>22</v>
      </c>
    </row>
    <row r="2286" spans="1:11" ht="42" customHeight="1">
      <c r="A2286" s="4" t="s">
        <v>5354</v>
      </c>
      <c r="B2286" s="5" t="s">
        <v>5355</v>
      </c>
      <c r="C2286" s="5" t="s">
        <v>75</v>
      </c>
      <c r="D2286" s="5" t="s">
        <v>43</v>
      </c>
      <c r="E2286" s="5" t="s">
        <v>110</v>
      </c>
      <c r="F2286" s="9">
        <v>55</v>
      </c>
      <c r="G2286" s="9">
        <v>575</v>
      </c>
      <c r="H2286" s="5" t="s">
        <v>20</v>
      </c>
      <c r="I2286" s="5" t="s">
        <v>5360</v>
      </c>
      <c r="J2286" s="12" t="str">
        <f>HYPERLINK("https://www.boe.es/gazeta/dias/1806/07/04/pdfs/GMD-1806-55.pdf#page=11","Abrir facsímil")</f>
        <v>Abrir facsímil</v>
      </c>
      <c r="K2286" s="15" t="s">
        <v>22</v>
      </c>
    </row>
    <row r="2287" spans="1:11" ht="42" customHeight="1">
      <c r="A2287" s="4" t="s">
        <v>5354</v>
      </c>
      <c r="B2287" s="5" t="s">
        <v>5355</v>
      </c>
      <c r="C2287" s="5" t="s">
        <v>31</v>
      </c>
      <c r="D2287" s="5" t="s">
        <v>32</v>
      </c>
      <c r="E2287" s="5" t="s">
        <v>103</v>
      </c>
      <c r="F2287" s="9">
        <v>61</v>
      </c>
      <c r="G2287" s="9">
        <v>639</v>
      </c>
      <c r="H2287" s="5" t="s">
        <v>20</v>
      </c>
      <c r="I2287" s="5" t="s">
        <v>5361</v>
      </c>
      <c r="J2287" s="12" t="str">
        <f>HYPERLINK("https://www.boe.es/gazeta/dias/1806/07/25/pdfs/GMD-1806-61.pdf#page=11","Abrir facsímil")</f>
        <v>Abrir facsímil</v>
      </c>
      <c r="K2287" s="15" t="s">
        <v>22</v>
      </c>
    </row>
    <row r="2288" spans="1:11" ht="42" customHeight="1">
      <c r="A2288" s="4" t="s">
        <v>5354</v>
      </c>
      <c r="B2288" s="5" t="s">
        <v>5355</v>
      </c>
      <c r="C2288" s="5" t="s">
        <v>36</v>
      </c>
      <c r="D2288" s="5" t="s">
        <v>37</v>
      </c>
      <c r="E2288" s="5" t="s">
        <v>96</v>
      </c>
      <c r="F2288" s="9">
        <v>62</v>
      </c>
      <c r="G2288" s="9">
        <v>650</v>
      </c>
      <c r="H2288" s="5" t="s">
        <v>20</v>
      </c>
      <c r="I2288" s="5" t="s">
        <v>5362</v>
      </c>
      <c r="J2288" s="12" t="str">
        <f>HYPERLINK("https://www.boe.es/gazeta/dias/1806/07/29/pdfs/GMD-1806-62.pdf#page=10","Abrir facsímil")</f>
        <v>Abrir facsímil</v>
      </c>
      <c r="K2288" s="15" t="s">
        <v>22</v>
      </c>
    </row>
    <row r="2289" spans="1:11" ht="42" customHeight="1">
      <c r="A2289" s="4" t="s">
        <v>5354</v>
      </c>
      <c r="B2289" s="5" t="s">
        <v>5355</v>
      </c>
      <c r="C2289" s="5" t="s">
        <v>42</v>
      </c>
      <c r="D2289" s="5" t="s">
        <v>43</v>
      </c>
      <c r="E2289" s="5" t="s">
        <v>48</v>
      </c>
      <c r="F2289" s="9">
        <v>67</v>
      </c>
      <c r="G2289" s="9">
        <v>702</v>
      </c>
      <c r="H2289" s="5" t="s">
        <v>20</v>
      </c>
      <c r="I2289" s="5" t="s">
        <v>5363</v>
      </c>
      <c r="J2289" s="12" t="str">
        <f>HYPERLINK("https://www.boe.es/gazeta/dias/1806/08/15/pdfs/GMD-1806-67.pdf#page=10","Abrir facsímil")</f>
        <v>Abrir facsímil</v>
      </c>
      <c r="K2289" s="15" t="s">
        <v>22</v>
      </c>
    </row>
    <row r="2290" spans="1:11" ht="42" customHeight="1">
      <c r="A2290" s="4" t="s">
        <v>5354</v>
      </c>
      <c r="B2290" s="5" t="s">
        <v>5355</v>
      </c>
      <c r="C2290" s="5" t="s">
        <v>75</v>
      </c>
      <c r="D2290" s="5" t="s">
        <v>43</v>
      </c>
      <c r="E2290" s="5" t="s">
        <v>405</v>
      </c>
      <c r="F2290" s="9">
        <v>80</v>
      </c>
      <c r="G2290" s="9">
        <v>832</v>
      </c>
      <c r="H2290" s="5" t="s">
        <v>20</v>
      </c>
      <c r="I2290" s="5" t="s">
        <v>5364</v>
      </c>
      <c r="J2290" s="12" t="str">
        <f>HYPERLINK("https://www.boe.es/gazeta/dias/1806/09/30/pdfs/GMD-1806-80.pdf#page=12","Abrir facsímil")</f>
        <v>Abrir facsímil</v>
      </c>
      <c r="K2290" s="15" t="s">
        <v>22</v>
      </c>
    </row>
    <row r="2291" spans="1:11" ht="42" customHeight="1">
      <c r="A2291" s="4" t="s">
        <v>5354</v>
      </c>
      <c r="B2291" s="5" t="s">
        <v>5355</v>
      </c>
      <c r="C2291" s="5" t="s">
        <v>75</v>
      </c>
      <c r="D2291" s="5" t="s">
        <v>43</v>
      </c>
      <c r="E2291" s="5" t="s">
        <v>127</v>
      </c>
      <c r="F2291" s="9">
        <v>81</v>
      </c>
      <c r="G2291" s="9">
        <v>840</v>
      </c>
      <c r="H2291" s="5" t="s">
        <v>20</v>
      </c>
      <c r="I2291" s="5" t="s">
        <v>5365</v>
      </c>
      <c r="J2291" s="12" t="str">
        <f>HYPERLINK("https://www.boe.es/gazeta/dias/1806/10/03/pdfs/GMD-1806-81.pdf#page=8","Abrir facsímil")</f>
        <v>Abrir facsímil</v>
      </c>
      <c r="K2291" s="15" t="s">
        <v>22</v>
      </c>
    </row>
    <row r="2292" spans="1:11" ht="42" customHeight="1">
      <c r="A2292" s="4" t="s">
        <v>5354</v>
      </c>
      <c r="B2292" s="5" t="s">
        <v>5355</v>
      </c>
      <c r="C2292" s="5" t="s">
        <v>75</v>
      </c>
      <c r="D2292" s="5" t="s">
        <v>43</v>
      </c>
      <c r="E2292" s="5" t="s">
        <v>348</v>
      </c>
      <c r="F2292" s="9">
        <v>88</v>
      </c>
      <c r="G2292" s="9">
        <v>911</v>
      </c>
      <c r="H2292" s="5" t="s">
        <v>20</v>
      </c>
      <c r="I2292" s="5" t="s">
        <v>5366</v>
      </c>
      <c r="J2292" s="12" t="str">
        <f>HYPERLINK("https://www.boe.es/gazeta/dias/1806/10/28/pdfs/GMD-1806-88.pdf#page=7","Abrir facsímil")</f>
        <v>Abrir facsímil</v>
      </c>
      <c r="K2292" s="15" t="s">
        <v>22</v>
      </c>
    </row>
    <row r="2293" spans="1:11" ht="42" customHeight="1">
      <c r="A2293" s="4" t="s">
        <v>5354</v>
      </c>
      <c r="B2293" s="5" t="s">
        <v>5355</v>
      </c>
      <c r="C2293" s="5" t="s">
        <v>75</v>
      </c>
      <c r="D2293" s="5" t="s">
        <v>43</v>
      </c>
      <c r="E2293" s="5" t="s">
        <v>554</v>
      </c>
      <c r="F2293" s="9">
        <v>90</v>
      </c>
      <c r="G2293" s="9">
        <v>935</v>
      </c>
      <c r="H2293" s="5" t="s">
        <v>20</v>
      </c>
      <c r="I2293" s="5" t="s">
        <v>5367</v>
      </c>
      <c r="J2293" s="12" t="str">
        <f>HYPERLINK("https://www.boe.es/gazeta/dias/1806/11/04/pdfs/GMD-1806-90.pdf#page=11","Abrir facsímil")</f>
        <v>Abrir facsímil</v>
      </c>
      <c r="K2293" s="15" t="s">
        <v>22</v>
      </c>
    </row>
    <row r="2294" spans="1:11" ht="42" customHeight="1">
      <c r="A2294" s="4" t="s">
        <v>5368</v>
      </c>
      <c r="B2294" s="5" t="s">
        <v>5369</v>
      </c>
      <c r="C2294" s="5" t="s">
        <v>31</v>
      </c>
      <c r="D2294" s="5" t="s">
        <v>32</v>
      </c>
      <c r="E2294" s="5" t="s">
        <v>24</v>
      </c>
      <c r="F2294" s="9">
        <v>32</v>
      </c>
      <c r="G2294" s="9">
        <v>315</v>
      </c>
      <c r="H2294" s="5" t="s">
        <v>20</v>
      </c>
      <c r="I2294" s="5" t="s">
        <v>5370</v>
      </c>
      <c r="J2294" s="12" t="str">
        <f>HYPERLINK("https://www.boe.es/gazeta/dias/1806/04/15/pdfs/GMD-1806-32.pdf#page=7","Abrir facsímil")</f>
        <v>Abrir facsímil</v>
      </c>
      <c r="K2294" s="15" t="s">
        <v>22</v>
      </c>
    </row>
    <row r="2295" spans="1:11" ht="42" customHeight="1">
      <c r="A2295" s="4" t="s">
        <v>5371</v>
      </c>
      <c r="B2295" s="5" t="s">
        <v>5371</v>
      </c>
      <c r="C2295" s="5" t="s">
        <v>69</v>
      </c>
      <c r="D2295" s="5" t="s">
        <v>70</v>
      </c>
      <c r="E2295" s="5" t="s">
        <v>71</v>
      </c>
      <c r="F2295" s="9">
        <v>29</v>
      </c>
      <c r="G2295" s="9">
        <v>283</v>
      </c>
      <c r="H2295" s="5" t="s">
        <v>20</v>
      </c>
      <c r="I2295" s="5" t="s">
        <v>5372</v>
      </c>
      <c r="J2295" s="12" t="str">
        <f>HYPERLINK("https://www.boe.es/gazeta/dias/1806/04/04/pdfs/GMD-1806-29.pdf#page=3","Abrir facsímil")</f>
        <v>Abrir facsímil</v>
      </c>
      <c r="K2295" s="15" t="s">
        <v>22</v>
      </c>
    </row>
    <row r="2296" spans="1:11" ht="42" customHeight="1">
      <c r="A2296" s="4" t="s">
        <v>5371</v>
      </c>
      <c r="B2296" s="5" t="s">
        <v>5371</v>
      </c>
      <c r="C2296" s="5" t="s">
        <v>69</v>
      </c>
      <c r="D2296" s="5" t="s">
        <v>70</v>
      </c>
      <c r="E2296" s="5" t="s">
        <v>71</v>
      </c>
      <c r="F2296" s="9">
        <v>29</v>
      </c>
      <c r="G2296" s="9">
        <v>284</v>
      </c>
      <c r="H2296" s="5" t="s">
        <v>20</v>
      </c>
      <c r="I2296" s="5" t="s">
        <v>5373</v>
      </c>
      <c r="J2296" s="12" t="str">
        <f>HYPERLINK("https://www.boe.es/gazeta/dias/1806/04/04/pdfs/GMD-1806-29.pdf#page=4","Abrir facsímil")</f>
        <v>Abrir facsímil</v>
      </c>
      <c r="K2296" s="15" t="s">
        <v>22</v>
      </c>
    </row>
    <row r="2297" spans="1:11" ht="42" customHeight="1">
      <c r="A2297" s="4" t="s">
        <v>5374</v>
      </c>
      <c r="B2297" s="5" t="s">
        <v>5375</v>
      </c>
      <c r="C2297" s="5" t="s">
        <v>36</v>
      </c>
      <c r="D2297" s="5" t="s">
        <v>37</v>
      </c>
      <c r="E2297" s="5" t="s">
        <v>209</v>
      </c>
      <c r="F2297" s="9">
        <v>95</v>
      </c>
      <c r="G2297" s="9">
        <v>1008</v>
      </c>
      <c r="H2297" s="5" t="s">
        <v>20</v>
      </c>
      <c r="I2297" s="5" t="s">
        <v>5376</v>
      </c>
      <c r="J2297" s="12" t="str">
        <f>HYPERLINK("https://www.boe.es/gazeta/dias/1806/11/21/pdfs/GMD-1806-95.pdf#page=16","Abrir facsímil")</f>
        <v>Abrir facsímil</v>
      </c>
      <c r="K2297" s="15" t="s">
        <v>22</v>
      </c>
    </row>
    <row r="2298" spans="1:11" ht="42" customHeight="1">
      <c r="A2298" s="4" t="s">
        <v>5377</v>
      </c>
      <c r="B2298" s="5" t="s">
        <v>5378</v>
      </c>
      <c r="C2298" s="5" t="s">
        <v>17</v>
      </c>
      <c r="D2298" s="5" t="s">
        <v>18</v>
      </c>
      <c r="E2298" s="5" t="s">
        <v>185</v>
      </c>
      <c r="F2298" s="9">
        <v>46</v>
      </c>
      <c r="G2298" s="9">
        <v>466</v>
      </c>
      <c r="H2298" s="5" t="s">
        <v>20</v>
      </c>
      <c r="I2298" s="5" t="s">
        <v>5379</v>
      </c>
      <c r="J2298" s="12" t="str">
        <f>HYPERLINK("https://www.boe.es/gazeta/dias/1806/06/03/pdfs/GMD-1806-46.pdf#page=6","Abrir facsímil")</f>
        <v>Abrir facsímil</v>
      </c>
      <c r="K2298" s="15" t="s">
        <v>22</v>
      </c>
    </row>
    <row r="2299" spans="1:11" ht="42" customHeight="1">
      <c r="A2299" s="4" t="s">
        <v>5380</v>
      </c>
      <c r="B2299" s="5" t="s">
        <v>5380</v>
      </c>
      <c r="C2299" s="5" t="s">
        <v>69</v>
      </c>
      <c r="D2299" s="5" t="s">
        <v>70</v>
      </c>
      <c r="E2299" s="5" t="s">
        <v>367</v>
      </c>
      <c r="F2299" s="9">
        <v>87</v>
      </c>
      <c r="G2299" s="9">
        <v>899</v>
      </c>
      <c r="H2299" s="5" t="s">
        <v>20</v>
      </c>
      <c r="I2299" s="5" t="s">
        <v>5381</v>
      </c>
      <c r="J2299" s="12" t="str">
        <f>HYPERLINK("https://www.boe.es/gazeta/dias/1806/10/24/pdfs/GMD-1806-87.pdf#page=7","Abrir facsímil")</f>
        <v>Abrir facsímil</v>
      </c>
      <c r="K2299" s="15" t="s">
        <v>22</v>
      </c>
    </row>
    <row r="2300" spans="1:11" ht="42" customHeight="1">
      <c r="A2300" s="4" t="s">
        <v>5382</v>
      </c>
      <c r="B2300" s="5" t="s">
        <v>5382</v>
      </c>
      <c r="C2300" s="5" t="s">
        <v>31</v>
      </c>
      <c r="D2300" s="5" t="s">
        <v>32</v>
      </c>
      <c r="E2300" s="5" t="s">
        <v>367</v>
      </c>
      <c r="F2300" s="9">
        <v>87</v>
      </c>
      <c r="G2300" s="9">
        <v>901</v>
      </c>
      <c r="H2300" s="5" t="s">
        <v>20</v>
      </c>
      <c r="I2300" s="5" t="s">
        <v>5383</v>
      </c>
      <c r="J2300" s="12" t="str">
        <f>HYPERLINK("https://www.boe.es/gazeta/dias/1806/10/24/pdfs/GMD-1806-87.pdf#page=9","Abrir facsímil")</f>
        <v>Abrir facsímil</v>
      </c>
      <c r="K2300" s="15" t="s">
        <v>22</v>
      </c>
    </row>
    <row r="2301" spans="1:11" ht="42" customHeight="1">
      <c r="A2301" s="4" t="s">
        <v>5384</v>
      </c>
      <c r="B2301" s="5" t="s">
        <v>5385</v>
      </c>
      <c r="C2301" s="5" t="s">
        <v>31</v>
      </c>
      <c r="D2301" s="5" t="s">
        <v>32</v>
      </c>
      <c r="E2301" s="5" t="s">
        <v>1080</v>
      </c>
      <c r="F2301" s="9">
        <v>49</v>
      </c>
      <c r="G2301" s="9">
        <v>501</v>
      </c>
      <c r="H2301" s="5" t="s">
        <v>20</v>
      </c>
      <c r="I2301" s="5" t="s">
        <v>5386</v>
      </c>
      <c r="J2301" s="12" t="str">
        <f>HYPERLINK("https://www.boe.es/gazeta/dias/1806/06/13/pdfs/GMD-1806-49.pdf#page=1","Abrir facsímil")</f>
        <v>Abrir facsímil</v>
      </c>
      <c r="K2301" s="15" t="s">
        <v>22</v>
      </c>
    </row>
    <row r="2302" spans="1:11" ht="42" customHeight="1">
      <c r="A2302" s="4" t="s">
        <v>5387</v>
      </c>
      <c r="B2302" s="5" t="s">
        <v>5387</v>
      </c>
      <c r="C2302" s="5" t="s">
        <v>17</v>
      </c>
      <c r="D2302" s="5" t="s">
        <v>18</v>
      </c>
      <c r="E2302" s="5" t="s">
        <v>438</v>
      </c>
      <c r="F2302" s="9">
        <v>70</v>
      </c>
      <c r="G2302" s="9">
        <v>728</v>
      </c>
      <c r="H2302" s="5" t="s">
        <v>20</v>
      </c>
      <c r="I2302" s="5" t="s">
        <v>5388</v>
      </c>
      <c r="J2302" s="12" t="str">
        <f>HYPERLINK("https://www.boe.es/gazeta/dias/1806/08/26/pdfs/GMD-1806-70.pdf#page=4","Abrir facsímil")</f>
        <v>Abrir facsímil</v>
      </c>
      <c r="K2302" s="15" t="s">
        <v>22</v>
      </c>
    </row>
    <row r="2303" spans="1:11" ht="42" customHeight="1">
      <c r="A2303" s="4" t="s">
        <v>5389</v>
      </c>
      <c r="B2303" s="5" t="s">
        <v>5390</v>
      </c>
      <c r="C2303" s="5" t="s">
        <v>75</v>
      </c>
      <c r="D2303" s="5" t="s">
        <v>43</v>
      </c>
      <c r="E2303" s="5" t="s">
        <v>680</v>
      </c>
      <c r="F2303" s="9">
        <v>97</v>
      </c>
      <c r="G2303" s="9">
        <v>1030</v>
      </c>
      <c r="H2303" s="5" t="s">
        <v>20</v>
      </c>
      <c r="I2303" s="5" t="s">
        <v>5391</v>
      </c>
      <c r="J2303" s="12" t="str">
        <f>HYPERLINK("https://www.boe.es/gazeta/dias/1806/11/28/pdfs/GMD-1806-97.pdf#page=10","Abrir facsímil")</f>
        <v>Abrir facsímil</v>
      </c>
      <c r="K2303" s="15" t="s">
        <v>22</v>
      </c>
    </row>
    <row r="2304" spans="1:11" ht="42" customHeight="1">
      <c r="A2304" s="4" t="s">
        <v>5392</v>
      </c>
      <c r="B2304" s="5" t="s">
        <v>5393</v>
      </c>
      <c r="C2304" s="5" t="s">
        <v>75</v>
      </c>
      <c r="D2304" s="5" t="s">
        <v>43</v>
      </c>
      <c r="E2304" s="5" t="s">
        <v>24</v>
      </c>
      <c r="F2304" s="9">
        <v>32</v>
      </c>
      <c r="G2304" s="9">
        <v>317</v>
      </c>
      <c r="H2304" s="5" t="s">
        <v>20</v>
      </c>
      <c r="I2304" s="5" t="s">
        <v>5394</v>
      </c>
      <c r="J2304" s="12" t="str">
        <f>HYPERLINK("https://www.boe.es/gazeta/dias/1806/04/15/pdfs/GMD-1806-32.pdf#page=9","Abrir facsímil")</f>
        <v>Abrir facsímil</v>
      </c>
      <c r="K2304" s="15" t="s">
        <v>22</v>
      </c>
    </row>
    <row r="2305" spans="1:11" ht="42" customHeight="1">
      <c r="A2305" s="4" t="s">
        <v>5395</v>
      </c>
      <c r="B2305" s="5" t="s">
        <v>5396</v>
      </c>
      <c r="C2305" s="5" t="s">
        <v>17</v>
      </c>
      <c r="D2305" s="5" t="s">
        <v>18</v>
      </c>
      <c r="E2305" s="5" t="s">
        <v>90</v>
      </c>
      <c r="F2305" s="9">
        <v>60</v>
      </c>
      <c r="G2305" s="9">
        <v>628</v>
      </c>
      <c r="H2305" s="5" t="s">
        <v>20</v>
      </c>
      <c r="I2305" s="5" t="s">
        <v>5397</v>
      </c>
      <c r="J2305" s="12" t="str">
        <f>HYPERLINK("https://www.boe.es/gazeta/dias/1806/07/22/pdfs/GMD-1806-60.pdf#page=12","Abrir facsímil")</f>
        <v>Abrir facsímil</v>
      </c>
      <c r="K2305" s="15" t="s">
        <v>22</v>
      </c>
    </row>
    <row r="2306" spans="1:11" ht="42" customHeight="1">
      <c r="A2306" s="4" t="s">
        <v>5398</v>
      </c>
      <c r="B2306" s="5" t="s">
        <v>5399</v>
      </c>
      <c r="C2306" s="5" t="s">
        <v>17</v>
      </c>
      <c r="D2306" s="5" t="s">
        <v>18</v>
      </c>
      <c r="E2306" s="5" t="s">
        <v>501</v>
      </c>
      <c r="F2306" s="9">
        <v>39</v>
      </c>
      <c r="G2306" s="9">
        <v>384</v>
      </c>
      <c r="H2306" s="5" t="s">
        <v>20</v>
      </c>
      <c r="I2306" s="5" t="s">
        <v>5400</v>
      </c>
      <c r="J2306" s="12" t="str">
        <f>HYPERLINK("https://www.boe.es/gazeta/dias/1806/05/09/pdfs/GMD-1806-39.pdf#page=8","Abrir facsímil")</f>
        <v>Abrir facsímil</v>
      </c>
      <c r="K2306" s="15" t="s">
        <v>22</v>
      </c>
    </row>
    <row r="2307" spans="1:11" ht="42" customHeight="1">
      <c r="A2307" s="4" t="s">
        <v>5398</v>
      </c>
      <c r="B2307" s="5" t="s">
        <v>5399</v>
      </c>
      <c r="C2307" s="5" t="s">
        <v>17</v>
      </c>
      <c r="D2307" s="5" t="s">
        <v>18</v>
      </c>
      <c r="E2307" s="5" t="s">
        <v>175</v>
      </c>
      <c r="F2307" s="9">
        <v>40</v>
      </c>
      <c r="G2307" s="9">
        <v>396</v>
      </c>
      <c r="H2307" s="5" t="s">
        <v>20</v>
      </c>
      <c r="I2307" s="5" t="s">
        <v>5401</v>
      </c>
      <c r="J2307" s="12" t="str">
        <f>HYPERLINK("https://www.boe.es/gazeta/dias/1806/05/13/pdfs/GMD-1806-40.pdf#page=8","Abrir facsímil")</f>
        <v>Abrir facsímil</v>
      </c>
      <c r="K2307" s="15" t="s">
        <v>22</v>
      </c>
    </row>
    <row r="2308" spans="1:11" ht="42" customHeight="1">
      <c r="A2308" s="4" t="s">
        <v>5398</v>
      </c>
      <c r="B2308" s="5" t="s">
        <v>5399</v>
      </c>
      <c r="C2308" s="5" t="s">
        <v>17</v>
      </c>
      <c r="D2308" s="5" t="s">
        <v>18</v>
      </c>
      <c r="E2308" s="5" t="s">
        <v>309</v>
      </c>
      <c r="F2308" s="9">
        <v>41</v>
      </c>
      <c r="G2308" s="9">
        <v>408</v>
      </c>
      <c r="H2308" s="5" t="s">
        <v>20</v>
      </c>
      <c r="I2308" s="5" t="s">
        <v>5402</v>
      </c>
      <c r="J2308" s="12" t="str">
        <f>HYPERLINK("https://www.boe.es/gazeta/dias/1806/05/16/pdfs/GMD-1806-41.pdf#page=8","Abrir facsímil")</f>
        <v>Abrir facsímil</v>
      </c>
      <c r="K2308" s="15" t="s">
        <v>22</v>
      </c>
    </row>
    <row r="2309" spans="1:11" ht="42" customHeight="1">
      <c r="A2309" s="4" t="s">
        <v>5398</v>
      </c>
      <c r="B2309" s="5" t="s">
        <v>5399</v>
      </c>
      <c r="C2309" s="5" t="s">
        <v>36</v>
      </c>
      <c r="D2309" s="5" t="s">
        <v>37</v>
      </c>
      <c r="E2309" s="5" t="s">
        <v>304</v>
      </c>
      <c r="F2309" s="9">
        <v>47</v>
      </c>
      <c r="G2309" s="9">
        <v>480</v>
      </c>
      <c r="H2309" s="5" t="s">
        <v>20</v>
      </c>
      <c r="I2309" s="5" t="s">
        <v>5403</v>
      </c>
      <c r="J2309" s="12" t="str">
        <f>HYPERLINK("https://www.boe.es/gazeta/dias/1806/06/06/pdfs/GMD-1806-47.pdf#page=8","Abrir facsímil")</f>
        <v>Abrir facsímil</v>
      </c>
      <c r="K2309" s="15" t="s">
        <v>22</v>
      </c>
    </row>
    <row r="2310" spans="1:11" ht="42" customHeight="1">
      <c r="A2310" s="4" t="s">
        <v>5398</v>
      </c>
      <c r="B2310" s="5" t="s">
        <v>5399</v>
      </c>
      <c r="C2310" s="5" t="s">
        <v>17</v>
      </c>
      <c r="D2310" s="5" t="s">
        <v>18</v>
      </c>
      <c r="E2310" s="5" t="s">
        <v>82</v>
      </c>
      <c r="F2310" s="9">
        <v>48</v>
      </c>
      <c r="G2310" s="9">
        <v>500</v>
      </c>
      <c r="H2310" s="5" t="s">
        <v>20</v>
      </c>
      <c r="I2310" s="5" t="s">
        <v>5404</v>
      </c>
      <c r="J2310" s="12" t="str">
        <f>HYPERLINK("https://www.boe.es/gazeta/dias/1806/06/10/pdfs/GMD-1806-48.pdf#page=12","Abrir facsímil")</f>
        <v>Abrir facsímil</v>
      </c>
      <c r="K2310" s="15" t="s">
        <v>22</v>
      </c>
    </row>
    <row r="2311" spans="1:11" ht="42" customHeight="1">
      <c r="A2311" s="4" t="s">
        <v>5405</v>
      </c>
      <c r="B2311" s="5" t="s">
        <v>5406</v>
      </c>
      <c r="C2311" s="5" t="s">
        <v>31</v>
      </c>
      <c r="D2311" s="5" t="s">
        <v>32</v>
      </c>
      <c r="E2311" s="5" t="s">
        <v>24</v>
      </c>
      <c r="F2311" s="9">
        <v>32</v>
      </c>
      <c r="G2311" s="9">
        <v>317</v>
      </c>
      <c r="H2311" s="5" t="s">
        <v>20</v>
      </c>
      <c r="I2311" s="5" t="s">
        <v>5407</v>
      </c>
      <c r="J2311" s="12" t="str">
        <f>HYPERLINK("https://www.boe.es/gazeta/dias/1806/04/15/pdfs/GMD-1806-32.pdf#page=9","Abrir facsímil")</f>
        <v>Abrir facsímil</v>
      </c>
      <c r="K2311" s="15" t="s">
        <v>22</v>
      </c>
    </row>
    <row r="2312" spans="1:11" ht="42" customHeight="1">
      <c r="A2312" s="4" t="s">
        <v>5408</v>
      </c>
      <c r="B2312" s="5" t="s">
        <v>5409</v>
      </c>
      <c r="C2312" s="5" t="s">
        <v>75</v>
      </c>
      <c r="D2312" s="5" t="s">
        <v>43</v>
      </c>
      <c r="E2312" s="5" t="s">
        <v>680</v>
      </c>
      <c r="F2312" s="9">
        <v>97</v>
      </c>
      <c r="G2312" s="9">
        <v>1030</v>
      </c>
      <c r="H2312" s="5" t="s">
        <v>20</v>
      </c>
      <c r="I2312" s="5" t="s">
        <v>5410</v>
      </c>
      <c r="J2312" s="12" t="str">
        <f>HYPERLINK("https://www.boe.es/gazeta/dias/1806/11/28/pdfs/GMD-1806-97.pdf#page=10","Abrir facsímil")</f>
        <v>Abrir facsímil</v>
      </c>
      <c r="K2312" s="15" t="s">
        <v>22</v>
      </c>
    </row>
    <row r="2313" spans="1:11" ht="42" customHeight="1">
      <c r="A2313" s="4" t="s">
        <v>5411</v>
      </c>
      <c r="B2313" s="5" t="s">
        <v>5411</v>
      </c>
      <c r="C2313" s="5" t="s">
        <v>69</v>
      </c>
      <c r="D2313" s="5" t="s">
        <v>70</v>
      </c>
      <c r="E2313" s="5" t="s">
        <v>220</v>
      </c>
      <c r="F2313" s="9">
        <v>24</v>
      </c>
      <c r="G2313" s="9">
        <v>225</v>
      </c>
      <c r="H2313" s="5" t="s">
        <v>20</v>
      </c>
      <c r="I2313" s="5" t="s">
        <v>5412</v>
      </c>
      <c r="J2313" s="12" t="str">
        <f>HYPERLINK("https://www.boe.es/gazeta/dias/1806/03/18/pdfs/GMD-1806-24.pdf#page=1","Abrir facsímil")</f>
        <v>Abrir facsímil</v>
      </c>
      <c r="K2313" s="15" t="s">
        <v>22</v>
      </c>
    </row>
    <row r="2314" spans="1:11" ht="42" customHeight="1">
      <c r="A2314" s="4" t="s">
        <v>5411</v>
      </c>
      <c r="B2314" s="5" t="s">
        <v>5411</v>
      </c>
      <c r="C2314" s="5" t="s">
        <v>31</v>
      </c>
      <c r="D2314" s="5" t="s">
        <v>32</v>
      </c>
      <c r="E2314" s="5" t="s">
        <v>26</v>
      </c>
      <c r="F2314" s="9">
        <v>65</v>
      </c>
      <c r="G2314" s="9">
        <v>677</v>
      </c>
      <c r="H2314" s="5" t="s">
        <v>20</v>
      </c>
      <c r="I2314" s="5" t="s">
        <v>5413</v>
      </c>
      <c r="J2314" s="12" t="str">
        <f>HYPERLINK("https://www.boe.es/gazeta/dias/1806/08/08/pdfs/GMD-1806-65.pdf#page=5","Abrir facsímil")</f>
        <v>Abrir facsímil</v>
      </c>
      <c r="K2314" s="15" t="s">
        <v>22</v>
      </c>
    </row>
    <row r="2315" spans="1:11" ht="42" customHeight="1">
      <c r="A2315" s="4" t="s">
        <v>5411</v>
      </c>
      <c r="B2315" s="5" t="s">
        <v>5411</v>
      </c>
      <c r="C2315" s="5" t="s">
        <v>17</v>
      </c>
      <c r="D2315" s="5" t="s">
        <v>18</v>
      </c>
      <c r="E2315" s="5" t="s">
        <v>76</v>
      </c>
      <c r="F2315" s="9">
        <v>98</v>
      </c>
      <c r="G2315" s="9">
        <v>1037</v>
      </c>
      <c r="H2315" s="5" t="s">
        <v>20</v>
      </c>
      <c r="I2315" s="5" t="s">
        <v>5414</v>
      </c>
      <c r="J2315" s="12" t="str">
        <f>HYPERLINK("https://www.boe.es/gazeta/dias/1806/12/02/pdfs/GMD-1806-98.pdf#page=5","Abrir facsímil")</f>
        <v>Abrir facsímil</v>
      </c>
      <c r="K2315" s="15" t="s">
        <v>22</v>
      </c>
    </row>
    <row r="2316" spans="1:11" ht="42" customHeight="1">
      <c r="A2316" s="4" t="s">
        <v>5415</v>
      </c>
      <c r="B2316" s="5" t="s">
        <v>5415</v>
      </c>
      <c r="C2316" s="5" t="s">
        <v>69</v>
      </c>
      <c r="D2316" s="5" t="s">
        <v>70</v>
      </c>
      <c r="E2316" s="5" t="s">
        <v>570</v>
      </c>
      <c r="F2316" s="9">
        <v>93</v>
      </c>
      <c r="G2316" s="9">
        <v>976</v>
      </c>
      <c r="H2316" s="5" t="s">
        <v>20</v>
      </c>
      <c r="I2316" s="5" t="s">
        <v>5416</v>
      </c>
      <c r="J2316" s="12" t="str">
        <f>HYPERLINK("https://www.boe.es/gazeta/dias/1806/11/14/pdfs/GMD-1806-93.pdf#page=12","Abrir facsímil")</f>
        <v>Abrir facsímil</v>
      </c>
      <c r="K2316" s="15" t="s">
        <v>22</v>
      </c>
    </row>
    <row r="2317" spans="1:11" ht="42" customHeight="1">
      <c r="A2317" s="4" t="s">
        <v>5415</v>
      </c>
      <c r="B2317" s="5" t="s">
        <v>5415</v>
      </c>
      <c r="C2317" s="5" t="s">
        <v>36</v>
      </c>
      <c r="D2317" s="5" t="s">
        <v>37</v>
      </c>
      <c r="E2317" s="5" t="s">
        <v>209</v>
      </c>
      <c r="F2317" s="9">
        <v>95</v>
      </c>
      <c r="G2317" s="9">
        <v>996</v>
      </c>
      <c r="H2317" s="5" t="s">
        <v>20</v>
      </c>
      <c r="I2317" s="5" t="s">
        <v>5417</v>
      </c>
      <c r="J2317" s="12" t="str">
        <f>HYPERLINK("https://www.boe.es/gazeta/dias/1806/11/21/pdfs/GMD-1806-95.pdf#page=4","Abrir facsímil")</f>
        <v>Abrir facsímil</v>
      </c>
      <c r="K2317" s="15" t="s">
        <v>22</v>
      </c>
    </row>
    <row r="2318" spans="1:11" ht="42" customHeight="1">
      <c r="A2318" s="4" t="s">
        <v>5415</v>
      </c>
      <c r="B2318" s="5" t="s">
        <v>5415</v>
      </c>
      <c r="C2318" s="5" t="s">
        <v>69</v>
      </c>
      <c r="D2318" s="5" t="s">
        <v>70</v>
      </c>
      <c r="E2318" s="5" t="s">
        <v>312</v>
      </c>
      <c r="F2318" s="9">
        <v>100</v>
      </c>
      <c r="G2318" s="9">
        <v>1062</v>
      </c>
      <c r="H2318" s="5" t="s">
        <v>20</v>
      </c>
      <c r="I2318" s="5" t="s">
        <v>5418</v>
      </c>
      <c r="J2318" s="12" t="str">
        <f>HYPERLINK("https://www.boe.es/gazeta/dias/1806/12/09/pdfs/GMD-1806-100.pdf#page=6","Abrir facsímil")</f>
        <v>Abrir facsímil</v>
      </c>
      <c r="K2318" s="15" t="s">
        <v>22</v>
      </c>
    </row>
    <row r="2319" spans="1:11" ht="42" customHeight="1">
      <c r="A2319" s="4" t="s">
        <v>5419</v>
      </c>
      <c r="B2319" s="5" t="s">
        <v>5419</v>
      </c>
      <c r="C2319" s="5" t="s">
        <v>17</v>
      </c>
      <c r="D2319" s="5" t="s">
        <v>18</v>
      </c>
      <c r="E2319" s="5" t="s">
        <v>430</v>
      </c>
      <c r="F2319" s="9">
        <v>12</v>
      </c>
      <c r="G2319" s="9">
        <v>106</v>
      </c>
      <c r="H2319" s="5" t="s">
        <v>20</v>
      </c>
      <c r="I2319" s="5" t="s">
        <v>5420</v>
      </c>
      <c r="J2319" s="12" t="str">
        <f>HYPERLINK("https://www.boe.es/gazeta/dias/1806/02/04/pdfs/GMD-1806-12.pdf#page=6","Abrir facsímil")</f>
        <v>Abrir facsímil</v>
      </c>
      <c r="K2319" s="15" t="s">
        <v>22</v>
      </c>
    </row>
    <row r="2320" spans="1:11" ht="42" customHeight="1">
      <c r="A2320" s="4" t="s">
        <v>5421</v>
      </c>
      <c r="B2320" s="5" t="s">
        <v>5421</v>
      </c>
      <c r="C2320" s="5" t="s">
        <v>69</v>
      </c>
      <c r="D2320" s="5" t="s">
        <v>70</v>
      </c>
      <c r="E2320" s="5" t="s">
        <v>363</v>
      </c>
      <c r="F2320" s="9">
        <v>8</v>
      </c>
      <c r="G2320" s="9">
        <v>70</v>
      </c>
      <c r="H2320" s="5" t="s">
        <v>20</v>
      </c>
      <c r="I2320" s="5" t="s">
        <v>5422</v>
      </c>
      <c r="J2320" s="12" t="str">
        <f>HYPERLINK("https://www.boe.es/gazeta/dias/1806/01/24/pdfs/GMD-1806-8.pdf#page=2","Abrir facsímil")</f>
        <v>Abrir facsímil</v>
      </c>
      <c r="K2320" s="15" t="s">
        <v>22</v>
      </c>
    </row>
    <row r="2321" spans="1:11" ht="42" customHeight="1">
      <c r="A2321" s="4" t="s">
        <v>5423</v>
      </c>
      <c r="B2321" s="5" t="s">
        <v>5423</v>
      </c>
      <c r="C2321" s="5" t="s">
        <v>69</v>
      </c>
      <c r="D2321" s="5" t="s">
        <v>70</v>
      </c>
      <c r="E2321" s="5" t="s">
        <v>455</v>
      </c>
      <c r="F2321" s="9">
        <v>85</v>
      </c>
      <c r="G2321" s="9">
        <v>876</v>
      </c>
      <c r="H2321" s="5" t="s">
        <v>20</v>
      </c>
      <c r="I2321" s="5" t="s">
        <v>5424</v>
      </c>
      <c r="J2321" s="12" t="str">
        <f>HYPERLINK("https://www.boe.es/gazeta/dias/1806/10/17/pdfs/GMD-1806-85.pdf#page=4","Abrir facsímil")</f>
        <v>Abrir facsímil</v>
      </c>
      <c r="K2321" s="15" t="s">
        <v>22</v>
      </c>
    </row>
    <row r="2322" spans="1:11" ht="42" customHeight="1">
      <c r="A2322" s="4" t="s">
        <v>5425</v>
      </c>
      <c r="B2322" s="5" t="s">
        <v>5425</v>
      </c>
      <c r="C2322" s="5" t="s">
        <v>69</v>
      </c>
      <c r="D2322" s="5" t="s">
        <v>70</v>
      </c>
      <c r="E2322" s="5" t="s">
        <v>430</v>
      </c>
      <c r="F2322" s="9">
        <v>12</v>
      </c>
      <c r="G2322" s="9">
        <v>103</v>
      </c>
      <c r="H2322" s="5" t="s">
        <v>20</v>
      </c>
      <c r="I2322" s="5" t="s">
        <v>5426</v>
      </c>
      <c r="J2322" s="12" t="str">
        <f>HYPERLINK("https://www.boe.es/gazeta/dias/1806/02/04/pdfs/GMD-1806-12.pdf#page=3","Abrir facsímil")</f>
        <v>Abrir facsímil</v>
      </c>
      <c r="K2322" s="15" t="s">
        <v>22</v>
      </c>
    </row>
    <row r="2323" spans="1:11" ht="42" customHeight="1">
      <c r="A2323" s="4" t="s">
        <v>5427</v>
      </c>
      <c r="B2323" s="5" t="s">
        <v>5427</v>
      </c>
      <c r="C2323" s="5" t="s">
        <v>69</v>
      </c>
      <c r="D2323" s="5" t="s">
        <v>70</v>
      </c>
      <c r="E2323" s="5" t="s">
        <v>110</v>
      </c>
      <c r="F2323" s="9">
        <v>55</v>
      </c>
      <c r="G2323" s="9">
        <v>569</v>
      </c>
      <c r="H2323" s="5" t="s">
        <v>20</v>
      </c>
      <c r="I2323" s="5" t="s">
        <v>5428</v>
      </c>
      <c r="J2323" s="12" t="str">
        <f>HYPERLINK("https://www.boe.es/gazeta/dias/1806/07/04/pdfs/GMD-1806-55.pdf#page=5","Abrir facsímil")</f>
        <v>Abrir facsímil</v>
      </c>
      <c r="K2323" s="15" t="s">
        <v>22</v>
      </c>
    </row>
    <row r="2324" spans="1:11" ht="42" customHeight="1">
      <c r="A2324" s="4" t="s">
        <v>5429</v>
      </c>
      <c r="B2324" s="5" t="s">
        <v>5429</v>
      </c>
      <c r="C2324" s="5" t="s">
        <v>31</v>
      </c>
      <c r="D2324" s="5" t="s">
        <v>32</v>
      </c>
      <c r="E2324" s="5" t="s">
        <v>55</v>
      </c>
      <c r="F2324" s="9">
        <v>20</v>
      </c>
      <c r="G2324" s="9">
        <v>183</v>
      </c>
      <c r="H2324" s="5" t="s">
        <v>20</v>
      </c>
      <c r="I2324" s="5" t="s">
        <v>5430</v>
      </c>
      <c r="J2324" s="12" t="str">
        <f>HYPERLINK("https://www.boe.es/gazeta/dias/1806/03/04/pdfs/GMD-1806-20.pdf#page=7","Abrir facsímil")</f>
        <v>Abrir facsímil</v>
      </c>
      <c r="K2324" s="15" t="s">
        <v>22</v>
      </c>
    </row>
    <row r="2325" spans="1:11" ht="42" customHeight="1">
      <c r="A2325" s="4" t="s">
        <v>5431</v>
      </c>
      <c r="B2325" s="5" t="s">
        <v>5431</v>
      </c>
      <c r="C2325" s="5" t="s">
        <v>69</v>
      </c>
      <c r="D2325" s="5" t="s">
        <v>70</v>
      </c>
      <c r="E2325" s="5" t="s">
        <v>175</v>
      </c>
      <c r="F2325" s="9">
        <v>40</v>
      </c>
      <c r="G2325" s="9">
        <v>390</v>
      </c>
      <c r="H2325" s="5" t="s">
        <v>20</v>
      </c>
      <c r="I2325" s="5" t="s">
        <v>5432</v>
      </c>
      <c r="J2325" s="12" t="str">
        <f>HYPERLINK("https://www.boe.es/gazeta/dias/1806/05/13/pdfs/GMD-1806-40.pdf#page=2","Abrir facsímil")</f>
        <v>Abrir facsímil</v>
      </c>
      <c r="K2325" s="15" t="s">
        <v>22</v>
      </c>
    </row>
    <row r="2326" spans="1:11" ht="42" customHeight="1">
      <c r="A2326" s="4" t="s">
        <v>5433</v>
      </c>
      <c r="B2326" s="5" t="s">
        <v>5433</v>
      </c>
      <c r="C2326" s="5" t="s">
        <v>69</v>
      </c>
      <c r="D2326" s="5" t="s">
        <v>70</v>
      </c>
      <c r="E2326" s="5" t="s">
        <v>113</v>
      </c>
      <c r="F2326" s="9">
        <v>28</v>
      </c>
      <c r="G2326" s="9">
        <v>275</v>
      </c>
      <c r="H2326" s="5" t="s">
        <v>20</v>
      </c>
      <c r="I2326" s="5" t="s">
        <v>5434</v>
      </c>
      <c r="J2326" s="12" t="str">
        <f>HYPERLINK("https://www.boe.es/gazeta/dias/1806/04/01/pdfs/GMD-1806-28.pdf#page=3","Abrir facsímil")</f>
        <v>Abrir facsímil</v>
      </c>
      <c r="K2326" s="15" t="s">
        <v>22</v>
      </c>
    </row>
    <row r="2327" spans="1:11" ht="42" customHeight="1">
      <c r="A2327" s="4" t="s">
        <v>5435</v>
      </c>
      <c r="B2327" s="5" t="s">
        <v>5435</v>
      </c>
      <c r="C2327" s="5" t="s">
        <v>31</v>
      </c>
      <c r="D2327" s="5" t="s">
        <v>32</v>
      </c>
      <c r="E2327" s="5" t="s">
        <v>172</v>
      </c>
      <c r="F2327" s="9">
        <v>17</v>
      </c>
      <c r="G2327" s="9">
        <v>147</v>
      </c>
      <c r="H2327" s="5" t="s">
        <v>20</v>
      </c>
      <c r="I2327" s="5" t="s">
        <v>5436</v>
      </c>
      <c r="J2327" s="12" t="str">
        <f>HYPERLINK("https://www.boe.es/gazeta/dias/1806/02/21/pdfs/GMD-1806-17.pdf#page=3","Abrir facsímil")</f>
        <v>Abrir facsímil</v>
      </c>
      <c r="K2327" s="15" t="s">
        <v>22</v>
      </c>
    </row>
    <row r="2328" spans="1:11" ht="42" customHeight="1">
      <c r="A2328" s="4" t="s">
        <v>5437</v>
      </c>
      <c r="B2328" s="5" t="s">
        <v>5437</v>
      </c>
      <c r="C2328" s="5" t="s">
        <v>69</v>
      </c>
      <c r="D2328" s="5" t="s">
        <v>70</v>
      </c>
      <c r="E2328" s="5" t="s">
        <v>113</v>
      </c>
      <c r="F2328" s="9">
        <v>28</v>
      </c>
      <c r="G2328" s="9">
        <v>274</v>
      </c>
      <c r="H2328" s="5" t="s">
        <v>20</v>
      </c>
      <c r="I2328" s="5" t="s">
        <v>5438</v>
      </c>
      <c r="J2328" s="12" t="str">
        <f>HYPERLINK("https://www.boe.es/gazeta/dias/1806/04/01/pdfs/GMD-1806-28.pdf#page=2","Abrir facsímil")</f>
        <v>Abrir facsímil</v>
      </c>
      <c r="K2328" s="15" t="s">
        <v>22</v>
      </c>
    </row>
    <row r="2329" spans="1:11" ht="42" customHeight="1">
      <c r="A2329" s="4" t="s">
        <v>5439</v>
      </c>
      <c r="B2329" s="5" t="s">
        <v>5439</v>
      </c>
      <c r="C2329" s="5" t="s">
        <v>69</v>
      </c>
      <c r="D2329" s="5" t="s">
        <v>70</v>
      </c>
      <c r="E2329" s="5" t="s">
        <v>430</v>
      </c>
      <c r="F2329" s="9">
        <v>12</v>
      </c>
      <c r="G2329" s="9">
        <v>103</v>
      </c>
      <c r="H2329" s="5" t="s">
        <v>20</v>
      </c>
      <c r="I2329" s="5" t="s">
        <v>5426</v>
      </c>
      <c r="J2329" s="12" t="str">
        <f>HYPERLINK("https://www.boe.es/gazeta/dias/1806/02/04/pdfs/GMD-1806-12.pdf#page=3","Abrir facsímil")</f>
        <v>Abrir facsímil</v>
      </c>
      <c r="K2329" s="15" t="s">
        <v>22</v>
      </c>
    </row>
    <row r="2330" spans="1:11" ht="42" customHeight="1">
      <c r="A2330" s="4" t="s">
        <v>5440</v>
      </c>
      <c r="B2330" s="5" t="s">
        <v>5440</v>
      </c>
      <c r="C2330" s="5" t="s">
        <v>31</v>
      </c>
      <c r="D2330" s="5" t="s">
        <v>32</v>
      </c>
      <c r="E2330" s="5" t="s">
        <v>271</v>
      </c>
      <c r="F2330" s="9">
        <v>6</v>
      </c>
      <c r="G2330" s="9">
        <v>48</v>
      </c>
      <c r="H2330" s="5" t="s">
        <v>20</v>
      </c>
      <c r="I2330" s="5" t="s">
        <v>5441</v>
      </c>
      <c r="J2330" s="12" t="str">
        <f>HYPERLINK("https://www.boe.es/gazeta/dias/1806/01/17/pdfs/GMD-1806-6.pdf#page=4","Abrir facsímil")</f>
        <v>Abrir facsímil</v>
      </c>
      <c r="K2330" s="15" t="s">
        <v>22</v>
      </c>
    </row>
    <row r="2331" spans="1:11" ht="42" customHeight="1">
      <c r="A2331" s="4" t="s">
        <v>5442</v>
      </c>
      <c r="B2331" s="5" t="s">
        <v>5442</v>
      </c>
      <c r="C2331" s="5" t="s">
        <v>17</v>
      </c>
      <c r="D2331" s="5" t="s">
        <v>18</v>
      </c>
      <c r="E2331" s="5" t="s">
        <v>209</v>
      </c>
      <c r="F2331" s="9">
        <v>95</v>
      </c>
      <c r="G2331" s="9">
        <v>1002</v>
      </c>
      <c r="H2331" s="5" t="s">
        <v>20</v>
      </c>
      <c r="I2331" s="5" t="s">
        <v>5443</v>
      </c>
      <c r="J2331" s="12" t="str">
        <f>HYPERLINK("https://www.boe.es/gazeta/dias/1806/11/21/pdfs/GMD-1806-95.pdf#page=10","Abrir facsímil")</f>
        <v>Abrir facsímil</v>
      </c>
      <c r="K2331" s="15" t="s">
        <v>22</v>
      </c>
    </row>
    <row r="2332" spans="1:11" ht="42" customHeight="1">
      <c r="A2332" s="4" t="s">
        <v>5444</v>
      </c>
      <c r="B2332" s="5" t="s">
        <v>5444</v>
      </c>
      <c r="C2332" s="5" t="s">
        <v>69</v>
      </c>
      <c r="D2332" s="5" t="s">
        <v>70</v>
      </c>
      <c r="E2332" s="5" t="s">
        <v>100</v>
      </c>
      <c r="F2332" s="9">
        <v>7</v>
      </c>
      <c r="G2332" s="9">
        <v>57</v>
      </c>
      <c r="H2332" s="5" t="s">
        <v>20</v>
      </c>
      <c r="I2332" s="5" t="s">
        <v>5445</v>
      </c>
      <c r="J2332" s="12" t="str">
        <f>HYPERLINK("https://www.boe.es/gazeta/dias/1806/01/21/pdfs/GMD-1806-7.pdf#page=1","Abrir facsímil")</f>
        <v>Abrir facsímil</v>
      </c>
      <c r="K2332" s="15" t="s">
        <v>22</v>
      </c>
    </row>
    <row r="2333" spans="1:11" ht="42" customHeight="1">
      <c r="A2333" s="4" t="s">
        <v>5446</v>
      </c>
      <c r="B2333" s="5" t="s">
        <v>5446</v>
      </c>
      <c r="C2333" s="5" t="s">
        <v>69</v>
      </c>
      <c r="D2333" s="5" t="s">
        <v>70</v>
      </c>
      <c r="E2333" s="5" t="s">
        <v>1080</v>
      </c>
      <c r="F2333" s="9">
        <v>49</v>
      </c>
      <c r="G2333" s="9">
        <v>504</v>
      </c>
      <c r="H2333" s="5" t="s">
        <v>20</v>
      </c>
      <c r="I2333" s="5" t="s">
        <v>5447</v>
      </c>
      <c r="J2333" s="12" t="str">
        <f>HYPERLINK("https://www.boe.es/gazeta/dias/1806/06/13/pdfs/GMD-1806-49.pdf#page=4","Abrir facsímil")</f>
        <v>Abrir facsímil</v>
      </c>
      <c r="K2333" s="15" t="s">
        <v>22</v>
      </c>
    </row>
    <row r="2334" spans="1:11" ht="42" customHeight="1">
      <c r="A2334" s="4" t="s">
        <v>5448</v>
      </c>
      <c r="B2334" s="5" t="s">
        <v>5448</v>
      </c>
      <c r="C2334" s="5" t="s">
        <v>31</v>
      </c>
      <c r="D2334" s="5" t="s">
        <v>32</v>
      </c>
      <c r="E2334" s="5" t="s">
        <v>76</v>
      </c>
      <c r="F2334" s="9">
        <v>98</v>
      </c>
      <c r="G2334" s="9">
        <v>1038</v>
      </c>
      <c r="H2334" s="5" t="s">
        <v>20</v>
      </c>
      <c r="I2334" s="5" t="s">
        <v>5449</v>
      </c>
      <c r="J2334" s="12" t="str">
        <f>HYPERLINK("https://www.boe.es/gazeta/dias/1806/12/02/pdfs/GMD-1806-98.pdf#page=6","Abrir facsímil")</f>
        <v>Abrir facsímil</v>
      </c>
      <c r="K2334" s="15" t="s">
        <v>22</v>
      </c>
    </row>
    <row r="2335" spans="1:11" ht="42" customHeight="1">
      <c r="A2335" s="4" t="s">
        <v>5450</v>
      </c>
      <c r="B2335" s="5" t="s">
        <v>5450</v>
      </c>
      <c r="C2335" s="5" t="s">
        <v>69</v>
      </c>
      <c r="D2335" s="5" t="s">
        <v>70</v>
      </c>
      <c r="E2335" s="5" t="s">
        <v>172</v>
      </c>
      <c r="F2335" s="9">
        <v>17</v>
      </c>
      <c r="G2335" s="9">
        <v>150</v>
      </c>
      <c r="H2335" s="5" t="s">
        <v>20</v>
      </c>
      <c r="I2335" s="5" t="s">
        <v>5451</v>
      </c>
      <c r="J2335" s="12" t="str">
        <f>HYPERLINK("https://www.boe.es/gazeta/dias/1806/02/21/pdfs/GMD-1806-17.pdf#page=6","Abrir facsímil")</f>
        <v>Abrir facsímil</v>
      </c>
      <c r="K2335" s="15" t="s">
        <v>22</v>
      </c>
    </row>
    <row r="2336" spans="1:11" ht="42" customHeight="1">
      <c r="A2336" s="4" t="s">
        <v>5450</v>
      </c>
      <c r="B2336" s="5" t="s">
        <v>5450</v>
      </c>
      <c r="C2336" s="5" t="s">
        <v>69</v>
      </c>
      <c r="D2336" s="5" t="s">
        <v>70</v>
      </c>
      <c r="E2336" s="5" t="s">
        <v>716</v>
      </c>
      <c r="F2336" s="9">
        <v>56</v>
      </c>
      <c r="G2336" s="9">
        <v>584</v>
      </c>
      <c r="H2336" s="5" t="s">
        <v>20</v>
      </c>
      <c r="I2336" s="5" t="s">
        <v>5452</v>
      </c>
      <c r="J2336" s="12" t="str">
        <f>HYPERLINK("https://www.boe.es/gazeta/dias/1806/07/08/pdfs/GMD-1806-56.pdf#page=8","Abrir facsímil")</f>
        <v>Abrir facsímil</v>
      </c>
      <c r="K2336" s="15" t="s">
        <v>22</v>
      </c>
    </row>
    <row r="2337" spans="1:11" ht="42" customHeight="1">
      <c r="A2337" s="4" t="s">
        <v>5450</v>
      </c>
      <c r="B2337" s="5" t="s">
        <v>5450</v>
      </c>
      <c r="C2337" s="5" t="s">
        <v>69</v>
      </c>
      <c r="D2337" s="5" t="s">
        <v>70</v>
      </c>
      <c r="E2337" s="5" t="s">
        <v>148</v>
      </c>
      <c r="F2337" s="9">
        <v>78</v>
      </c>
      <c r="G2337" s="9">
        <v>798</v>
      </c>
      <c r="H2337" s="5" t="s">
        <v>20</v>
      </c>
      <c r="I2337" s="5" t="s">
        <v>5453</v>
      </c>
      <c r="J2337" s="12" t="str">
        <f>HYPERLINK("https://www.boe.es/gazeta/dias/1806/09/23/pdfs/GMD-1806-78.pdf#page=2","Abrir facsímil")</f>
        <v>Abrir facsímil</v>
      </c>
      <c r="K2337" s="15" t="s">
        <v>22</v>
      </c>
    </row>
    <row r="2338" spans="1:11" ht="42" customHeight="1">
      <c r="A2338" s="4" t="s">
        <v>5450</v>
      </c>
      <c r="B2338" s="5" t="s">
        <v>5450</v>
      </c>
      <c r="C2338" s="5" t="s">
        <v>69</v>
      </c>
      <c r="D2338" s="5" t="s">
        <v>70</v>
      </c>
      <c r="E2338" s="5" t="s">
        <v>33</v>
      </c>
      <c r="F2338" s="9">
        <v>82</v>
      </c>
      <c r="G2338" s="9">
        <v>844</v>
      </c>
      <c r="H2338" s="5" t="s">
        <v>20</v>
      </c>
      <c r="I2338" s="5" t="s">
        <v>5454</v>
      </c>
      <c r="J2338" s="12" t="str">
        <f>HYPERLINK("https://www.boe.es/gazeta/dias/1806/10/07/pdfs/GMD-1806-82.pdf#page=4","Abrir facsímil")</f>
        <v>Abrir facsímil</v>
      </c>
      <c r="K2338" s="15" t="s">
        <v>22</v>
      </c>
    </row>
    <row r="2339" spans="1:11" ht="42" customHeight="1">
      <c r="A2339" s="4" t="s">
        <v>5450</v>
      </c>
      <c r="B2339" s="5" t="s">
        <v>5450</v>
      </c>
      <c r="C2339" s="5" t="s">
        <v>69</v>
      </c>
      <c r="D2339" s="5" t="s">
        <v>70</v>
      </c>
      <c r="E2339" s="5" t="s">
        <v>165</v>
      </c>
      <c r="F2339" s="9">
        <v>101</v>
      </c>
      <c r="G2339" s="9">
        <v>1069</v>
      </c>
      <c r="H2339" s="5" t="s">
        <v>20</v>
      </c>
      <c r="I2339" s="5" t="s">
        <v>5455</v>
      </c>
      <c r="J2339" s="12" t="str">
        <f>HYPERLINK("https://www.boe.es/gazeta/dias/1806/12/12/pdfs/GMD-1806-101.pdf#page=1","Abrir facsímil")</f>
        <v>Abrir facsímil</v>
      </c>
      <c r="K2339" s="15" t="s">
        <v>22</v>
      </c>
    </row>
    <row r="2340" spans="1:11" ht="42" customHeight="1">
      <c r="A2340" s="4" t="s">
        <v>5450</v>
      </c>
      <c r="B2340" s="5" t="s">
        <v>5450</v>
      </c>
      <c r="C2340" s="5" t="s">
        <v>69</v>
      </c>
      <c r="D2340" s="5" t="s">
        <v>70</v>
      </c>
      <c r="E2340" s="5" t="s">
        <v>28</v>
      </c>
      <c r="F2340" s="9">
        <v>102</v>
      </c>
      <c r="G2340" s="9">
        <v>1081</v>
      </c>
      <c r="H2340" s="5" t="s">
        <v>20</v>
      </c>
      <c r="I2340" s="5" t="s">
        <v>5456</v>
      </c>
      <c r="J2340" s="12" t="str">
        <f>HYPERLINK("https://www.boe.es/gazeta/dias/1806/12/16/pdfs/GMD-1806-102.pdf#page=5","Abrir facsímil")</f>
        <v>Abrir facsímil</v>
      </c>
      <c r="K2340" s="15" t="s">
        <v>22</v>
      </c>
    </row>
    <row r="2341" spans="1:11" ht="42" customHeight="1">
      <c r="A2341" s="4" t="s">
        <v>5450</v>
      </c>
      <c r="B2341" s="5" t="s">
        <v>5450</v>
      </c>
      <c r="C2341" s="5" t="s">
        <v>69</v>
      </c>
      <c r="D2341" s="5" t="s">
        <v>70</v>
      </c>
      <c r="E2341" s="5" t="s">
        <v>327</v>
      </c>
      <c r="F2341" s="9">
        <v>104</v>
      </c>
      <c r="G2341" s="9">
        <v>1101</v>
      </c>
      <c r="H2341" s="5" t="s">
        <v>20</v>
      </c>
      <c r="I2341" s="5" t="s">
        <v>5457</v>
      </c>
      <c r="J2341" s="12" t="str">
        <f>HYPERLINK("https://www.boe.es/gazeta/dias/1806/12/23/pdfs/GMD-1806-104.pdf#page=1","Abrir facsímil")</f>
        <v>Abrir facsímil</v>
      </c>
      <c r="K2341" s="15" t="s">
        <v>22</v>
      </c>
    </row>
    <row r="2342" spans="1:11" ht="42" customHeight="1">
      <c r="A2342" s="4" t="s">
        <v>5458</v>
      </c>
      <c r="B2342" s="5" t="s">
        <v>5458</v>
      </c>
      <c r="C2342" s="5" t="s">
        <v>69</v>
      </c>
      <c r="D2342" s="5" t="s">
        <v>70</v>
      </c>
      <c r="E2342" s="5" t="s">
        <v>348</v>
      </c>
      <c r="F2342" s="9">
        <v>88</v>
      </c>
      <c r="G2342" s="9">
        <v>909</v>
      </c>
      <c r="H2342" s="5" t="s">
        <v>20</v>
      </c>
      <c r="I2342" s="5" t="s">
        <v>5459</v>
      </c>
      <c r="J2342" s="12" t="str">
        <f>HYPERLINK("https://www.boe.es/gazeta/dias/1806/10/28/pdfs/GMD-1806-88.pdf#page=5","Abrir facsímil")</f>
        <v>Abrir facsímil</v>
      </c>
      <c r="K2342" s="15" t="s">
        <v>22</v>
      </c>
    </row>
    <row r="2343" spans="1:11" ht="42" customHeight="1">
      <c r="A2343" s="4" t="s">
        <v>5460</v>
      </c>
      <c r="B2343" s="5" t="s">
        <v>5460</v>
      </c>
      <c r="C2343" s="5" t="s">
        <v>69</v>
      </c>
      <c r="D2343" s="5" t="s">
        <v>70</v>
      </c>
      <c r="E2343" s="5" t="s">
        <v>100</v>
      </c>
      <c r="F2343" s="9">
        <v>7</v>
      </c>
      <c r="G2343" s="9">
        <v>57</v>
      </c>
      <c r="H2343" s="5" t="s">
        <v>20</v>
      </c>
      <c r="I2343" s="5" t="s">
        <v>5445</v>
      </c>
      <c r="J2343" s="12" t="str">
        <f>HYPERLINK("https://www.boe.es/gazeta/dias/1806/01/21/pdfs/GMD-1806-7.pdf#page=1","Abrir facsímil")</f>
        <v>Abrir facsímil</v>
      </c>
      <c r="K2343" s="15" t="s">
        <v>22</v>
      </c>
    </row>
    <row r="2344" spans="1:11" ht="42" customHeight="1">
      <c r="A2344" s="4" t="s">
        <v>5461</v>
      </c>
      <c r="B2344" s="5" t="s">
        <v>5461</v>
      </c>
      <c r="C2344" s="5" t="s">
        <v>69</v>
      </c>
      <c r="D2344" s="5" t="s">
        <v>70</v>
      </c>
      <c r="E2344" s="5" t="s">
        <v>312</v>
      </c>
      <c r="F2344" s="9">
        <v>100</v>
      </c>
      <c r="G2344" s="9">
        <v>1061</v>
      </c>
      <c r="H2344" s="5" t="s">
        <v>20</v>
      </c>
      <c r="I2344" s="5" t="s">
        <v>5462</v>
      </c>
      <c r="J2344" s="12" t="str">
        <f>HYPERLINK("https://www.boe.es/gazeta/dias/1806/12/09/pdfs/GMD-1806-100.pdf#page=5","Abrir facsímil")</f>
        <v>Abrir facsímil</v>
      </c>
      <c r="K2344" s="15" t="s">
        <v>22</v>
      </c>
    </row>
    <row r="2345" spans="1:11" ht="42" customHeight="1">
      <c r="A2345" s="4" t="s">
        <v>5463</v>
      </c>
      <c r="B2345" s="5" t="s">
        <v>5463</v>
      </c>
      <c r="C2345" s="5" t="s">
        <v>69</v>
      </c>
      <c r="D2345" s="5" t="s">
        <v>70</v>
      </c>
      <c r="E2345" s="5" t="s">
        <v>570</v>
      </c>
      <c r="F2345" s="9">
        <v>93</v>
      </c>
      <c r="G2345" s="9">
        <v>976</v>
      </c>
      <c r="H2345" s="5" t="s">
        <v>20</v>
      </c>
      <c r="I2345" s="5" t="s">
        <v>5416</v>
      </c>
      <c r="J2345" s="12" t="str">
        <f>HYPERLINK("https://www.boe.es/gazeta/dias/1806/11/14/pdfs/GMD-1806-93.pdf#page=12","Abrir facsímil")</f>
        <v>Abrir facsímil</v>
      </c>
      <c r="K2345" s="15" t="s">
        <v>22</v>
      </c>
    </row>
    <row r="2346" spans="1:11" ht="42" customHeight="1">
      <c r="A2346" s="4" t="s">
        <v>5463</v>
      </c>
      <c r="B2346" s="5" t="s">
        <v>5463</v>
      </c>
      <c r="C2346" s="5" t="s">
        <v>36</v>
      </c>
      <c r="D2346" s="5" t="s">
        <v>37</v>
      </c>
      <c r="E2346" s="5" t="s">
        <v>209</v>
      </c>
      <c r="F2346" s="9">
        <v>95</v>
      </c>
      <c r="G2346" s="9">
        <v>996</v>
      </c>
      <c r="H2346" s="5" t="s">
        <v>20</v>
      </c>
      <c r="I2346" s="5" t="s">
        <v>5417</v>
      </c>
      <c r="J2346" s="12" t="str">
        <f>HYPERLINK("https://www.boe.es/gazeta/dias/1806/11/21/pdfs/GMD-1806-95.pdf#page=4","Abrir facsímil")</f>
        <v>Abrir facsímil</v>
      </c>
      <c r="K2346" s="15" t="s">
        <v>22</v>
      </c>
    </row>
    <row r="2347" spans="1:11" ht="42" customHeight="1">
      <c r="A2347" s="4" t="s">
        <v>5464</v>
      </c>
      <c r="B2347" s="5" t="s">
        <v>5464</v>
      </c>
      <c r="C2347" s="5" t="s">
        <v>75</v>
      </c>
      <c r="D2347" s="5" t="s">
        <v>43</v>
      </c>
      <c r="E2347" s="5" t="s">
        <v>38</v>
      </c>
      <c r="F2347" s="9">
        <v>92</v>
      </c>
      <c r="G2347" s="9">
        <v>952</v>
      </c>
      <c r="H2347" s="5" t="s">
        <v>20</v>
      </c>
      <c r="I2347" s="5" t="s">
        <v>5465</v>
      </c>
      <c r="J2347" s="12" t="str">
        <f>HYPERLINK("https://www.boe.es/gazeta/dias/1806/11/11/pdfs/GMD-1806-92.pdf#page=4","Abrir facsímil")</f>
        <v>Abrir facsímil</v>
      </c>
      <c r="K2347" s="15" t="s">
        <v>22</v>
      </c>
    </row>
    <row r="2348" spans="1:11" ht="42" customHeight="1">
      <c r="A2348" s="4" t="s">
        <v>5466</v>
      </c>
      <c r="B2348" s="5" t="s">
        <v>5466</v>
      </c>
      <c r="C2348" s="5" t="s">
        <v>31</v>
      </c>
      <c r="D2348" s="5" t="s">
        <v>32</v>
      </c>
      <c r="E2348" s="5" t="s">
        <v>55</v>
      </c>
      <c r="F2348" s="9">
        <v>20</v>
      </c>
      <c r="G2348" s="9">
        <v>183</v>
      </c>
      <c r="H2348" s="5" t="s">
        <v>20</v>
      </c>
      <c r="I2348" s="5" t="s">
        <v>5467</v>
      </c>
      <c r="J2348" s="12" t="str">
        <f>HYPERLINK("https://www.boe.es/gazeta/dias/1806/03/04/pdfs/GMD-1806-20.pdf#page=7","Abrir facsímil")</f>
        <v>Abrir facsímil</v>
      </c>
      <c r="K2348" s="15" t="s">
        <v>22</v>
      </c>
    </row>
    <row r="2349" spans="1:11" ht="42" customHeight="1">
      <c r="A2349" s="4" t="s">
        <v>5468</v>
      </c>
      <c r="B2349" s="5" t="s">
        <v>5468</v>
      </c>
      <c r="C2349" s="5" t="s">
        <v>69</v>
      </c>
      <c r="D2349" s="5" t="s">
        <v>70</v>
      </c>
      <c r="E2349" s="5" t="s">
        <v>716</v>
      </c>
      <c r="F2349" s="9">
        <v>56</v>
      </c>
      <c r="G2349" s="9">
        <v>584</v>
      </c>
      <c r="H2349" s="5" t="s">
        <v>20</v>
      </c>
      <c r="I2349" s="5" t="s">
        <v>5452</v>
      </c>
      <c r="J2349" s="12" t="str">
        <f>HYPERLINK("https://www.boe.es/gazeta/dias/1806/07/08/pdfs/GMD-1806-56.pdf#page=8","Abrir facsímil")</f>
        <v>Abrir facsímil</v>
      </c>
      <c r="K2349" s="15" t="s">
        <v>22</v>
      </c>
    </row>
    <row r="2350" spans="1:11" ht="42" customHeight="1">
      <c r="A2350" s="4" t="s">
        <v>5469</v>
      </c>
      <c r="B2350" s="5" t="s">
        <v>5469</v>
      </c>
      <c r="C2350" s="5" t="s">
        <v>69</v>
      </c>
      <c r="D2350" s="5" t="s">
        <v>70</v>
      </c>
      <c r="E2350" s="5" t="s">
        <v>238</v>
      </c>
      <c r="F2350" s="9">
        <v>18</v>
      </c>
      <c r="G2350" s="9">
        <v>154</v>
      </c>
      <c r="H2350" s="5" t="s">
        <v>20</v>
      </c>
      <c r="I2350" s="5" t="s">
        <v>5470</v>
      </c>
      <c r="J2350" s="12" t="str">
        <f>HYPERLINK("https://www.boe.es/gazeta/dias/1806/02/25/pdfs/GMD-1806-18.pdf#page=2","Abrir facsímil")</f>
        <v>Abrir facsímil</v>
      </c>
      <c r="K2350" s="15" t="s">
        <v>22</v>
      </c>
    </row>
    <row r="2351" spans="1:11" ht="42" customHeight="1">
      <c r="A2351" s="4" t="s">
        <v>5471</v>
      </c>
      <c r="B2351" s="5" t="s">
        <v>5471</v>
      </c>
      <c r="C2351" s="5" t="s">
        <v>17</v>
      </c>
      <c r="D2351" s="5" t="s">
        <v>18</v>
      </c>
      <c r="E2351" s="5" t="s">
        <v>554</v>
      </c>
      <c r="F2351" s="9">
        <v>90</v>
      </c>
      <c r="G2351" s="9">
        <v>933</v>
      </c>
      <c r="H2351" s="5" t="s">
        <v>20</v>
      </c>
      <c r="I2351" s="5" t="s">
        <v>5472</v>
      </c>
      <c r="J2351" s="12" t="str">
        <f>HYPERLINK("https://www.boe.es/gazeta/dias/1806/11/04/pdfs/GMD-1806-90.pdf#page=9","Abrir facsímil")</f>
        <v>Abrir facsímil</v>
      </c>
      <c r="K2351" s="15" t="s">
        <v>22</v>
      </c>
    </row>
    <row r="2352" spans="1:11" ht="42" customHeight="1">
      <c r="A2352" s="4" t="s">
        <v>5473</v>
      </c>
      <c r="B2352" s="5" t="s">
        <v>5473</v>
      </c>
      <c r="C2352" s="5" t="s">
        <v>31</v>
      </c>
      <c r="D2352" s="5" t="s">
        <v>32</v>
      </c>
      <c r="E2352" s="5" t="s">
        <v>121</v>
      </c>
      <c r="F2352" s="9">
        <v>19</v>
      </c>
      <c r="G2352" s="9">
        <v>166</v>
      </c>
      <c r="H2352" s="5" t="s">
        <v>20</v>
      </c>
      <c r="I2352" s="5" t="s">
        <v>5474</v>
      </c>
      <c r="J2352" s="12" t="str">
        <f>HYPERLINK("https://www.boe.es/gazeta/dias/1806/02/28/pdfs/GMD-1806-19.pdf#page=2","Abrir facsímil")</f>
        <v>Abrir facsímil</v>
      </c>
      <c r="K2352" s="15" t="s">
        <v>22</v>
      </c>
    </row>
    <row r="2353" spans="1:11" ht="42" customHeight="1">
      <c r="A2353" s="4" t="s">
        <v>5475</v>
      </c>
      <c r="B2353" s="5" t="s">
        <v>5475</v>
      </c>
      <c r="C2353" s="5" t="s">
        <v>17</v>
      </c>
      <c r="D2353" s="5" t="s">
        <v>18</v>
      </c>
      <c r="E2353" s="5" t="s">
        <v>209</v>
      </c>
      <c r="F2353" s="9">
        <v>95</v>
      </c>
      <c r="G2353" s="9">
        <v>1002</v>
      </c>
      <c r="H2353" s="5" t="s">
        <v>20</v>
      </c>
      <c r="I2353" s="5" t="s">
        <v>5443</v>
      </c>
      <c r="J2353" s="12" t="str">
        <f>HYPERLINK("https://www.boe.es/gazeta/dias/1806/11/21/pdfs/GMD-1806-95.pdf#page=10","Abrir facsímil")</f>
        <v>Abrir facsímil</v>
      </c>
      <c r="K2353" s="15" t="s">
        <v>22</v>
      </c>
    </row>
    <row r="2354" spans="1:11" ht="42" customHeight="1">
      <c r="A2354" s="4" t="s">
        <v>5476</v>
      </c>
      <c r="B2354" s="5" t="s">
        <v>5476</v>
      </c>
      <c r="C2354" s="5" t="s">
        <v>17</v>
      </c>
      <c r="D2354" s="5" t="s">
        <v>18</v>
      </c>
      <c r="E2354" s="5" t="s">
        <v>430</v>
      </c>
      <c r="F2354" s="9">
        <v>12</v>
      </c>
      <c r="G2354" s="9">
        <v>106</v>
      </c>
      <c r="H2354" s="5" t="s">
        <v>20</v>
      </c>
      <c r="I2354" s="5" t="s">
        <v>5420</v>
      </c>
      <c r="J2354" s="12" t="str">
        <f>HYPERLINK("https://www.boe.es/gazeta/dias/1806/02/04/pdfs/GMD-1806-12.pdf#page=6","Abrir facsímil")</f>
        <v>Abrir facsímil</v>
      </c>
      <c r="K2354" s="15" t="s">
        <v>22</v>
      </c>
    </row>
    <row r="2355" spans="1:11" ht="42" customHeight="1">
      <c r="A2355" s="4" t="s">
        <v>5477</v>
      </c>
      <c r="B2355" s="5" t="s">
        <v>5477</v>
      </c>
      <c r="C2355" s="5" t="s">
        <v>69</v>
      </c>
      <c r="D2355" s="5" t="s">
        <v>70</v>
      </c>
      <c r="E2355" s="5" t="s">
        <v>810</v>
      </c>
      <c r="F2355" s="9">
        <v>71</v>
      </c>
      <c r="G2355" s="9">
        <v>735</v>
      </c>
      <c r="H2355" s="5" t="s">
        <v>20</v>
      </c>
      <c r="I2355" s="5" t="s">
        <v>5478</v>
      </c>
      <c r="J2355" s="12" t="str">
        <f>HYPERLINK("https://www.boe.es/gazeta/dias/1806/08/29/pdfs/GMD-1806-71.pdf#page=3","Abrir facsímil")</f>
        <v>Abrir facsímil</v>
      </c>
      <c r="K2355" s="15" t="s">
        <v>22</v>
      </c>
    </row>
    <row r="2356" spans="1:11" ht="42" customHeight="1">
      <c r="A2356" s="4" t="s">
        <v>5479</v>
      </c>
      <c r="B2356" s="5" t="s">
        <v>5479</v>
      </c>
      <c r="C2356" s="5" t="s">
        <v>69</v>
      </c>
      <c r="D2356" s="5" t="s">
        <v>70</v>
      </c>
      <c r="E2356" s="5" t="s">
        <v>363</v>
      </c>
      <c r="F2356" s="9">
        <v>8</v>
      </c>
      <c r="G2356" s="9">
        <v>70</v>
      </c>
      <c r="H2356" s="5" t="s">
        <v>20</v>
      </c>
      <c r="I2356" s="5" t="s">
        <v>5422</v>
      </c>
      <c r="J2356" s="12" t="str">
        <f>HYPERLINK("https://www.boe.es/gazeta/dias/1806/01/24/pdfs/GMD-1806-8.pdf#page=2","Abrir facsímil")</f>
        <v>Abrir facsímil</v>
      </c>
      <c r="K2356" s="15" t="s">
        <v>22</v>
      </c>
    </row>
    <row r="2357" spans="1:11" ht="42" customHeight="1">
      <c r="A2357" s="4" t="s">
        <v>5480</v>
      </c>
      <c r="B2357" s="5" t="s">
        <v>5480</v>
      </c>
      <c r="C2357" s="5" t="s">
        <v>69</v>
      </c>
      <c r="D2357" s="5" t="s">
        <v>70</v>
      </c>
      <c r="E2357" s="5" t="s">
        <v>1080</v>
      </c>
      <c r="F2357" s="9">
        <v>49</v>
      </c>
      <c r="G2357" s="9">
        <v>504</v>
      </c>
      <c r="H2357" s="5" t="s">
        <v>20</v>
      </c>
      <c r="I2357" s="5" t="s">
        <v>5447</v>
      </c>
      <c r="J2357" s="12" t="str">
        <f>HYPERLINK("https://www.boe.es/gazeta/dias/1806/06/13/pdfs/GMD-1806-49.pdf#page=4","Abrir facsímil")</f>
        <v>Abrir facsímil</v>
      </c>
      <c r="K2357" s="15" t="s">
        <v>22</v>
      </c>
    </row>
    <row r="2358" spans="1:11" ht="42" customHeight="1">
      <c r="A2358" s="4" t="s">
        <v>5481</v>
      </c>
      <c r="B2358" s="5" t="s">
        <v>5481</v>
      </c>
      <c r="C2358" s="5" t="s">
        <v>69</v>
      </c>
      <c r="D2358" s="5" t="s">
        <v>70</v>
      </c>
      <c r="E2358" s="5" t="s">
        <v>118</v>
      </c>
      <c r="F2358" s="9">
        <v>15</v>
      </c>
      <c r="G2358" s="9">
        <v>128</v>
      </c>
      <c r="H2358" s="5" t="s">
        <v>20</v>
      </c>
      <c r="I2358" s="5" t="s">
        <v>5482</v>
      </c>
      <c r="J2358" s="12" t="str">
        <f>HYPERLINK("https://www.boe.es/gazeta/dias/1806/02/14/pdfs/GMD-1806-15.pdf#page=4","Abrir facsímil")</f>
        <v>Abrir facsímil</v>
      </c>
      <c r="K2358" s="15" t="s">
        <v>22</v>
      </c>
    </row>
    <row r="2359" spans="1:11" ht="42" customHeight="1">
      <c r="A2359" s="4" t="s">
        <v>5483</v>
      </c>
      <c r="B2359" s="5" t="s">
        <v>5483</v>
      </c>
      <c r="C2359" s="5" t="s">
        <v>17</v>
      </c>
      <c r="D2359" s="5" t="s">
        <v>18</v>
      </c>
      <c r="E2359" s="5" t="s">
        <v>76</v>
      </c>
      <c r="F2359" s="9">
        <v>98</v>
      </c>
      <c r="G2359" s="9">
        <v>1036</v>
      </c>
      <c r="H2359" s="5" t="s">
        <v>20</v>
      </c>
      <c r="I2359" s="5" t="s">
        <v>5484</v>
      </c>
      <c r="J2359" s="12" t="str">
        <f>HYPERLINK("https://www.boe.es/gazeta/dias/1806/12/02/pdfs/GMD-1806-98.pdf#page=4","Abrir facsímil")</f>
        <v>Abrir facsímil</v>
      </c>
      <c r="K2359" s="15" t="s">
        <v>22</v>
      </c>
    </row>
    <row r="2360" spans="1:11" ht="42" customHeight="1">
      <c r="A2360" s="4" t="s">
        <v>5485</v>
      </c>
      <c r="B2360" s="5" t="s">
        <v>5485</v>
      </c>
      <c r="C2360" s="5" t="s">
        <v>69</v>
      </c>
      <c r="D2360" s="5" t="s">
        <v>70</v>
      </c>
      <c r="E2360" s="5" t="s">
        <v>220</v>
      </c>
      <c r="F2360" s="9">
        <v>24</v>
      </c>
      <c r="G2360" s="9">
        <v>226</v>
      </c>
      <c r="H2360" s="5" t="s">
        <v>20</v>
      </c>
      <c r="I2360" s="5" t="s">
        <v>5486</v>
      </c>
      <c r="J2360" s="12" t="str">
        <f>HYPERLINK("https://www.boe.es/gazeta/dias/1806/03/18/pdfs/GMD-1806-24.pdf#page=2","Abrir facsímil")</f>
        <v>Abrir facsímil</v>
      </c>
      <c r="K2360" s="15" t="s">
        <v>22</v>
      </c>
    </row>
    <row r="2361" spans="1:11" ht="42" customHeight="1">
      <c r="A2361" s="4" t="s">
        <v>5487</v>
      </c>
      <c r="B2361" s="5" t="s">
        <v>5487</v>
      </c>
      <c r="C2361" s="5" t="s">
        <v>17</v>
      </c>
      <c r="D2361" s="5" t="s">
        <v>18</v>
      </c>
      <c r="E2361" s="5" t="s">
        <v>554</v>
      </c>
      <c r="F2361" s="9">
        <v>90</v>
      </c>
      <c r="G2361" s="9">
        <v>933</v>
      </c>
      <c r="H2361" s="5" t="s">
        <v>20</v>
      </c>
      <c r="I2361" s="5" t="s">
        <v>5472</v>
      </c>
      <c r="J2361" s="12" t="str">
        <f>HYPERLINK("https://www.boe.es/gazeta/dias/1806/11/04/pdfs/GMD-1806-90.pdf#page=9","Abrir facsímil")</f>
        <v>Abrir facsímil</v>
      </c>
      <c r="K2361" s="15" t="s">
        <v>22</v>
      </c>
    </row>
    <row r="2362" spans="1:11" ht="42" customHeight="1">
      <c r="A2362" s="4" t="s">
        <v>5488</v>
      </c>
      <c r="B2362" s="5" t="s">
        <v>5488</v>
      </c>
      <c r="C2362" s="5" t="s">
        <v>69</v>
      </c>
      <c r="D2362" s="5" t="s">
        <v>70</v>
      </c>
      <c r="E2362" s="5" t="s">
        <v>810</v>
      </c>
      <c r="F2362" s="9">
        <v>71</v>
      </c>
      <c r="G2362" s="9">
        <v>735</v>
      </c>
      <c r="H2362" s="5" t="s">
        <v>20</v>
      </c>
      <c r="I2362" s="5" t="s">
        <v>5478</v>
      </c>
      <c r="J2362" s="12" t="str">
        <f>HYPERLINK("https://www.boe.es/gazeta/dias/1806/08/29/pdfs/GMD-1806-71.pdf#page=3","Abrir facsímil")</f>
        <v>Abrir facsímil</v>
      </c>
      <c r="K2362" s="15" t="s">
        <v>22</v>
      </c>
    </row>
    <row r="2363" spans="1:11" ht="42" customHeight="1">
      <c r="A2363" s="4" t="s">
        <v>5489</v>
      </c>
      <c r="B2363" s="5" t="s">
        <v>5489</v>
      </c>
      <c r="C2363" s="5" t="s">
        <v>69</v>
      </c>
      <c r="D2363" s="5" t="s">
        <v>70</v>
      </c>
      <c r="E2363" s="5" t="s">
        <v>554</v>
      </c>
      <c r="F2363" s="9">
        <v>90</v>
      </c>
      <c r="G2363" s="9">
        <v>932</v>
      </c>
      <c r="H2363" s="5" t="s">
        <v>20</v>
      </c>
      <c r="I2363" s="5" t="s">
        <v>5490</v>
      </c>
      <c r="J2363" s="12" t="str">
        <f>HYPERLINK("https://www.boe.es/gazeta/dias/1806/11/04/pdfs/GMD-1806-90.pdf#page=8","Abrir facsímil")</f>
        <v>Abrir facsímil</v>
      </c>
      <c r="K2363" s="15" t="s">
        <v>22</v>
      </c>
    </row>
    <row r="2364" spans="1:11" ht="42" customHeight="1">
      <c r="A2364" s="4" t="s">
        <v>5491</v>
      </c>
      <c r="B2364" s="5" t="s">
        <v>5491</v>
      </c>
      <c r="C2364" s="5" t="s">
        <v>69</v>
      </c>
      <c r="D2364" s="5" t="s">
        <v>70</v>
      </c>
      <c r="E2364" s="5" t="s">
        <v>113</v>
      </c>
      <c r="F2364" s="9">
        <v>28</v>
      </c>
      <c r="G2364" s="9">
        <v>275</v>
      </c>
      <c r="H2364" s="5" t="s">
        <v>20</v>
      </c>
      <c r="I2364" s="5" t="s">
        <v>5434</v>
      </c>
      <c r="J2364" s="12" t="str">
        <f>HYPERLINK("https://www.boe.es/gazeta/dias/1806/04/01/pdfs/GMD-1806-28.pdf#page=3","Abrir facsímil")</f>
        <v>Abrir facsímil</v>
      </c>
      <c r="K2364" s="15" t="s">
        <v>22</v>
      </c>
    </row>
    <row r="2365" spans="1:11" ht="42" customHeight="1">
      <c r="A2365" s="4" t="s">
        <v>5492</v>
      </c>
      <c r="B2365" s="5" t="s">
        <v>5492</v>
      </c>
      <c r="C2365" s="5" t="s">
        <v>69</v>
      </c>
      <c r="D2365" s="5" t="s">
        <v>70</v>
      </c>
      <c r="E2365" s="5" t="s">
        <v>100</v>
      </c>
      <c r="F2365" s="9">
        <v>7</v>
      </c>
      <c r="G2365" s="9">
        <v>58</v>
      </c>
      <c r="H2365" s="5" t="s">
        <v>20</v>
      </c>
      <c r="I2365" s="5" t="s">
        <v>5493</v>
      </c>
      <c r="J2365" s="12" t="str">
        <f>HYPERLINK("https://www.boe.es/gazeta/dias/1806/01/21/pdfs/GMD-1806-7.pdf#page=2","Abrir facsímil")</f>
        <v>Abrir facsímil</v>
      </c>
      <c r="K2365" s="15" t="s">
        <v>22</v>
      </c>
    </row>
    <row r="2366" spans="1:11" ht="42" customHeight="1">
      <c r="A2366" s="4" t="s">
        <v>5494</v>
      </c>
      <c r="B2366" s="5" t="s">
        <v>5494</v>
      </c>
      <c r="C2366" s="5" t="s">
        <v>69</v>
      </c>
      <c r="D2366" s="5" t="s">
        <v>70</v>
      </c>
      <c r="E2366" s="5" t="s">
        <v>348</v>
      </c>
      <c r="F2366" s="9">
        <v>88</v>
      </c>
      <c r="G2366" s="9">
        <v>909</v>
      </c>
      <c r="H2366" s="5" t="s">
        <v>20</v>
      </c>
      <c r="I2366" s="5" t="s">
        <v>5459</v>
      </c>
      <c r="J2366" s="12" t="str">
        <f>HYPERLINK("https://www.boe.es/gazeta/dias/1806/10/28/pdfs/GMD-1806-88.pdf#page=5","Abrir facsímil")</f>
        <v>Abrir facsímil</v>
      </c>
      <c r="K2366" s="15" t="s">
        <v>22</v>
      </c>
    </row>
    <row r="2367" spans="1:11" ht="42" customHeight="1">
      <c r="A2367" s="4" t="s">
        <v>5495</v>
      </c>
      <c r="B2367" s="5" t="s">
        <v>5495</v>
      </c>
      <c r="C2367" s="5" t="s">
        <v>17</v>
      </c>
      <c r="D2367" s="5" t="s">
        <v>18</v>
      </c>
      <c r="E2367" s="5" t="s">
        <v>76</v>
      </c>
      <c r="F2367" s="9">
        <v>98</v>
      </c>
      <c r="G2367" s="9">
        <v>1036</v>
      </c>
      <c r="H2367" s="5" t="s">
        <v>20</v>
      </c>
      <c r="I2367" s="5" t="s">
        <v>5484</v>
      </c>
      <c r="J2367" s="12" t="str">
        <f>HYPERLINK("https://www.boe.es/gazeta/dias/1806/12/02/pdfs/GMD-1806-98.pdf#page=4","Abrir facsímil")</f>
        <v>Abrir facsímil</v>
      </c>
      <c r="K2367" s="15" t="s">
        <v>22</v>
      </c>
    </row>
    <row r="2368" spans="1:11" ht="42" customHeight="1">
      <c r="A2368" s="4" t="s">
        <v>5496</v>
      </c>
      <c r="B2368" s="5" t="s">
        <v>5496</v>
      </c>
      <c r="C2368" s="5" t="s">
        <v>69</v>
      </c>
      <c r="D2368" s="5" t="s">
        <v>70</v>
      </c>
      <c r="E2368" s="5" t="s">
        <v>327</v>
      </c>
      <c r="F2368" s="9">
        <v>104</v>
      </c>
      <c r="G2368" s="9">
        <v>1102</v>
      </c>
      <c r="H2368" s="5" t="s">
        <v>20</v>
      </c>
      <c r="I2368" s="5" t="s">
        <v>5497</v>
      </c>
      <c r="J2368" s="12" t="str">
        <f>HYPERLINK("https://www.boe.es/gazeta/dias/1806/12/23/pdfs/GMD-1806-104.pdf#page=2","Abrir facsímil")</f>
        <v>Abrir facsímil</v>
      </c>
      <c r="K2368" s="15" t="s">
        <v>22</v>
      </c>
    </row>
    <row r="2369" spans="1:11" ht="42" customHeight="1">
      <c r="A2369" s="4" t="s">
        <v>5498</v>
      </c>
      <c r="B2369" s="5" t="s">
        <v>5498</v>
      </c>
      <c r="C2369" s="5" t="s">
        <v>69</v>
      </c>
      <c r="D2369" s="5" t="s">
        <v>70</v>
      </c>
      <c r="E2369" s="5" t="s">
        <v>238</v>
      </c>
      <c r="F2369" s="9">
        <v>18</v>
      </c>
      <c r="G2369" s="9">
        <v>154</v>
      </c>
      <c r="H2369" s="5" t="s">
        <v>20</v>
      </c>
      <c r="I2369" s="5" t="s">
        <v>5470</v>
      </c>
      <c r="J2369" s="12" t="str">
        <f>HYPERLINK("https://www.boe.es/gazeta/dias/1806/02/25/pdfs/GMD-1806-18.pdf#page=2","Abrir facsímil")</f>
        <v>Abrir facsímil</v>
      </c>
      <c r="K2369" s="15" t="s">
        <v>22</v>
      </c>
    </row>
    <row r="2370" spans="1:11" ht="42" customHeight="1">
      <c r="A2370" s="4" t="s">
        <v>5499</v>
      </c>
      <c r="B2370" s="5" t="s">
        <v>5499</v>
      </c>
      <c r="C2370" s="5" t="s">
        <v>31</v>
      </c>
      <c r="D2370" s="5" t="s">
        <v>32</v>
      </c>
      <c r="E2370" s="5" t="s">
        <v>28</v>
      </c>
      <c r="F2370" s="9">
        <v>102</v>
      </c>
      <c r="G2370" s="9">
        <v>1082</v>
      </c>
      <c r="H2370" s="5" t="s">
        <v>20</v>
      </c>
      <c r="I2370" s="5" t="s">
        <v>5500</v>
      </c>
      <c r="J2370" s="12" t="str">
        <f>HYPERLINK("https://www.boe.es/gazeta/dias/1806/12/16/pdfs/GMD-1806-102.pdf#page=6","Abrir facsímil")</f>
        <v>Abrir facsímil</v>
      </c>
      <c r="K2370" s="15" t="s">
        <v>22</v>
      </c>
    </row>
    <row r="2371" spans="1:11" ht="42" customHeight="1">
      <c r="A2371" s="4" t="s">
        <v>5501</v>
      </c>
      <c r="B2371" s="5" t="s">
        <v>5501</v>
      </c>
      <c r="C2371" s="5" t="s">
        <v>31</v>
      </c>
      <c r="D2371" s="5" t="s">
        <v>32</v>
      </c>
      <c r="E2371" s="5" t="s">
        <v>44</v>
      </c>
      <c r="F2371" s="9">
        <v>42</v>
      </c>
      <c r="G2371" s="9">
        <v>416</v>
      </c>
      <c r="H2371" s="5" t="s">
        <v>20</v>
      </c>
      <c r="I2371" s="5" t="s">
        <v>5502</v>
      </c>
      <c r="J2371" s="12" t="str">
        <f>HYPERLINK("https://www.boe.es/gazeta/dias/1806/05/20/pdfs/GMD-1806-42.pdf#page=4","Abrir facsímil")</f>
        <v>Abrir facsímil</v>
      </c>
      <c r="K2371" s="15" t="s">
        <v>22</v>
      </c>
    </row>
    <row r="2372" spans="1:11" ht="42" customHeight="1">
      <c r="A2372" s="4" t="s">
        <v>5501</v>
      </c>
      <c r="B2372" s="5" t="s">
        <v>5501</v>
      </c>
      <c r="C2372" s="5" t="s">
        <v>69</v>
      </c>
      <c r="D2372" s="5" t="s">
        <v>70</v>
      </c>
      <c r="E2372" s="5" t="s">
        <v>600</v>
      </c>
      <c r="F2372" s="9">
        <v>77</v>
      </c>
      <c r="G2372" s="9">
        <v>792</v>
      </c>
      <c r="H2372" s="5" t="s">
        <v>20</v>
      </c>
      <c r="I2372" s="5" t="s">
        <v>5503</v>
      </c>
      <c r="J2372" s="12" t="str">
        <f>HYPERLINK("https://www.boe.es/gazeta/dias/1806/09/19/pdfs/GMD-1806-77.pdf#page=4","Abrir facsímil")</f>
        <v>Abrir facsímil</v>
      </c>
      <c r="K2372" s="15" t="s">
        <v>22</v>
      </c>
    </row>
    <row r="2373" spans="1:11" ht="42" customHeight="1">
      <c r="A2373" s="4" t="s">
        <v>5504</v>
      </c>
      <c r="B2373" s="5" t="s">
        <v>5504</v>
      </c>
      <c r="C2373" s="5" t="s">
        <v>69</v>
      </c>
      <c r="D2373" s="5" t="s">
        <v>70</v>
      </c>
      <c r="E2373" s="5" t="s">
        <v>554</v>
      </c>
      <c r="F2373" s="9">
        <v>90</v>
      </c>
      <c r="G2373" s="9">
        <v>932</v>
      </c>
      <c r="H2373" s="5" t="s">
        <v>20</v>
      </c>
      <c r="I2373" s="5" t="s">
        <v>5505</v>
      </c>
      <c r="J2373" s="12" t="str">
        <f>HYPERLINK("https://www.boe.es/gazeta/dias/1806/11/04/pdfs/GMD-1806-90.pdf#page=8","Abrir facsímil")</f>
        <v>Abrir facsímil</v>
      </c>
      <c r="K2373" s="15" t="s">
        <v>22</v>
      </c>
    </row>
    <row r="2374" spans="1:11" ht="42" customHeight="1">
      <c r="A2374" s="4" t="s">
        <v>5501</v>
      </c>
      <c r="B2374" s="5" t="s">
        <v>5501</v>
      </c>
      <c r="C2374" s="5" t="s">
        <v>75</v>
      </c>
      <c r="D2374" s="5" t="s">
        <v>43</v>
      </c>
      <c r="E2374" s="5" t="s">
        <v>396</v>
      </c>
      <c r="F2374" s="9">
        <v>91</v>
      </c>
      <c r="G2374" s="9">
        <v>939</v>
      </c>
      <c r="H2374" s="5" t="s">
        <v>20</v>
      </c>
      <c r="I2374" s="5" t="s">
        <v>5506</v>
      </c>
      <c r="J2374" s="12" t="str">
        <f>HYPERLINK("https://www.boe.es/gazeta/dias/1806/11/07/pdfs/GMD-1806-91.pdf#page=3","Abrir facsímil")</f>
        <v>Abrir facsímil</v>
      </c>
      <c r="K2374" s="15" t="s">
        <v>22</v>
      </c>
    </row>
    <row r="2375" spans="1:11" ht="42" customHeight="1">
      <c r="A2375" s="4" t="s">
        <v>5501</v>
      </c>
      <c r="B2375" s="5" t="s">
        <v>5501</v>
      </c>
      <c r="C2375" s="5" t="s">
        <v>69</v>
      </c>
      <c r="D2375" s="5" t="s">
        <v>70</v>
      </c>
      <c r="E2375" s="5" t="s">
        <v>570</v>
      </c>
      <c r="F2375" s="9">
        <v>93</v>
      </c>
      <c r="G2375" s="9">
        <v>975</v>
      </c>
      <c r="H2375" s="5" t="s">
        <v>20</v>
      </c>
      <c r="I2375" s="5" t="s">
        <v>5507</v>
      </c>
      <c r="J2375" s="12" t="str">
        <f>HYPERLINK("https://www.boe.es/gazeta/dias/1806/11/14/pdfs/GMD-1806-93.pdf#page=11","Abrir facsímil")</f>
        <v>Abrir facsímil</v>
      </c>
      <c r="K2375" s="15" t="s">
        <v>22</v>
      </c>
    </row>
    <row r="2376" spans="1:11" ht="42" customHeight="1">
      <c r="A2376" s="4" t="s">
        <v>5501</v>
      </c>
      <c r="B2376" s="5" t="s">
        <v>5501</v>
      </c>
      <c r="C2376" s="5" t="s">
        <v>17</v>
      </c>
      <c r="D2376" s="5" t="s">
        <v>18</v>
      </c>
      <c r="E2376" s="5" t="s">
        <v>76</v>
      </c>
      <c r="F2376" s="9">
        <v>98</v>
      </c>
      <c r="G2376" s="9">
        <v>1037</v>
      </c>
      <c r="H2376" s="5" t="s">
        <v>20</v>
      </c>
      <c r="I2376" s="5" t="s">
        <v>5508</v>
      </c>
      <c r="J2376" s="12" t="str">
        <f>HYPERLINK("https://www.boe.es/gazeta/dias/1806/12/02/pdfs/GMD-1806-98.pdf#page=5","Abrir facsímil")</f>
        <v>Abrir facsímil</v>
      </c>
      <c r="K2376" s="15" t="s">
        <v>22</v>
      </c>
    </row>
    <row r="2377" spans="1:11" ht="42" customHeight="1">
      <c r="A2377" s="4" t="s">
        <v>5509</v>
      </c>
      <c r="B2377" s="5" t="s">
        <v>5509</v>
      </c>
      <c r="C2377" s="5" t="s">
        <v>31</v>
      </c>
      <c r="D2377" s="5" t="s">
        <v>32</v>
      </c>
      <c r="E2377" s="5" t="s">
        <v>259</v>
      </c>
      <c r="F2377" s="9">
        <v>34</v>
      </c>
      <c r="G2377" s="9">
        <v>329</v>
      </c>
      <c r="H2377" s="5" t="s">
        <v>20</v>
      </c>
      <c r="I2377" s="5" t="s">
        <v>5510</v>
      </c>
      <c r="J2377" s="12" t="str">
        <f>HYPERLINK("https://www.boe.es/gazeta/dias/1806/04/22/pdfs/GMD-1806-34.pdf#page=1","Abrir facsímil")</f>
        <v>Abrir facsímil</v>
      </c>
      <c r="K2377" s="15" t="s">
        <v>22</v>
      </c>
    </row>
    <row r="2378" spans="1:11" ht="42" customHeight="1">
      <c r="A2378" s="4" t="s">
        <v>5511</v>
      </c>
      <c r="B2378" s="5" t="s">
        <v>5511</v>
      </c>
      <c r="C2378" s="5" t="s">
        <v>69</v>
      </c>
      <c r="D2378" s="5" t="s">
        <v>70</v>
      </c>
      <c r="E2378" s="5" t="s">
        <v>455</v>
      </c>
      <c r="F2378" s="9">
        <v>85</v>
      </c>
      <c r="G2378" s="9">
        <v>876</v>
      </c>
      <c r="H2378" s="5" t="s">
        <v>20</v>
      </c>
      <c r="I2378" s="5" t="s">
        <v>5424</v>
      </c>
      <c r="J2378" s="12" t="str">
        <f>HYPERLINK("https://www.boe.es/gazeta/dias/1806/10/17/pdfs/GMD-1806-85.pdf#page=4","Abrir facsímil")</f>
        <v>Abrir facsímil</v>
      </c>
      <c r="K2378" s="15" t="s">
        <v>22</v>
      </c>
    </row>
    <row r="2379" spans="1:11" ht="42" customHeight="1">
      <c r="A2379" s="4" t="s">
        <v>5511</v>
      </c>
      <c r="B2379" s="5" t="s">
        <v>5511</v>
      </c>
      <c r="C2379" s="5" t="s">
        <v>69</v>
      </c>
      <c r="D2379" s="5" t="s">
        <v>70</v>
      </c>
      <c r="E2379" s="5" t="s">
        <v>348</v>
      </c>
      <c r="F2379" s="9">
        <v>88</v>
      </c>
      <c r="G2379" s="9">
        <v>907</v>
      </c>
      <c r="H2379" s="5" t="s">
        <v>20</v>
      </c>
      <c r="I2379" s="5" t="s">
        <v>5512</v>
      </c>
      <c r="J2379" s="12" t="str">
        <f>HYPERLINK("https://www.boe.es/gazeta/dias/1806/10/28/pdfs/GMD-1806-88.pdf#page=3","Abrir facsímil")</f>
        <v>Abrir facsímil</v>
      </c>
      <c r="K2379" s="15" t="s">
        <v>22</v>
      </c>
    </row>
    <row r="2380" spans="1:11" ht="42" customHeight="1">
      <c r="A2380" s="4" t="s">
        <v>5511</v>
      </c>
      <c r="B2380" s="5" t="s">
        <v>5511</v>
      </c>
      <c r="C2380" s="5" t="s">
        <v>69</v>
      </c>
      <c r="D2380" s="5" t="s">
        <v>70</v>
      </c>
      <c r="E2380" s="5" t="s">
        <v>554</v>
      </c>
      <c r="F2380" s="9">
        <v>90</v>
      </c>
      <c r="G2380" s="9">
        <v>932</v>
      </c>
      <c r="H2380" s="5" t="s">
        <v>20</v>
      </c>
      <c r="I2380" s="5" t="s">
        <v>5490</v>
      </c>
      <c r="J2380" s="12" t="str">
        <f>HYPERLINK("https://www.boe.es/gazeta/dias/1806/11/04/pdfs/GMD-1806-90.pdf#page=8","Abrir facsímil")</f>
        <v>Abrir facsímil</v>
      </c>
      <c r="K2380" s="15" t="s">
        <v>22</v>
      </c>
    </row>
    <row r="2381" spans="1:11" ht="42" customHeight="1">
      <c r="A2381" s="4" t="s">
        <v>5511</v>
      </c>
      <c r="B2381" s="5" t="s">
        <v>5511</v>
      </c>
      <c r="C2381" s="5" t="s">
        <v>69</v>
      </c>
      <c r="D2381" s="5" t="s">
        <v>70</v>
      </c>
      <c r="E2381" s="5" t="s">
        <v>570</v>
      </c>
      <c r="F2381" s="9">
        <v>93</v>
      </c>
      <c r="G2381" s="9">
        <v>967</v>
      </c>
      <c r="H2381" s="5" t="s">
        <v>20</v>
      </c>
      <c r="I2381" s="5" t="s">
        <v>5513</v>
      </c>
      <c r="J2381" s="12" t="str">
        <f>HYPERLINK("https://www.boe.es/gazeta/dias/1806/11/14/pdfs/GMD-1806-93.pdf#page=3","Abrir facsímil")</f>
        <v>Abrir facsímil</v>
      </c>
      <c r="K2381" s="15" t="s">
        <v>22</v>
      </c>
    </row>
    <row r="2382" spans="1:11" ht="42" customHeight="1">
      <c r="A2382" s="4" t="s">
        <v>5514</v>
      </c>
      <c r="B2382" s="5" t="s">
        <v>5514</v>
      </c>
      <c r="C2382" s="5" t="s">
        <v>69</v>
      </c>
      <c r="D2382" s="5" t="s">
        <v>70</v>
      </c>
      <c r="E2382" s="5" t="s">
        <v>195</v>
      </c>
      <c r="F2382" s="9">
        <v>4</v>
      </c>
      <c r="G2382" s="9">
        <v>29</v>
      </c>
      <c r="H2382" s="5" t="s">
        <v>20</v>
      </c>
      <c r="I2382" s="5" t="s">
        <v>5515</v>
      </c>
      <c r="J2382" s="12" t="str">
        <f>HYPERLINK("https://www.boe.es/gazeta/dias/1806/01/14/pdfs/GMD-1806-4.pdf#page=1","Abrir facsímil")</f>
        <v>Abrir facsímil</v>
      </c>
      <c r="K2382" s="15" t="s">
        <v>22</v>
      </c>
    </row>
    <row r="2383" spans="1:11" ht="42" customHeight="1">
      <c r="A2383" s="4" t="s">
        <v>5514</v>
      </c>
      <c r="B2383" s="5" t="s">
        <v>5514</v>
      </c>
      <c r="C2383" s="5" t="s">
        <v>69</v>
      </c>
      <c r="D2383" s="5" t="s">
        <v>70</v>
      </c>
      <c r="E2383" s="5" t="s">
        <v>238</v>
      </c>
      <c r="F2383" s="9">
        <v>18</v>
      </c>
      <c r="G2383" s="9">
        <v>154</v>
      </c>
      <c r="H2383" s="5" t="s">
        <v>20</v>
      </c>
      <c r="I2383" s="5" t="s">
        <v>5516</v>
      </c>
      <c r="J2383" s="12" t="str">
        <f>HYPERLINK("https://www.boe.es/gazeta/dias/1806/02/25/pdfs/GMD-1806-18.pdf#page=2","Abrir facsímil")</f>
        <v>Abrir facsímil</v>
      </c>
      <c r="K2383" s="15" t="s">
        <v>22</v>
      </c>
    </row>
    <row r="2384" spans="1:11" ht="42" customHeight="1">
      <c r="A2384" s="4" t="s">
        <v>5514</v>
      </c>
      <c r="B2384" s="5" t="s">
        <v>5514</v>
      </c>
      <c r="C2384" s="5" t="s">
        <v>69</v>
      </c>
      <c r="D2384" s="5" t="s">
        <v>70</v>
      </c>
      <c r="E2384" s="5" t="s">
        <v>96</v>
      </c>
      <c r="F2384" s="9">
        <v>62</v>
      </c>
      <c r="G2384" s="9">
        <v>644</v>
      </c>
      <c r="H2384" s="5" t="s">
        <v>20</v>
      </c>
      <c r="I2384" s="5" t="s">
        <v>5517</v>
      </c>
      <c r="J2384" s="12" t="str">
        <f>HYPERLINK("https://www.boe.es/gazeta/dias/1806/07/29/pdfs/GMD-1806-62.pdf#page=4","Abrir facsímil")</f>
        <v>Abrir facsímil</v>
      </c>
      <c r="K2384" s="15" t="s">
        <v>22</v>
      </c>
    </row>
    <row r="2385" spans="1:11" ht="42" customHeight="1">
      <c r="A2385" s="4" t="s">
        <v>5514</v>
      </c>
      <c r="B2385" s="5" t="s">
        <v>5514</v>
      </c>
      <c r="C2385" s="5" t="s">
        <v>31</v>
      </c>
      <c r="D2385" s="5" t="s">
        <v>32</v>
      </c>
      <c r="E2385" s="5" t="s">
        <v>26</v>
      </c>
      <c r="F2385" s="9">
        <v>65</v>
      </c>
      <c r="G2385" s="9">
        <v>677</v>
      </c>
      <c r="H2385" s="5" t="s">
        <v>20</v>
      </c>
      <c r="I2385" s="5" t="s">
        <v>5413</v>
      </c>
      <c r="J2385" s="12" t="str">
        <f>HYPERLINK("https://www.boe.es/gazeta/dias/1806/08/08/pdfs/GMD-1806-65.pdf#page=5","Abrir facsímil")</f>
        <v>Abrir facsímil</v>
      </c>
      <c r="K2385" s="15" t="s">
        <v>22</v>
      </c>
    </row>
    <row r="2386" spans="1:11" ht="42" customHeight="1">
      <c r="A2386" s="4" t="s">
        <v>5518</v>
      </c>
      <c r="B2386" s="5" t="s">
        <v>5518</v>
      </c>
      <c r="C2386" s="5" t="s">
        <v>31</v>
      </c>
      <c r="D2386" s="5" t="s">
        <v>32</v>
      </c>
      <c r="E2386" s="5" t="s">
        <v>55</v>
      </c>
      <c r="F2386" s="9">
        <v>20</v>
      </c>
      <c r="G2386" s="9">
        <v>183</v>
      </c>
      <c r="H2386" s="5" t="s">
        <v>20</v>
      </c>
      <c r="I2386" s="5" t="s">
        <v>5430</v>
      </c>
      <c r="J2386" s="12" t="str">
        <f>HYPERLINK("https://www.boe.es/gazeta/dias/1806/03/04/pdfs/GMD-1806-20.pdf#page=7","Abrir facsímil")</f>
        <v>Abrir facsímil</v>
      </c>
      <c r="K2386" s="15" t="s">
        <v>22</v>
      </c>
    </row>
    <row r="2387" spans="1:11" ht="42" customHeight="1">
      <c r="A2387" s="4" t="s">
        <v>5519</v>
      </c>
      <c r="B2387" s="5" t="s">
        <v>5519</v>
      </c>
      <c r="C2387" s="5" t="s">
        <v>42</v>
      </c>
      <c r="D2387" s="5" t="s">
        <v>43</v>
      </c>
      <c r="E2387" s="5" t="s">
        <v>259</v>
      </c>
      <c r="F2387" s="9">
        <v>34</v>
      </c>
      <c r="G2387" s="9">
        <v>329</v>
      </c>
      <c r="H2387" s="5" t="s">
        <v>20</v>
      </c>
      <c r="I2387" s="5" t="s">
        <v>5520</v>
      </c>
      <c r="J2387" s="12" t="str">
        <f>HYPERLINK("https://www.boe.es/gazeta/dias/1806/04/22/pdfs/GMD-1806-34.pdf#page=1","Abrir facsímil")</f>
        <v>Abrir facsímil</v>
      </c>
      <c r="K2387" s="15" t="s">
        <v>22</v>
      </c>
    </row>
    <row r="2388" spans="1:11" ht="42" customHeight="1">
      <c r="A2388" s="4" t="s">
        <v>5521</v>
      </c>
      <c r="B2388" s="5" t="s">
        <v>5521</v>
      </c>
      <c r="C2388" s="5" t="s">
        <v>31</v>
      </c>
      <c r="D2388" s="5" t="s">
        <v>32</v>
      </c>
      <c r="E2388" s="5" t="s">
        <v>259</v>
      </c>
      <c r="F2388" s="9">
        <v>34</v>
      </c>
      <c r="G2388" s="9">
        <v>329</v>
      </c>
      <c r="H2388" s="5" t="s">
        <v>20</v>
      </c>
      <c r="I2388" s="5" t="s">
        <v>5522</v>
      </c>
      <c r="J2388" s="12" t="str">
        <f>HYPERLINK("https://www.boe.es/gazeta/dias/1806/04/22/pdfs/GMD-1806-34.pdf#page=1","Abrir facsímil")</f>
        <v>Abrir facsímil</v>
      </c>
      <c r="K2388" s="15" t="s">
        <v>22</v>
      </c>
    </row>
    <row r="2389" spans="1:11" ht="42" customHeight="1">
      <c r="A2389" s="4" t="s">
        <v>5523</v>
      </c>
      <c r="B2389" s="5" t="s">
        <v>5523</v>
      </c>
      <c r="C2389" s="5" t="s">
        <v>69</v>
      </c>
      <c r="D2389" s="5" t="s">
        <v>70</v>
      </c>
      <c r="E2389" s="5" t="s">
        <v>367</v>
      </c>
      <c r="F2389" s="9">
        <v>87</v>
      </c>
      <c r="G2389" s="9">
        <v>896</v>
      </c>
      <c r="H2389" s="5" t="s">
        <v>20</v>
      </c>
      <c r="I2389" s="5" t="s">
        <v>5524</v>
      </c>
      <c r="J2389" s="12" t="str">
        <f>HYPERLINK("https://www.boe.es/gazeta/dias/1806/10/24/pdfs/GMD-1806-87.pdf#page=4","Abrir facsímil")</f>
        <v>Abrir facsímil</v>
      </c>
      <c r="K2389" s="15" t="s">
        <v>22</v>
      </c>
    </row>
    <row r="2390" spans="1:11" ht="42" customHeight="1">
      <c r="A2390" s="4" t="s">
        <v>5525</v>
      </c>
      <c r="B2390" s="5" t="s">
        <v>5525</v>
      </c>
      <c r="C2390" s="5" t="s">
        <v>69</v>
      </c>
      <c r="D2390" s="5" t="s">
        <v>70</v>
      </c>
      <c r="E2390" s="5" t="s">
        <v>367</v>
      </c>
      <c r="F2390" s="9">
        <v>87</v>
      </c>
      <c r="G2390" s="9">
        <v>896</v>
      </c>
      <c r="H2390" s="5" t="s">
        <v>20</v>
      </c>
      <c r="I2390" s="5" t="s">
        <v>5524</v>
      </c>
      <c r="J2390" s="12" t="str">
        <f>HYPERLINK("https://www.boe.es/gazeta/dias/1806/10/24/pdfs/GMD-1806-87.pdf#page=4","Abrir facsímil")</f>
        <v>Abrir facsímil</v>
      </c>
      <c r="K2390" s="15" t="s">
        <v>22</v>
      </c>
    </row>
    <row r="2391" spans="1:11" ht="42" customHeight="1">
      <c r="A2391" s="4" t="s">
        <v>5526</v>
      </c>
      <c r="B2391" s="5" t="s">
        <v>5526</v>
      </c>
      <c r="C2391" s="5" t="s">
        <v>31</v>
      </c>
      <c r="D2391" s="5" t="s">
        <v>32</v>
      </c>
      <c r="E2391" s="5" t="s">
        <v>76</v>
      </c>
      <c r="F2391" s="9">
        <v>98</v>
      </c>
      <c r="G2391" s="9">
        <v>1038</v>
      </c>
      <c r="H2391" s="5" t="s">
        <v>20</v>
      </c>
      <c r="I2391" s="5" t="s">
        <v>5449</v>
      </c>
      <c r="J2391" s="12" t="str">
        <f>HYPERLINK("https://www.boe.es/gazeta/dias/1806/12/02/pdfs/GMD-1806-98.pdf#page=6","Abrir facsímil")</f>
        <v>Abrir facsímil</v>
      </c>
      <c r="K2391" s="15" t="s">
        <v>22</v>
      </c>
    </row>
    <row r="2392" spans="1:11" ht="42" customHeight="1">
      <c r="A2392" s="4" t="s">
        <v>5527</v>
      </c>
      <c r="B2392" s="5" t="s">
        <v>5527</v>
      </c>
      <c r="C2392" s="5" t="s">
        <v>69</v>
      </c>
      <c r="D2392" s="5" t="s">
        <v>70</v>
      </c>
      <c r="E2392" s="5" t="s">
        <v>113</v>
      </c>
      <c r="F2392" s="9">
        <v>28</v>
      </c>
      <c r="G2392" s="9">
        <v>275</v>
      </c>
      <c r="H2392" s="5" t="s">
        <v>20</v>
      </c>
      <c r="I2392" s="5" t="s">
        <v>5434</v>
      </c>
      <c r="J2392" s="12" t="str">
        <f>HYPERLINK("https://www.boe.es/gazeta/dias/1806/04/01/pdfs/GMD-1806-28.pdf#page=3","Abrir facsímil")</f>
        <v>Abrir facsímil</v>
      </c>
      <c r="K2392" s="15" t="s">
        <v>22</v>
      </c>
    </row>
    <row r="2393" spans="1:11" ht="42" customHeight="1">
      <c r="A2393" s="4" t="s">
        <v>5528</v>
      </c>
      <c r="B2393" s="5" t="s">
        <v>5528</v>
      </c>
      <c r="C2393" s="5" t="s">
        <v>31</v>
      </c>
      <c r="D2393" s="5" t="s">
        <v>32</v>
      </c>
      <c r="E2393" s="5" t="s">
        <v>259</v>
      </c>
      <c r="F2393" s="9">
        <v>34</v>
      </c>
      <c r="G2393" s="9">
        <v>329</v>
      </c>
      <c r="H2393" s="5" t="s">
        <v>20</v>
      </c>
      <c r="I2393" s="5" t="s">
        <v>5510</v>
      </c>
      <c r="J2393" s="12" t="str">
        <f>HYPERLINK("https://www.boe.es/gazeta/dias/1806/04/22/pdfs/GMD-1806-34.pdf#page=1","Abrir facsímil")</f>
        <v>Abrir facsímil</v>
      </c>
      <c r="K2393" s="15" t="s">
        <v>22</v>
      </c>
    </row>
    <row r="2394" spans="1:11" ht="42" customHeight="1">
      <c r="A2394" s="4" t="s">
        <v>5529</v>
      </c>
      <c r="B2394" s="5" t="s">
        <v>5529</v>
      </c>
      <c r="C2394" s="5" t="s">
        <v>69</v>
      </c>
      <c r="D2394" s="5" t="s">
        <v>70</v>
      </c>
      <c r="E2394" s="5" t="s">
        <v>113</v>
      </c>
      <c r="F2394" s="9">
        <v>28</v>
      </c>
      <c r="G2394" s="9">
        <v>274</v>
      </c>
      <c r="H2394" s="5" t="s">
        <v>20</v>
      </c>
      <c r="I2394" s="5" t="s">
        <v>5438</v>
      </c>
      <c r="J2394" s="12" t="str">
        <f>HYPERLINK("https://www.boe.es/gazeta/dias/1806/04/01/pdfs/GMD-1806-28.pdf#page=2","Abrir facsímil")</f>
        <v>Abrir facsímil</v>
      </c>
      <c r="K2394" s="15" t="s">
        <v>22</v>
      </c>
    </row>
    <row r="2395" spans="1:11" ht="42" customHeight="1">
      <c r="A2395" s="4" t="s">
        <v>5530</v>
      </c>
      <c r="B2395" s="5" t="s">
        <v>5530</v>
      </c>
      <c r="C2395" s="5" t="s">
        <v>69</v>
      </c>
      <c r="D2395" s="5" t="s">
        <v>70</v>
      </c>
      <c r="E2395" s="5" t="s">
        <v>405</v>
      </c>
      <c r="F2395" s="9">
        <v>80</v>
      </c>
      <c r="G2395" s="9">
        <v>827</v>
      </c>
      <c r="H2395" s="5" t="s">
        <v>20</v>
      </c>
      <c r="I2395" s="5" t="s">
        <v>5531</v>
      </c>
      <c r="J2395" s="12" t="str">
        <f>HYPERLINK("https://www.boe.es/gazeta/dias/1806/09/30/pdfs/GMD-1806-80.pdf#page=7","Abrir facsímil")</f>
        <v>Abrir facsímil</v>
      </c>
      <c r="K2395" s="15" t="s">
        <v>22</v>
      </c>
    </row>
    <row r="2396" spans="1:11" ht="42" customHeight="1">
      <c r="A2396" s="4" t="s">
        <v>5532</v>
      </c>
      <c r="B2396" s="5" t="s">
        <v>5532</v>
      </c>
      <c r="C2396" s="5" t="s">
        <v>17</v>
      </c>
      <c r="D2396" s="5" t="s">
        <v>18</v>
      </c>
      <c r="E2396" s="5" t="s">
        <v>26</v>
      </c>
      <c r="F2396" s="9">
        <v>65</v>
      </c>
      <c r="G2396" s="9">
        <v>677</v>
      </c>
      <c r="H2396" s="5" t="s">
        <v>20</v>
      </c>
      <c r="I2396" s="5" t="s">
        <v>5533</v>
      </c>
      <c r="J2396" s="12" t="str">
        <f>HYPERLINK("https://www.boe.es/gazeta/dias/1806/08/08/pdfs/GMD-1806-65.pdf#page=5","Abrir facsímil")</f>
        <v>Abrir facsímil</v>
      </c>
      <c r="K2396" s="15" t="s">
        <v>22</v>
      </c>
    </row>
    <row r="2397" spans="1:11" ht="42" customHeight="1">
      <c r="A2397" s="4" t="s">
        <v>5534</v>
      </c>
      <c r="B2397" s="5" t="s">
        <v>5535</v>
      </c>
      <c r="C2397" s="5" t="s">
        <v>31</v>
      </c>
      <c r="D2397" s="5" t="s">
        <v>32</v>
      </c>
      <c r="E2397" s="5" t="s">
        <v>181</v>
      </c>
      <c r="F2397" s="9">
        <v>99</v>
      </c>
      <c r="G2397" s="9">
        <v>1049</v>
      </c>
      <c r="H2397" s="5" t="s">
        <v>20</v>
      </c>
      <c r="I2397" s="5" t="s">
        <v>5536</v>
      </c>
      <c r="J2397" s="12" t="str">
        <f>HYPERLINK("https://www.boe.es/gazeta/dias/1806/12/05/pdfs/GMD-1806-99.pdf#page=5","Abrir facsímil")</f>
        <v>Abrir facsímil</v>
      </c>
      <c r="K2397" s="15" t="s">
        <v>22</v>
      </c>
    </row>
    <row r="2398" spans="1:11" ht="42" customHeight="1">
      <c r="A2398" s="4" t="s">
        <v>5537</v>
      </c>
      <c r="B2398" s="5" t="s">
        <v>5537</v>
      </c>
      <c r="C2398" s="5" t="s">
        <v>42</v>
      </c>
      <c r="D2398" s="5" t="s">
        <v>43</v>
      </c>
      <c r="E2398" s="5" t="s">
        <v>90</v>
      </c>
      <c r="F2398" s="9">
        <v>60</v>
      </c>
      <c r="G2398" s="9">
        <v>627</v>
      </c>
      <c r="H2398" s="5" t="s">
        <v>20</v>
      </c>
      <c r="I2398" s="5" t="s">
        <v>5538</v>
      </c>
      <c r="J2398" s="12" t="str">
        <f>HYPERLINK("https://www.boe.es/gazeta/dias/1806/07/22/pdfs/GMD-1806-60.pdf#page=11","Abrir facsímil")</f>
        <v>Abrir facsímil</v>
      </c>
      <c r="K2398" s="15" t="s">
        <v>22</v>
      </c>
    </row>
    <row r="2399" spans="1:11" ht="42" customHeight="1">
      <c r="A2399" s="4" t="s">
        <v>5539</v>
      </c>
      <c r="B2399" s="5" t="s">
        <v>5540</v>
      </c>
      <c r="C2399" s="5" t="s">
        <v>31</v>
      </c>
      <c r="D2399" s="5" t="s">
        <v>32</v>
      </c>
      <c r="E2399" s="5" t="s">
        <v>1568</v>
      </c>
      <c r="F2399" s="9">
        <v>84</v>
      </c>
      <c r="G2399" s="9">
        <v>868</v>
      </c>
      <c r="H2399" s="5" t="s">
        <v>20</v>
      </c>
      <c r="I2399" s="5" t="s">
        <v>5541</v>
      </c>
      <c r="J2399" s="12" t="str">
        <f>HYPERLINK("https://www.boe.es/gazeta/dias/1806/10/14/pdfs/GMD-1806-84.pdf#page=4","Abrir facsímil")</f>
        <v>Abrir facsímil</v>
      </c>
      <c r="K2399" s="15" t="s">
        <v>22</v>
      </c>
    </row>
    <row r="2400" spans="1:11" ht="42" customHeight="1">
      <c r="A2400" s="4" t="s">
        <v>5539</v>
      </c>
      <c r="B2400" s="5" t="s">
        <v>5540</v>
      </c>
      <c r="C2400" s="5" t="s">
        <v>17</v>
      </c>
      <c r="D2400" s="5" t="s">
        <v>18</v>
      </c>
      <c r="E2400" s="5" t="s">
        <v>816</v>
      </c>
      <c r="F2400" s="9">
        <v>86</v>
      </c>
      <c r="G2400" s="9">
        <v>890</v>
      </c>
      <c r="H2400" s="5" t="s">
        <v>20</v>
      </c>
      <c r="I2400" s="5" t="s">
        <v>5542</v>
      </c>
      <c r="J2400" s="12" t="str">
        <f>HYPERLINK("https://www.boe.es/gazeta/dias/1806/10/21/pdfs/GMD-1806-86.pdf#page=6","Abrir facsímil")</f>
        <v>Abrir facsímil</v>
      </c>
      <c r="K2400" s="15" t="s">
        <v>22</v>
      </c>
    </row>
    <row r="2401" spans="1:11" ht="42" customHeight="1">
      <c r="A2401" s="4" t="s">
        <v>5539</v>
      </c>
      <c r="B2401" s="5" t="s">
        <v>5540</v>
      </c>
      <c r="C2401" s="5" t="s">
        <v>31</v>
      </c>
      <c r="D2401" s="5" t="s">
        <v>32</v>
      </c>
      <c r="E2401" s="5" t="s">
        <v>367</v>
      </c>
      <c r="F2401" s="9">
        <v>87</v>
      </c>
      <c r="G2401" s="9">
        <v>900</v>
      </c>
      <c r="H2401" s="5" t="s">
        <v>20</v>
      </c>
      <c r="I2401" s="5" t="s">
        <v>5543</v>
      </c>
      <c r="J2401" s="12" t="str">
        <f>HYPERLINK("https://www.boe.es/gazeta/dias/1806/10/24/pdfs/GMD-1806-87.pdf#page=8","Abrir facsímil")</f>
        <v>Abrir facsímil</v>
      </c>
      <c r="K2401" s="15" t="s">
        <v>22</v>
      </c>
    </row>
    <row r="2402" spans="1:11" ht="42" customHeight="1">
      <c r="A2402" s="4" t="s">
        <v>5539</v>
      </c>
      <c r="B2402" s="5" t="s">
        <v>5540</v>
      </c>
      <c r="C2402" s="5" t="s">
        <v>69</v>
      </c>
      <c r="D2402" s="5" t="s">
        <v>70</v>
      </c>
      <c r="E2402" s="5" t="s">
        <v>348</v>
      </c>
      <c r="F2402" s="9">
        <v>88</v>
      </c>
      <c r="G2402" s="9">
        <v>909</v>
      </c>
      <c r="H2402" s="5" t="s">
        <v>20</v>
      </c>
      <c r="I2402" s="5" t="s">
        <v>5544</v>
      </c>
      <c r="J2402" s="12" t="str">
        <f>HYPERLINK("https://www.boe.es/gazeta/dias/1806/10/28/pdfs/GMD-1806-88.pdf#page=5","Abrir facsímil")</f>
        <v>Abrir facsímil</v>
      </c>
      <c r="K2402" s="15" t="s">
        <v>22</v>
      </c>
    </row>
    <row r="2403" spans="1:11" ht="42" customHeight="1">
      <c r="A2403" s="4" t="s">
        <v>5539</v>
      </c>
      <c r="B2403" s="5" t="s">
        <v>5540</v>
      </c>
      <c r="C2403" s="5" t="s">
        <v>31</v>
      </c>
      <c r="D2403" s="5" t="s">
        <v>32</v>
      </c>
      <c r="E2403" s="5" t="s">
        <v>554</v>
      </c>
      <c r="F2403" s="9">
        <v>90</v>
      </c>
      <c r="G2403" s="9">
        <v>931</v>
      </c>
      <c r="H2403" s="5" t="s">
        <v>20</v>
      </c>
      <c r="I2403" s="5" t="s">
        <v>5545</v>
      </c>
      <c r="J2403" s="12" t="str">
        <f>HYPERLINK("https://www.boe.es/gazeta/dias/1806/11/04/pdfs/GMD-1806-90.pdf#page=7","Abrir facsímil")</f>
        <v>Abrir facsímil</v>
      </c>
      <c r="K2403" s="15" t="s">
        <v>22</v>
      </c>
    </row>
    <row r="2404" spans="1:11" ht="42" customHeight="1">
      <c r="A2404" s="4" t="s">
        <v>5539</v>
      </c>
      <c r="B2404" s="5" t="s">
        <v>5540</v>
      </c>
      <c r="C2404" s="5" t="s">
        <v>31</v>
      </c>
      <c r="D2404" s="5" t="s">
        <v>32</v>
      </c>
      <c r="E2404" s="5" t="s">
        <v>396</v>
      </c>
      <c r="F2404" s="9">
        <v>91</v>
      </c>
      <c r="G2404" s="9">
        <v>941</v>
      </c>
      <c r="H2404" s="5" t="s">
        <v>20</v>
      </c>
      <c r="I2404" s="5" t="s">
        <v>5546</v>
      </c>
      <c r="J2404" s="12" t="str">
        <f>HYPERLINK("https://www.boe.es/gazeta/dias/1806/11/07/pdfs/GMD-1806-91.pdf#page=5","Abrir facsímil")</f>
        <v>Abrir facsímil</v>
      </c>
      <c r="K2404" s="15" t="s">
        <v>22</v>
      </c>
    </row>
    <row r="2405" spans="1:11" ht="42" customHeight="1">
      <c r="A2405" s="4" t="s">
        <v>5539</v>
      </c>
      <c r="B2405" s="5" t="s">
        <v>5540</v>
      </c>
      <c r="C2405" s="5" t="s">
        <v>42</v>
      </c>
      <c r="D2405" s="5" t="s">
        <v>43</v>
      </c>
      <c r="E2405" s="5" t="s">
        <v>396</v>
      </c>
      <c r="F2405" s="9">
        <v>91</v>
      </c>
      <c r="G2405" s="9">
        <v>943</v>
      </c>
      <c r="H2405" s="5" t="s">
        <v>20</v>
      </c>
      <c r="I2405" s="5" t="s">
        <v>5547</v>
      </c>
      <c r="J2405" s="12" t="str">
        <f>HYPERLINK("https://www.boe.es/gazeta/dias/1806/11/07/pdfs/GMD-1806-91.pdf#page=7","Abrir facsímil")</f>
        <v>Abrir facsímil</v>
      </c>
      <c r="K2405" s="15" t="s">
        <v>22</v>
      </c>
    </row>
    <row r="2406" spans="1:11" ht="42" customHeight="1">
      <c r="A2406" s="4" t="s">
        <v>5539</v>
      </c>
      <c r="B2406" s="5" t="s">
        <v>5540</v>
      </c>
      <c r="C2406" s="5" t="s">
        <v>17</v>
      </c>
      <c r="D2406" s="5" t="s">
        <v>18</v>
      </c>
      <c r="E2406" s="5" t="s">
        <v>209</v>
      </c>
      <c r="F2406" s="9">
        <v>95</v>
      </c>
      <c r="G2406" s="9">
        <v>999</v>
      </c>
      <c r="H2406" s="5" t="s">
        <v>20</v>
      </c>
      <c r="I2406" s="5" t="s">
        <v>5548</v>
      </c>
      <c r="J2406" s="12" t="str">
        <f>HYPERLINK("https://www.boe.es/gazeta/dias/1806/11/21/pdfs/GMD-1806-95.pdf#page=7","Abrir facsímil")</f>
        <v>Abrir facsímil</v>
      </c>
      <c r="K2406" s="15" t="s">
        <v>22</v>
      </c>
    </row>
    <row r="2407" spans="1:11" ht="42" customHeight="1">
      <c r="A2407" s="4" t="s">
        <v>5539</v>
      </c>
      <c r="B2407" s="5" t="s">
        <v>5540</v>
      </c>
      <c r="C2407" s="5" t="s">
        <v>31</v>
      </c>
      <c r="D2407" s="5" t="s">
        <v>32</v>
      </c>
      <c r="E2407" s="5" t="s">
        <v>657</v>
      </c>
      <c r="F2407" s="9">
        <v>96</v>
      </c>
      <c r="G2407" s="9">
        <v>1016</v>
      </c>
      <c r="H2407" s="5" t="s">
        <v>20</v>
      </c>
      <c r="I2407" s="5" t="s">
        <v>5549</v>
      </c>
      <c r="J2407" s="12" t="str">
        <f>HYPERLINK("https://www.boe.es/gazeta/dias/1806/11/25/pdfs/GMD-1806-96.pdf#page=8","Abrir facsímil")</f>
        <v>Abrir facsímil</v>
      </c>
      <c r="K2407" s="15" t="s">
        <v>22</v>
      </c>
    </row>
    <row r="2408" spans="1:11" ht="42" customHeight="1">
      <c r="A2408" s="4" t="s">
        <v>5539</v>
      </c>
      <c r="B2408" s="5" t="s">
        <v>5540</v>
      </c>
      <c r="C2408" s="5" t="s">
        <v>69</v>
      </c>
      <c r="D2408" s="5" t="s">
        <v>70</v>
      </c>
      <c r="E2408" s="5" t="s">
        <v>657</v>
      </c>
      <c r="F2408" s="9">
        <v>96</v>
      </c>
      <c r="G2408" s="9">
        <v>1017</v>
      </c>
      <c r="H2408" s="5" t="s">
        <v>20</v>
      </c>
      <c r="I2408" s="5" t="s">
        <v>5550</v>
      </c>
      <c r="J2408" s="12" t="str">
        <f>HYPERLINK("https://www.boe.es/gazeta/dias/1806/11/25/pdfs/GMD-1806-96.pdf#page=9","Abrir facsímil")</f>
        <v>Abrir facsímil</v>
      </c>
      <c r="K2408" s="15" t="s">
        <v>22</v>
      </c>
    </row>
    <row r="2409" spans="1:11" ht="42" customHeight="1">
      <c r="A2409" s="4" t="s">
        <v>5539</v>
      </c>
      <c r="B2409" s="5" t="s">
        <v>5540</v>
      </c>
      <c r="C2409" s="5" t="s">
        <v>69</v>
      </c>
      <c r="D2409" s="5" t="s">
        <v>70</v>
      </c>
      <c r="E2409" s="5" t="s">
        <v>680</v>
      </c>
      <c r="F2409" s="9">
        <v>97</v>
      </c>
      <c r="G2409" s="9">
        <v>1025</v>
      </c>
      <c r="H2409" s="5" t="s">
        <v>20</v>
      </c>
      <c r="I2409" s="5" t="s">
        <v>5551</v>
      </c>
      <c r="J2409" s="12" t="str">
        <f>HYPERLINK("https://www.boe.es/gazeta/dias/1806/11/28/pdfs/GMD-1806-97.pdf#page=5","Abrir facsímil")</f>
        <v>Abrir facsímil</v>
      </c>
      <c r="K2409" s="15" t="s">
        <v>22</v>
      </c>
    </row>
    <row r="2410" spans="1:11" ht="42" customHeight="1">
      <c r="A2410" s="4" t="s">
        <v>5539</v>
      </c>
      <c r="B2410" s="5" t="s">
        <v>5540</v>
      </c>
      <c r="C2410" s="5" t="s">
        <v>17</v>
      </c>
      <c r="D2410" s="5" t="s">
        <v>18</v>
      </c>
      <c r="E2410" s="5" t="s">
        <v>76</v>
      </c>
      <c r="F2410" s="9">
        <v>98</v>
      </c>
      <c r="G2410" s="9">
        <v>1039</v>
      </c>
      <c r="H2410" s="5" t="s">
        <v>20</v>
      </c>
      <c r="I2410" s="5" t="s">
        <v>5552</v>
      </c>
      <c r="J2410" s="12" t="str">
        <f>HYPERLINK("https://www.boe.es/gazeta/dias/1806/12/02/pdfs/GMD-1806-98.pdf#page=7","Abrir facsímil")</f>
        <v>Abrir facsímil</v>
      </c>
      <c r="K2410" s="15" t="s">
        <v>22</v>
      </c>
    </row>
    <row r="2411" spans="1:11" ht="42" customHeight="1">
      <c r="A2411" s="4" t="s">
        <v>5539</v>
      </c>
      <c r="B2411" s="5" t="s">
        <v>5540</v>
      </c>
      <c r="C2411" s="5" t="s">
        <v>69</v>
      </c>
      <c r="D2411" s="5" t="s">
        <v>70</v>
      </c>
      <c r="E2411" s="5" t="s">
        <v>312</v>
      </c>
      <c r="F2411" s="9">
        <v>100</v>
      </c>
      <c r="G2411" s="9">
        <v>1057</v>
      </c>
      <c r="H2411" s="5" t="s">
        <v>20</v>
      </c>
      <c r="I2411" s="5" t="s">
        <v>5553</v>
      </c>
      <c r="J2411" s="12" t="str">
        <f>HYPERLINK("https://www.boe.es/gazeta/dias/1806/12/09/pdfs/GMD-1806-100.pdf#page=1","Abrir facsímil")</f>
        <v>Abrir facsímil</v>
      </c>
      <c r="K2411" s="15" t="s">
        <v>22</v>
      </c>
    </row>
    <row r="2412" spans="1:11" ht="42" customHeight="1">
      <c r="A2412" s="4" t="s">
        <v>5539</v>
      </c>
      <c r="B2412" s="5" t="s">
        <v>5540</v>
      </c>
      <c r="C2412" s="5" t="s">
        <v>69</v>
      </c>
      <c r="D2412" s="5" t="s">
        <v>70</v>
      </c>
      <c r="E2412" s="5" t="s">
        <v>312</v>
      </c>
      <c r="F2412" s="9">
        <v>100</v>
      </c>
      <c r="G2412" s="9">
        <v>1062</v>
      </c>
      <c r="H2412" s="5" t="s">
        <v>20</v>
      </c>
      <c r="I2412" s="5" t="s">
        <v>5554</v>
      </c>
      <c r="J2412" s="12" t="str">
        <f>HYPERLINK("https://www.boe.es/gazeta/dias/1806/12/09/pdfs/GMD-1806-100.pdf#page=6","Abrir facsímil")</f>
        <v>Abrir facsímil</v>
      </c>
      <c r="K2412" s="15" t="s">
        <v>22</v>
      </c>
    </row>
    <row r="2413" spans="1:11" ht="42" customHeight="1">
      <c r="A2413" s="4" t="s">
        <v>5539</v>
      </c>
      <c r="B2413" s="5" t="s">
        <v>5540</v>
      </c>
      <c r="C2413" s="5" t="s">
        <v>31</v>
      </c>
      <c r="D2413" s="5" t="s">
        <v>32</v>
      </c>
      <c r="E2413" s="5" t="s">
        <v>165</v>
      </c>
      <c r="F2413" s="9">
        <v>101</v>
      </c>
      <c r="G2413" s="9">
        <v>1070</v>
      </c>
      <c r="H2413" s="5" t="s">
        <v>20</v>
      </c>
      <c r="I2413" s="5" t="s">
        <v>5555</v>
      </c>
      <c r="J2413" s="12" t="str">
        <f>HYPERLINK("https://www.boe.es/gazeta/dias/1806/12/12/pdfs/GMD-1806-101.pdf#page=2","Abrir facsímil")</f>
        <v>Abrir facsímil</v>
      </c>
      <c r="K2413" s="15" t="s">
        <v>22</v>
      </c>
    </row>
    <row r="2414" spans="1:11" ht="42" customHeight="1">
      <c r="A2414" s="4" t="s">
        <v>5539</v>
      </c>
      <c r="B2414" s="5" t="s">
        <v>5540</v>
      </c>
      <c r="C2414" s="5" t="s">
        <v>69</v>
      </c>
      <c r="D2414" s="5" t="s">
        <v>70</v>
      </c>
      <c r="E2414" s="5" t="s">
        <v>28</v>
      </c>
      <c r="F2414" s="9">
        <v>102</v>
      </c>
      <c r="G2414" s="9">
        <v>1081</v>
      </c>
      <c r="H2414" s="5" t="s">
        <v>20</v>
      </c>
      <c r="I2414" s="5" t="s">
        <v>5556</v>
      </c>
      <c r="J2414" s="12" t="str">
        <f>HYPERLINK("https://www.boe.es/gazeta/dias/1806/12/16/pdfs/GMD-1806-102.pdf#page=5","Abrir facsímil")</f>
        <v>Abrir facsímil</v>
      </c>
      <c r="K2414" s="15" t="s">
        <v>22</v>
      </c>
    </row>
    <row r="2415" spans="1:11" ht="42" customHeight="1">
      <c r="A2415" s="4" t="s">
        <v>5539</v>
      </c>
      <c r="B2415" s="5" t="s">
        <v>5540</v>
      </c>
      <c r="C2415" s="5" t="s">
        <v>69</v>
      </c>
      <c r="D2415" s="5" t="s">
        <v>70</v>
      </c>
      <c r="E2415" s="5" t="s">
        <v>327</v>
      </c>
      <c r="F2415" s="9">
        <v>104</v>
      </c>
      <c r="G2415" s="9">
        <v>1102</v>
      </c>
      <c r="H2415" s="5" t="s">
        <v>20</v>
      </c>
      <c r="I2415" s="5" t="s">
        <v>5557</v>
      </c>
      <c r="J2415" s="12" t="str">
        <f>HYPERLINK("https://www.boe.es/gazeta/dias/1806/12/23/pdfs/GMD-1806-104.pdf#page=2","Abrir facsímil")</f>
        <v>Abrir facsímil</v>
      </c>
      <c r="K2415" s="15" t="s">
        <v>22</v>
      </c>
    </row>
    <row r="2416" spans="1:11" ht="42" customHeight="1">
      <c r="A2416" s="4" t="s">
        <v>5539</v>
      </c>
      <c r="B2416" s="5" t="s">
        <v>5540</v>
      </c>
      <c r="C2416" s="5" t="s">
        <v>69</v>
      </c>
      <c r="D2416" s="5" t="s">
        <v>70</v>
      </c>
      <c r="E2416" s="5" t="s">
        <v>1031</v>
      </c>
      <c r="F2416" s="9">
        <v>107</v>
      </c>
      <c r="G2416" s="9">
        <v>1127</v>
      </c>
      <c r="H2416" s="5" t="s">
        <v>20</v>
      </c>
      <c r="I2416" s="5" t="s">
        <v>5558</v>
      </c>
      <c r="J2416" s="12" t="str">
        <f>HYPERLINK("https://www.boe.es/gazeta/dias/1806/12/30/pdfs/GMD-1806-107.pdf#page=3","Abrir facsímil")</f>
        <v>Abrir facsímil</v>
      </c>
      <c r="K2416" s="15" t="s">
        <v>22</v>
      </c>
    </row>
    <row r="2417" spans="1:11" ht="42" customHeight="1">
      <c r="A2417" s="4" t="s">
        <v>5559</v>
      </c>
      <c r="B2417" s="5" t="s">
        <v>5559</v>
      </c>
      <c r="C2417" s="5" t="s">
        <v>31</v>
      </c>
      <c r="D2417" s="5" t="s">
        <v>32</v>
      </c>
      <c r="E2417" s="5" t="s">
        <v>191</v>
      </c>
      <c r="F2417" s="9">
        <v>103</v>
      </c>
      <c r="G2417" s="9">
        <v>1097</v>
      </c>
      <c r="H2417" s="5" t="s">
        <v>20</v>
      </c>
      <c r="I2417" s="5" t="s">
        <v>5560</v>
      </c>
      <c r="J2417" s="12" t="str">
        <f>HYPERLINK("https://www.boe.es/gazeta/dias/1806/12/19/pdfs/GMD-1806-103.pdf#page=9","Abrir facsímil")</f>
        <v>Abrir facsímil</v>
      </c>
      <c r="K2417" s="15" t="s">
        <v>22</v>
      </c>
    </row>
    <row r="2418" spans="1:11" ht="42" customHeight="1">
      <c r="A2418" s="4" t="s">
        <v>5561</v>
      </c>
      <c r="B2418" s="5" t="s">
        <v>5561</v>
      </c>
      <c r="C2418" s="5" t="s">
        <v>31</v>
      </c>
      <c r="D2418" s="5" t="s">
        <v>32</v>
      </c>
      <c r="E2418" s="5" t="s">
        <v>19</v>
      </c>
      <c r="F2418" s="9">
        <v>3</v>
      </c>
      <c r="G2418" s="9">
        <v>28</v>
      </c>
      <c r="H2418" s="5" t="s">
        <v>20</v>
      </c>
      <c r="I2418" s="5" t="s">
        <v>5562</v>
      </c>
      <c r="J2418" s="12" t="str">
        <f>HYPERLINK("https://www.boe.es/gazeta/dias/1806/01/10/pdfs/GMD-1806-3.pdf#page=8","Abrir facsímil")</f>
        <v>Abrir facsímil</v>
      </c>
      <c r="K2418" s="15" t="s">
        <v>22</v>
      </c>
    </row>
    <row r="2419" spans="1:11" ht="42" customHeight="1">
      <c r="A2419" s="4" t="s">
        <v>5563</v>
      </c>
      <c r="B2419" s="5" t="s">
        <v>5563</v>
      </c>
      <c r="C2419" s="5" t="s">
        <v>36</v>
      </c>
      <c r="D2419" s="5" t="s">
        <v>37</v>
      </c>
      <c r="E2419" s="5" t="s">
        <v>86</v>
      </c>
      <c r="F2419" s="9">
        <v>53</v>
      </c>
      <c r="G2419" s="9">
        <v>556</v>
      </c>
      <c r="H2419" s="5" t="s">
        <v>20</v>
      </c>
      <c r="I2419" s="5" t="s">
        <v>5564</v>
      </c>
      <c r="J2419" s="12" t="str">
        <f>HYPERLINK("https://www.boe.es/gazeta/dias/1806/06/27/pdfs/GMD-1806-53.pdf#page=12","Abrir facsímil")</f>
        <v>Abrir facsímil</v>
      </c>
      <c r="K2419" s="15" t="s">
        <v>22</v>
      </c>
    </row>
    <row r="2420" spans="1:11" ht="42" customHeight="1">
      <c r="A2420" s="4" t="s">
        <v>5565</v>
      </c>
      <c r="B2420" s="5" t="s">
        <v>5566</v>
      </c>
      <c r="C2420" s="5" t="s">
        <v>17</v>
      </c>
      <c r="D2420" s="5" t="s">
        <v>18</v>
      </c>
      <c r="E2420" s="5" t="s">
        <v>580</v>
      </c>
      <c r="F2420" s="9">
        <v>23</v>
      </c>
      <c r="G2420" s="9">
        <v>221</v>
      </c>
      <c r="H2420" s="5" t="s">
        <v>20</v>
      </c>
      <c r="I2420" s="5" t="s">
        <v>5567</v>
      </c>
      <c r="J2420" s="12" t="str">
        <f>HYPERLINK("https://www.boe.es/gazeta/dias/1806/03/14/pdfs/GMD-1806-23.pdf#page=9","Abrir facsímil")</f>
        <v>Abrir facsímil</v>
      </c>
      <c r="K2420" s="15" t="s">
        <v>22</v>
      </c>
    </row>
    <row r="2421" spans="1:11" ht="42" customHeight="1">
      <c r="A2421" s="4" t="s">
        <v>5568</v>
      </c>
      <c r="B2421" s="5" t="s">
        <v>5568</v>
      </c>
      <c r="C2421" s="5" t="s">
        <v>69</v>
      </c>
      <c r="D2421" s="5" t="s">
        <v>70</v>
      </c>
      <c r="E2421" s="5" t="s">
        <v>59</v>
      </c>
      <c r="F2421" s="9">
        <v>21</v>
      </c>
      <c r="G2421" s="9">
        <v>193</v>
      </c>
      <c r="H2421" s="5" t="s">
        <v>20</v>
      </c>
      <c r="I2421" s="5" t="s">
        <v>5569</v>
      </c>
      <c r="J2421" s="12" t="str">
        <f>HYPERLINK("https://www.boe.es/gazeta/dias/1806/03/07/pdfs/GMD-1806-21.pdf#page=5","Abrir facsímil")</f>
        <v>Abrir facsímil</v>
      </c>
      <c r="K2421" s="15" t="s">
        <v>22</v>
      </c>
    </row>
    <row r="2422" spans="1:11" ht="42" customHeight="1">
      <c r="A2422" s="4" t="s">
        <v>5570</v>
      </c>
      <c r="B2422" s="5" t="s">
        <v>5570</v>
      </c>
      <c r="C2422" s="5" t="s">
        <v>42</v>
      </c>
      <c r="D2422" s="5" t="s">
        <v>43</v>
      </c>
      <c r="E2422" s="5" t="s">
        <v>702</v>
      </c>
      <c r="F2422" s="9">
        <v>43</v>
      </c>
      <c r="G2422" s="9">
        <v>434</v>
      </c>
      <c r="H2422" s="5" t="s">
        <v>20</v>
      </c>
      <c r="I2422" s="5" t="s">
        <v>5571</v>
      </c>
      <c r="J2422" s="12" t="str">
        <f>HYPERLINK("https://www.boe.es/gazeta/dias/1806/05/23/pdfs/GMD-1806-43.pdf#page=10","Abrir facsímil")</f>
        <v>Abrir facsímil</v>
      </c>
      <c r="K2422" s="15" t="s">
        <v>22</v>
      </c>
    </row>
    <row r="2423" spans="1:11" ht="42" customHeight="1">
      <c r="A2423" s="4" t="s">
        <v>5572</v>
      </c>
      <c r="B2423" s="5" t="s">
        <v>5573</v>
      </c>
      <c r="C2423" s="5" t="s">
        <v>75</v>
      </c>
      <c r="D2423" s="5" t="s">
        <v>43</v>
      </c>
      <c r="E2423" s="5" t="s">
        <v>130</v>
      </c>
      <c r="F2423" s="9">
        <v>66</v>
      </c>
      <c r="G2423" s="9">
        <v>691</v>
      </c>
      <c r="H2423" s="5" t="s">
        <v>20</v>
      </c>
      <c r="I2423" s="5" t="s">
        <v>5574</v>
      </c>
      <c r="J2423" s="12" t="str">
        <f>HYPERLINK("https://www.boe.es/gazeta/dias/1806/08/12/pdfs/GMD-1806-66.pdf#page=7","Abrir facsímil")</f>
        <v>Abrir facsímil</v>
      </c>
      <c r="K2423" s="15" t="s">
        <v>22</v>
      </c>
    </row>
    <row r="2424" spans="1:11" ht="42" customHeight="1">
      <c r="A2424" s="4" t="s">
        <v>5575</v>
      </c>
      <c r="B2424" s="5" t="s">
        <v>5576</v>
      </c>
      <c r="C2424" s="5" t="s">
        <v>75</v>
      </c>
      <c r="D2424" s="5" t="s">
        <v>43</v>
      </c>
      <c r="E2424" s="5" t="s">
        <v>71</v>
      </c>
      <c r="F2424" s="9">
        <v>29</v>
      </c>
      <c r="G2424" s="9">
        <v>288</v>
      </c>
      <c r="H2424" s="5" t="s">
        <v>20</v>
      </c>
      <c r="I2424" s="5" t="s">
        <v>5577</v>
      </c>
      <c r="J2424" s="12" t="str">
        <f>HYPERLINK("https://www.boe.es/gazeta/dias/1806/04/04/pdfs/GMD-1806-29.pdf#page=8","Abrir facsímil")</f>
        <v>Abrir facsímil</v>
      </c>
      <c r="K2424" s="15" t="s">
        <v>22</v>
      </c>
    </row>
    <row r="2425" spans="1:11" ht="42" customHeight="1">
      <c r="A2425" s="4" t="s">
        <v>5575</v>
      </c>
      <c r="B2425" s="5" t="s">
        <v>5576</v>
      </c>
      <c r="C2425" s="5" t="s">
        <v>36</v>
      </c>
      <c r="D2425" s="5" t="s">
        <v>37</v>
      </c>
      <c r="E2425" s="5" t="s">
        <v>202</v>
      </c>
      <c r="F2425" s="9">
        <v>30</v>
      </c>
      <c r="G2425" s="9">
        <v>296</v>
      </c>
      <c r="H2425" s="5" t="s">
        <v>20</v>
      </c>
      <c r="I2425" s="5" t="s">
        <v>5578</v>
      </c>
      <c r="J2425" s="12" t="str">
        <f>HYPERLINK("https://www.boe.es/gazeta/dias/1806/04/08/pdfs/GMD-1806-30.pdf#page=8","Abrir facsímil")</f>
        <v>Abrir facsímil</v>
      </c>
      <c r="K2425" s="15" t="s">
        <v>22</v>
      </c>
    </row>
    <row r="2426" spans="1:11" ht="42" customHeight="1">
      <c r="A2426" s="4" t="s">
        <v>5575</v>
      </c>
      <c r="B2426" s="5" t="s">
        <v>5576</v>
      </c>
      <c r="C2426" s="5" t="s">
        <v>75</v>
      </c>
      <c r="D2426" s="5" t="s">
        <v>43</v>
      </c>
      <c r="E2426" s="5" t="s">
        <v>96</v>
      </c>
      <c r="F2426" s="9">
        <v>62</v>
      </c>
      <c r="G2426" s="9">
        <v>650</v>
      </c>
      <c r="H2426" s="5" t="s">
        <v>20</v>
      </c>
      <c r="I2426" s="5" t="s">
        <v>5579</v>
      </c>
      <c r="J2426" s="12" t="str">
        <f>HYPERLINK("https://www.boe.es/gazeta/dias/1806/07/29/pdfs/GMD-1806-62.pdf#page=10","Abrir facsímil")</f>
        <v>Abrir facsímil</v>
      </c>
      <c r="K2426" s="15" t="s">
        <v>22</v>
      </c>
    </row>
    <row r="2427" spans="1:11" ht="42" customHeight="1">
      <c r="A2427" s="4" t="s">
        <v>5580</v>
      </c>
      <c r="B2427" s="5" t="s">
        <v>5581</v>
      </c>
      <c r="C2427" s="5" t="s">
        <v>17</v>
      </c>
      <c r="D2427" s="5" t="s">
        <v>18</v>
      </c>
      <c r="E2427" s="5" t="s">
        <v>90</v>
      </c>
      <c r="F2427" s="9">
        <v>60</v>
      </c>
      <c r="G2427" s="9">
        <v>625</v>
      </c>
      <c r="H2427" s="5" t="s">
        <v>20</v>
      </c>
      <c r="I2427" s="5" t="s">
        <v>5582</v>
      </c>
      <c r="J2427" s="12" t="str">
        <f>HYPERLINK("https://www.boe.es/gazeta/dias/1806/07/22/pdfs/GMD-1806-60.pdf#page=9","Abrir facsímil")</f>
        <v>Abrir facsímil</v>
      </c>
      <c r="K2427" s="15" t="s">
        <v>22</v>
      </c>
    </row>
    <row r="2428" spans="1:11" ht="42" customHeight="1">
      <c r="A2428" s="4" t="s">
        <v>5580</v>
      </c>
      <c r="B2428" s="5" t="s">
        <v>5581</v>
      </c>
      <c r="C2428" s="5" t="s">
        <v>17</v>
      </c>
      <c r="D2428" s="5" t="s">
        <v>18</v>
      </c>
      <c r="E2428" s="5" t="s">
        <v>209</v>
      </c>
      <c r="F2428" s="9">
        <v>95</v>
      </c>
      <c r="G2428" s="9">
        <v>1007</v>
      </c>
      <c r="H2428" s="5" t="s">
        <v>20</v>
      </c>
      <c r="I2428" s="5" t="s">
        <v>5583</v>
      </c>
      <c r="J2428" s="12" t="str">
        <f>HYPERLINK("https://www.boe.es/gazeta/dias/1806/11/21/pdfs/GMD-1806-95.pdf#page=15","Abrir facsímil")</f>
        <v>Abrir facsímil</v>
      </c>
      <c r="K2428" s="15" t="s">
        <v>22</v>
      </c>
    </row>
    <row r="2429" spans="1:11" ht="42" customHeight="1">
      <c r="A2429" s="4" t="s">
        <v>5584</v>
      </c>
      <c r="B2429" s="5" t="s">
        <v>5585</v>
      </c>
      <c r="C2429" s="5" t="s">
        <v>75</v>
      </c>
      <c r="D2429" s="5" t="s">
        <v>43</v>
      </c>
      <c r="E2429" s="5" t="s">
        <v>580</v>
      </c>
      <c r="F2429" s="9">
        <v>23</v>
      </c>
      <c r="G2429" s="9">
        <v>223</v>
      </c>
      <c r="H2429" s="5" t="s">
        <v>20</v>
      </c>
      <c r="I2429" s="5" t="s">
        <v>5586</v>
      </c>
      <c r="J2429" s="12" t="str">
        <f>HYPERLINK("https://www.boe.es/gazeta/dias/1806/03/14/pdfs/GMD-1806-23.pdf#page=11","Abrir facsímil")</f>
        <v>Abrir facsímil</v>
      </c>
      <c r="K2429" s="15" t="s">
        <v>22</v>
      </c>
    </row>
    <row r="2430" spans="1:11" ht="42" customHeight="1">
      <c r="A2430" s="4" t="s">
        <v>5584</v>
      </c>
      <c r="B2430" s="5" t="s">
        <v>5585</v>
      </c>
      <c r="C2430" s="5" t="s">
        <v>75</v>
      </c>
      <c r="D2430" s="5" t="s">
        <v>43</v>
      </c>
      <c r="E2430" s="5" t="s">
        <v>661</v>
      </c>
      <c r="F2430" s="9">
        <v>38</v>
      </c>
      <c r="G2430" s="9">
        <v>374</v>
      </c>
      <c r="H2430" s="5" t="s">
        <v>20</v>
      </c>
      <c r="I2430" s="5" t="s">
        <v>5587</v>
      </c>
      <c r="J2430" s="12" t="str">
        <f>HYPERLINK("https://www.boe.es/gazeta/dias/1806/05/06/pdfs/GMD-1806-38.pdf#page=10","Abrir facsímil")</f>
        <v>Abrir facsímil</v>
      </c>
      <c r="K2430" s="15" t="s">
        <v>22</v>
      </c>
    </row>
    <row r="2431" spans="1:11" ht="42" customHeight="1">
      <c r="A2431" s="4" t="s">
        <v>5584</v>
      </c>
      <c r="B2431" s="5" t="s">
        <v>5585</v>
      </c>
      <c r="C2431" s="5" t="s">
        <v>31</v>
      </c>
      <c r="D2431" s="5" t="s">
        <v>32</v>
      </c>
      <c r="E2431" s="5" t="s">
        <v>304</v>
      </c>
      <c r="F2431" s="9">
        <v>47</v>
      </c>
      <c r="G2431" s="9">
        <v>483</v>
      </c>
      <c r="H2431" s="5" t="s">
        <v>20</v>
      </c>
      <c r="I2431" s="5" t="s">
        <v>5588</v>
      </c>
      <c r="J2431" s="12" t="str">
        <f>HYPERLINK("https://www.boe.es/gazeta/dias/1806/06/06/pdfs/GMD-C-1806-47.pdf#page=3","Abrir facsímil")</f>
        <v>Abrir facsímil</v>
      </c>
      <c r="K2431" s="15" t="s">
        <v>22</v>
      </c>
    </row>
    <row r="2432" spans="1:11" ht="42" customHeight="1">
      <c r="A2432" s="4" t="s">
        <v>5584</v>
      </c>
      <c r="B2432" s="5" t="s">
        <v>5585</v>
      </c>
      <c r="C2432" s="5" t="s">
        <v>17</v>
      </c>
      <c r="D2432" s="5" t="s">
        <v>18</v>
      </c>
      <c r="E2432" s="5" t="s">
        <v>86</v>
      </c>
      <c r="F2432" s="9">
        <v>53</v>
      </c>
      <c r="G2432" s="9">
        <v>554</v>
      </c>
      <c r="H2432" s="5" t="s">
        <v>20</v>
      </c>
      <c r="I2432" s="5" t="s">
        <v>5589</v>
      </c>
      <c r="J2432" s="12" t="str">
        <f>HYPERLINK("https://www.boe.es/gazeta/dias/1806/06/27/pdfs/GMD-1806-53.pdf#page=10","Abrir facsímil")</f>
        <v>Abrir facsímil</v>
      </c>
      <c r="K2432" s="15" t="s">
        <v>22</v>
      </c>
    </row>
    <row r="2433" spans="1:11" ht="42" customHeight="1">
      <c r="A2433" s="4" t="s">
        <v>5584</v>
      </c>
      <c r="B2433" s="5" t="s">
        <v>5585</v>
      </c>
      <c r="C2433" s="5" t="s">
        <v>75</v>
      </c>
      <c r="D2433" s="5" t="s">
        <v>43</v>
      </c>
      <c r="E2433" s="5" t="s">
        <v>110</v>
      </c>
      <c r="F2433" s="9">
        <v>55</v>
      </c>
      <c r="G2433" s="9">
        <v>575</v>
      </c>
      <c r="H2433" s="5" t="s">
        <v>20</v>
      </c>
      <c r="I2433" s="5" t="s">
        <v>5590</v>
      </c>
      <c r="J2433" s="12" t="str">
        <f>HYPERLINK("https://www.boe.es/gazeta/dias/1806/07/04/pdfs/GMD-1806-55.pdf#page=11","Abrir facsímil")</f>
        <v>Abrir facsímil</v>
      </c>
      <c r="K2433" s="15" t="s">
        <v>22</v>
      </c>
    </row>
    <row r="2434" spans="1:11" ht="42" customHeight="1">
      <c r="A2434" s="4" t="s">
        <v>5584</v>
      </c>
      <c r="B2434" s="5" t="s">
        <v>5585</v>
      </c>
      <c r="C2434" s="5" t="s">
        <v>17</v>
      </c>
      <c r="D2434" s="5" t="s">
        <v>18</v>
      </c>
      <c r="E2434" s="5" t="s">
        <v>306</v>
      </c>
      <c r="F2434" s="9">
        <v>59</v>
      </c>
      <c r="G2434" s="9">
        <v>613</v>
      </c>
      <c r="H2434" s="5" t="s">
        <v>20</v>
      </c>
      <c r="I2434" s="5" t="s">
        <v>5591</v>
      </c>
      <c r="J2434" s="12" t="str">
        <f>HYPERLINK("https://www.boe.es/gazeta/dias/1806/07/18/pdfs/GMD-1806-59.pdf#page=9","Abrir facsímil")</f>
        <v>Abrir facsímil</v>
      </c>
      <c r="K2434" s="15" t="s">
        <v>22</v>
      </c>
    </row>
    <row r="2435" spans="1:11" ht="42" customHeight="1">
      <c r="A2435" s="4" t="s">
        <v>5584</v>
      </c>
      <c r="B2435" s="5" t="s">
        <v>5585</v>
      </c>
      <c r="C2435" s="5" t="s">
        <v>75</v>
      </c>
      <c r="D2435" s="5" t="s">
        <v>43</v>
      </c>
      <c r="E2435" s="5" t="s">
        <v>306</v>
      </c>
      <c r="F2435" s="9">
        <v>59</v>
      </c>
      <c r="G2435" s="9">
        <v>615</v>
      </c>
      <c r="H2435" s="5" t="s">
        <v>20</v>
      </c>
      <c r="I2435" s="5" t="s">
        <v>5592</v>
      </c>
      <c r="J2435" s="12" t="str">
        <f>HYPERLINK("https://www.boe.es/gazeta/dias/1806/07/18/pdfs/GMD-1806-59.pdf#page=11","Abrir facsímil")</f>
        <v>Abrir facsímil</v>
      </c>
      <c r="K2435" s="15" t="s">
        <v>22</v>
      </c>
    </row>
    <row r="2436" spans="1:11" ht="42" customHeight="1">
      <c r="A2436" s="4" t="s">
        <v>5584</v>
      </c>
      <c r="B2436" s="5" t="s">
        <v>5585</v>
      </c>
      <c r="C2436" s="5" t="s">
        <v>75</v>
      </c>
      <c r="D2436" s="5" t="s">
        <v>43</v>
      </c>
      <c r="E2436" s="5" t="s">
        <v>301</v>
      </c>
      <c r="F2436" s="9">
        <v>75</v>
      </c>
      <c r="G2436" s="9">
        <v>779</v>
      </c>
      <c r="H2436" s="5" t="s">
        <v>20</v>
      </c>
      <c r="I2436" s="5" t="s">
        <v>5593</v>
      </c>
      <c r="J2436" s="12" t="str">
        <f>HYPERLINK("https://www.boe.es/gazeta/dias/1806/09/12/pdfs/GMD-1806-75.pdf#page=11","Abrir facsímil")</f>
        <v>Abrir facsímil</v>
      </c>
      <c r="K2436" s="15" t="s">
        <v>22</v>
      </c>
    </row>
    <row r="2437" spans="1:11" ht="42" customHeight="1">
      <c r="A2437" s="4" t="s">
        <v>5584</v>
      </c>
      <c r="B2437" s="5" t="s">
        <v>5585</v>
      </c>
      <c r="C2437" s="5" t="s">
        <v>75</v>
      </c>
      <c r="D2437" s="5" t="s">
        <v>43</v>
      </c>
      <c r="E2437" s="5" t="s">
        <v>231</v>
      </c>
      <c r="F2437" s="9">
        <v>89</v>
      </c>
      <c r="G2437" s="9">
        <v>923</v>
      </c>
      <c r="H2437" s="5" t="s">
        <v>20</v>
      </c>
      <c r="I2437" s="5" t="s">
        <v>5594</v>
      </c>
      <c r="J2437" s="12" t="str">
        <f>HYPERLINK("https://www.boe.es/gazeta/dias/1806/10/31/pdfs/GMD-1806-89.pdf#page=11","Abrir facsímil")</f>
        <v>Abrir facsímil</v>
      </c>
      <c r="K2437" s="15" t="s">
        <v>22</v>
      </c>
    </row>
    <row r="2438" spans="1:11" ht="42" customHeight="1">
      <c r="A2438" s="4" t="s">
        <v>5584</v>
      </c>
      <c r="B2438" s="5" t="s">
        <v>5585</v>
      </c>
      <c r="C2438" s="5" t="s">
        <v>75</v>
      </c>
      <c r="D2438" s="5" t="s">
        <v>43</v>
      </c>
      <c r="E2438" s="5" t="s">
        <v>396</v>
      </c>
      <c r="F2438" s="9">
        <v>91</v>
      </c>
      <c r="G2438" s="9">
        <v>947</v>
      </c>
      <c r="H2438" s="5" t="s">
        <v>20</v>
      </c>
      <c r="I2438" s="5" t="s">
        <v>5595</v>
      </c>
      <c r="J2438" s="12" t="str">
        <f>HYPERLINK("https://www.boe.es/gazeta/dias/1806/11/07/pdfs/GMD-1806-91.pdf#page=11","Abrir facsímil")</f>
        <v>Abrir facsímil</v>
      </c>
      <c r="K2438" s="15" t="s">
        <v>22</v>
      </c>
    </row>
    <row r="2439" spans="1:11" ht="42" customHeight="1">
      <c r="A2439" s="4" t="s">
        <v>5596</v>
      </c>
      <c r="B2439" s="5" t="s">
        <v>5596</v>
      </c>
      <c r="C2439" s="5" t="s">
        <v>31</v>
      </c>
      <c r="D2439" s="5" t="s">
        <v>32</v>
      </c>
      <c r="E2439" s="5" t="s">
        <v>348</v>
      </c>
      <c r="F2439" s="9">
        <v>88</v>
      </c>
      <c r="G2439" s="9">
        <v>910</v>
      </c>
      <c r="H2439" s="5" t="s">
        <v>20</v>
      </c>
      <c r="I2439" s="5" t="s">
        <v>5597</v>
      </c>
      <c r="J2439" s="12" t="str">
        <f>HYPERLINK("https://www.boe.es/gazeta/dias/1806/10/28/pdfs/GMD-1806-88.pdf#page=6","Abrir facsímil")</f>
        <v>Abrir facsímil</v>
      </c>
      <c r="K2439" s="15" t="s">
        <v>22</v>
      </c>
    </row>
    <row r="2440" spans="1:11" ht="42" customHeight="1">
      <c r="A2440" s="4" t="s">
        <v>5598</v>
      </c>
      <c r="B2440" s="5" t="s">
        <v>5599</v>
      </c>
      <c r="C2440" s="5" t="s">
        <v>75</v>
      </c>
      <c r="D2440" s="5" t="s">
        <v>43</v>
      </c>
      <c r="E2440" s="5" t="s">
        <v>59</v>
      </c>
      <c r="F2440" s="9">
        <v>21</v>
      </c>
      <c r="G2440" s="9">
        <v>198</v>
      </c>
      <c r="H2440" s="5" t="s">
        <v>20</v>
      </c>
      <c r="I2440" s="5" t="s">
        <v>5600</v>
      </c>
      <c r="J2440" s="12" t="str">
        <f>HYPERLINK("https://www.boe.es/gazeta/dias/1806/03/07/pdfs/GMD-1806-21.pdf#page=10","Abrir facsímil")</f>
        <v>Abrir facsímil</v>
      </c>
      <c r="K2440" s="15" t="s">
        <v>22</v>
      </c>
    </row>
    <row r="2441" spans="1:11" ht="42" customHeight="1">
      <c r="A2441" s="4" t="s">
        <v>5598</v>
      </c>
      <c r="B2441" s="5" t="s">
        <v>5599</v>
      </c>
      <c r="C2441" s="5" t="s">
        <v>75</v>
      </c>
      <c r="D2441" s="5" t="s">
        <v>43</v>
      </c>
      <c r="E2441" s="5" t="s">
        <v>680</v>
      </c>
      <c r="F2441" s="9">
        <v>97</v>
      </c>
      <c r="G2441" s="9">
        <v>1031</v>
      </c>
      <c r="H2441" s="5" t="s">
        <v>20</v>
      </c>
      <c r="I2441" s="5" t="s">
        <v>5601</v>
      </c>
      <c r="J2441" s="12" t="str">
        <f>HYPERLINK("https://www.boe.es/gazeta/dias/1806/11/28/pdfs/GMD-1806-97.pdf#page=11","Abrir facsímil")</f>
        <v>Abrir facsímil</v>
      </c>
      <c r="K2441" s="15" t="s">
        <v>22</v>
      </c>
    </row>
    <row r="2442" spans="1:11" ht="42" customHeight="1">
      <c r="A2442" s="4" t="s">
        <v>5602</v>
      </c>
      <c r="B2442" s="5" t="s">
        <v>5603</v>
      </c>
      <c r="C2442" s="5" t="s">
        <v>42</v>
      </c>
      <c r="D2442" s="5" t="s">
        <v>43</v>
      </c>
      <c r="E2442" s="5" t="s">
        <v>238</v>
      </c>
      <c r="F2442" s="9">
        <v>18</v>
      </c>
      <c r="G2442" s="9">
        <v>160</v>
      </c>
      <c r="H2442" s="5" t="s">
        <v>20</v>
      </c>
      <c r="I2442" s="5" t="s">
        <v>5604</v>
      </c>
      <c r="J2442" s="12" t="str">
        <f>HYPERLINK("https://www.boe.es/gazeta/dias/1806/02/25/pdfs/GMD-1806-18.pdf#page=8","Abrir facsímil")</f>
        <v>Abrir facsímil</v>
      </c>
      <c r="K2442" s="15" t="s">
        <v>22</v>
      </c>
    </row>
    <row r="2443" spans="1:11" ht="42" customHeight="1">
      <c r="A2443" s="4" t="s">
        <v>5605</v>
      </c>
      <c r="B2443" s="5" t="s">
        <v>5606</v>
      </c>
      <c r="C2443" s="5" t="s">
        <v>75</v>
      </c>
      <c r="D2443" s="5" t="s">
        <v>43</v>
      </c>
      <c r="E2443" s="5" t="s">
        <v>312</v>
      </c>
      <c r="F2443" s="9">
        <v>100</v>
      </c>
      <c r="G2443" s="9">
        <v>1064</v>
      </c>
      <c r="H2443" s="5" t="s">
        <v>20</v>
      </c>
      <c r="I2443" s="5" t="s">
        <v>5607</v>
      </c>
      <c r="J2443" s="12" t="str">
        <f>HYPERLINK("https://www.boe.es/gazeta/dias/1806/12/09/pdfs/GMD-1806-100.pdf#page=8","Abrir facsímil")</f>
        <v>Abrir facsímil</v>
      </c>
      <c r="K2443" s="15" t="s">
        <v>22</v>
      </c>
    </row>
    <row r="2444" spans="1:11" ht="42" customHeight="1">
      <c r="A2444" s="4" t="s">
        <v>5608</v>
      </c>
      <c r="B2444" s="5" t="s">
        <v>5609</v>
      </c>
      <c r="C2444" s="5" t="s">
        <v>31</v>
      </c>
      <c r="D2444" s="5" t="s">
        <v>32</v>
      </c>
      <c r="E2444" s="5" t="s">
        <v>870</v>
      </c>
      <c r="F2444" s="9">
        <v>35</v>
      </c>
      <c r="G2444" s="9">
        <v>342</v>
      </c>
      <c r="H2444" s="5" t="s">
        <v>20</v>
      </c>
      <c r="I2444" s="5" t="s">
        <v>5610</v>
      </c>
      <c r="J2444" s="12" t="str">
        <f>HYPERLINK("https://www.boe.es/gazeta/dias/1806/04/25/pdfs/GMD-1806-35.pdf#page=6","Abrir facsímil")</f>
        <v>Abrir facsímil</v>
      </c>
      <c r="K2444" s="15" t="s">
        <v>22</v>
      </c>
    </row>
    <row r="2445" spans="1:11" ht="42" customHeight="1">
      <c r="A2445" s="4" t="s">
        <v>5608</v>
      </c>
      <c r="B2445" s="5" t="s">
        <v>5609</v>
      </c>
      <c r="C2445" s="5" t="s">
        <v>447</v>
      </c>
      <c r="D2445" s="5" t="s">
        <v>448</v>
      </c>
      <c r="E2445" s="5" t="s">
        <v>304</v>
      </c>
      <c r="F2445" s="9">
        <v>47</v>
      </c>
      <c r="G2445" s="9">
        <v>481</v>
      </c>
      <c r="H2445" s="5" t="s">
        <v>20</v>
      </c>
      <c r="I2445" s="5" t="s">
        <v>5611</v>
      </c>
      <c r="J2445" s="12" t="str">
        <f>HYPERLINK("https://www.boe.es/gazeta/dias/1806/06/06/pdfs/GMD-C-1806-47.pdf#page=1","Abrir facsímil")</f>
        <v>Abrir facsímil</v>
      </c>
      <c r="K2445" s="15" t="s">
        <v>22</v>
      </c>
    </row>
    <row r="2446" spans="1:11" ht="42" customHeight="1">
      <c r="A2446" s="4" t="s">
        <v>5612</v>
      </c>
      <c r="B2446" s="5" t="s">
        <v>5613</v>
      </c>
      <c r="C2446" s="5" t="s">
        <v>75</v>
      </c>
      <c r="D2446" s="5" t="s">
        <v>43</v>
      </c>
      <c r="E2446" s="5" t="s">
        <v>680</v>
      </c>
      <c r="F2446" s="9">
        <v>97</v>
      </c>
      <c r="G2446" s="9">
        <v>1031</v>
      </c>
      <c r="H2446" s="5" t="s">
        <v>20</v>
      </c>
      <c r="I2446" s="5" t="s">
        <v>5614</v>
      </c>
      <c r="J2446" s="12" t="str">
        <f>HYPERLINK("https://www.boe.es/gazeta/dias/1806/11/28/pdfs/GMD-1806-97.pdf#page=11","Abrir facsímil")</f>
        <v>Abrir facsímil</v>
      </c>
      <c r="K2446" s="15" t="s">
        <v>22</v>
      </c>
    </row>
    <row r="2447" spans="1:11" ht="42" customHeight="1">
      <c r="A2447" s="4" t="s">
        <v>5615</v>
      </c>
      <c r="B2447" s="5" t="s">
        <v>5616</v>
      </c>
      <c r="C2447" s="5" t="s">
        <v>42</v>
      </c>
      <c r="D2447" s="5" t="s">
        <v>43</v>
      </c>
      <c r="E2447" s="5" t="s">
        <v>96</v>
      </c>
      <c r="F2447" s="9">
        <v>62</v>
      </c>
      <c r="G2447" s="9">
        <v>649</v>
      </c>
      <c r="H2447" s="5" t="s">
        <v>20</v>
      </c>
      <c r="I2447" s="5" t="s">
        <v>5617</v>
      </c>
      <c r="J2447" s="12" t="str">
        <f>HYPERLINK("https://www.boe.es/gazeta/dias/1806/07/29/pdfs/GMD-1806-62.pdf#page=9","Abrir facsímil")</f>
        <v>Abrir facsímil</v>
      </c>
      <c r="K2447" s="15" t="s">
        <v>22</v>
      </c>
    </row>
    <row r="2448" spans="1:11" ht="42" customHeight="1">
      <c r="A2448" s="4" t="s">
        <v>5618</v>
      </c>
      <c r="B2448" s="5" t="s">
        <v>5619</v>
      </c>
      <c r="C2448" s="5" t="s">
        <v>31</v>
      </c>
      <c r="D2448" s="5" t="s">
        <v>32</v>
      </c>
      <c r="E2448" s="5" t="s">
        <v>130</v>
      </c>
      <c r="F2448" s="9">
        <v>66</v>
      </c>
      <c r="G2448" s="9">
        <v>690</v>
      </c>
      <c r="H2448" s="5" t="s">
        <v>20</v>
      </c>
      <c r="I2448" s="5" t="s">
        <v>5620</v>
      </c>
      <c r="J2448" s="12" t="str">
        <f>HYPERLINK("https://www.boe.es/gazeta/dias/1806/08/12/pdfs/GMD-1806-66.pdf#page=6","Abrir facsímil")</f>
        <v>Abrir facsímil</v>
      </c>
      <c r="K2448" s="15" t="s">
        <v>22</v>
      </c>
    </row>
    <row r="2449" spans="1:11" ht="42" customHeight="1">
      <c r="A2449" s="4" t="s">
        <v>5621</v>
      </c>
      <c r="B2449" s="5" t="s">
        <v>5622</v>
      </c>
      <c r="C2449" s="5" t="s">
        <v>706</v>
      </c>
      <c r="D2449" s="5" t="s">
        <v>707</v>
      </c>
      <c r="E2449" s="5" t="s">
        <v>195</v>
      </c>
      <c r="F2449" s="9" t="s">
        <v>708</v>
      </c>
      <c r="G2449" s="9">
        <v>42</v>
      </c>
      <c r="H2449" s="5" t="s">
        <v>20</v>
      </c>
      <c r="I2449" s="5" t="s">
        <v>5623</v>
      </c>
      <c r="J2449" s="12" t="str">
        <f>HYPERLINK("https://www.boe.es/gazeta/dias/1806/01/14/pdfs/GMD-1806-5E.pdf#page=2","Abrir facsímil")</f>
        <v>Abrir facsímil</v>
      </c>
      <c r="K2449" s="15" t="s">
        <v>22</v>
      </c>
    </row>
    <row r="2450" spans="1:11" ht="42" customHeight="1">
      <c r="A2450" s="4" t="s">
        <v>5621</v>
      </c>
      <c r="B2450" s="5" t="s">
        <v>5622</v>
      </c>
      <c r="C2450" s="5" t="s">
        <v>69</v>
      </c>
      <c r="D2450" s="5" t="s">
        <v>70</v>
      </c>
      <c r="E2450" s="5" t="s">
        <v>90</v>
      </c>
      <c r="F2450" s="9">
        <v>60</v>
      </c>
      <c r="G2450" s="9">
        <v>619</v>
      </c>
      <c r="H2450" s="5" t="s">
        <v>20</v>
      </c>
      <c r="I2450" s="5" t="s">
        <v>5624</v>
      </c>
      <c r="J2450" s="12" t="str">
        <f>HYPERLINK("https://www.boe.es/gazeta/dias/1806/07/22/pdfs/GMD-1806-60.pdf#page=3","Abrir facsímil")</f>
        <v>Abrir facsímil</v>
      </c>
      <c r="K2450" s="15" t="s">
        <v>22</v>
      </c>
    </row>
    <row r="2451" spans="1:11" ht="42" customHeight="1">
      <c r="A2451" s="4" t="s">
        <v>5625</v>
      </c>
      <c r="B2451" s="5" t="s">
        <v>5625</v>
      </c>
      <c r="C2451" s="5" t="s">
        <v>42</v>
      </c>
      <c r="D2451" s="5" t="s">
        <v>43</v>
      </c>
      <c r="E2451" s="5" t="s">
        <v>494</v>
      </c>
      <c r="F2451" s="9">
        <v>69</v>
      </c>
      <c r="G2451" s="9">
        <v>715</v>
      </c>
      <c r="H2451" s="5" t="s">
        <v>20</v>
      </c>
      <c r="I2451" s="5" t="s">
        <v>5626</v>
      </c>
      <c r="J2451" s="12" t="str">
        <f>HYPERLINK("https://www.boe.es/gazeta/dias/1806/08/22/pdfs/GMD-1806-69.pdf#page=3","Abrir facsímil")</f>
        <v>Abrir facsímil</v>
      </c>
      <c r="K2451" s="15" t="s">
        <v>22</v>
      </c>
    </row>
    <row r="2452" spans="1:11" ht="42" customHeight="1">
      <c r="A2452" s="4" t="s">
        <v>5627</v>
      </c>
      <c r="B2452" s="5" t="s">
        <v>5628</v>
      </c>
      <c r="C2452" s="5" t="s">
        <v>31</v>
      </c>
      <c r="D2452" s="5" t="s">
        <v>32</v>
      </c>
      <c r="E2452" s="5" t="s">
        <v>165</v>
      </c>
      <c r="F2452" s="9">
        <v>101</v>
      </c>
      <c r="G2452" s="9">
        <v>1074</v>
      </c>
      <c r="H2452" s="5" t="s">
        <v>20</v>
      </c>
      <c r="I2452" s="5" t="s">
        <v>5629</v>
      </c>
      <c r="J2452" s="12" t="str">
        <f>HYPERLINK("https://www.boe.es/gazeta/dias/1806/12/12/pdfs/GMD-1806-101.pdf#page=6","Abrir facsímil")</f>
        <v>Abrir facsímil</v>
      </c>
      <c r="K2452" s="15" t="s">
        <v>22</v>
      </c>
    </row>
    <row r="2453" spans="1:11" ht="42" customHeight="1">
      <c r="A2453" s="4" t="s">
        <v>5630</v>
      </c>
      <c r="B2453" s="5" t="s">
        <v>5631</v>
      </c>
      <c r="C2453" s="5" t="s">
        <v>31</v>
      </c>
      <c r="D2453" s="5" t="s">
        <v>32</v>
      </c>
      <c r="E2453" s="5" t="s">
        <v>1778</v>
      </c>
      <c r="F2453" s="9">
        <v>16</v>
      </c>
      <c r="G2453" s="9">
        <v>139</v>
      </c>
      <c r="H2453" s="5" t="s">
        <v>20</v>
      </c>
      <c r="I2453" s="5" t="s">
        <v>5632</v>
      </c>
      <c r="J2453" s="12" t="str">
        <f>HYPERLINK("https://www.boe.es/gazeta/dias/1806/02/18/pdfs/GMD-1806-16.pdf#page=3","Abrir facsímil")</f>
        <v>Abrir facsímil</v>
      </c>
      <c r="K2453" s="15" t="s">
        <v>22</v>
      </c>
    </row>
    <row r="2454" spans="1:11" ht="42" customHeight="1">
      <c r="A2454" s="4" t="s">
        <v>5633</v>
      </c>
      <c r="B2454" s="5" t="s">
        <v>5633</v>
      </c>
      <c r="C2454" s="5" t="s">
        <v>69</v>
      </c>
      <c r="D2454" s="5" t="s">
        <v>70</v>
      </c>
      <c r="E2454" s="5" t="s">
        <v>911</v>
      </c>
      <c r="F2454" s="9">
        <v>64</v>
      </c>
      <c r="G2454" s="9">
        <v>669</v>
      </c>
      <c r="H2454" s="5" t="s">
        <v>20</v>
      </c>
      <c r="I2454" s="5" t="s">
        <v>5634</v>
      </c>
      <c r="J2454" s="12" t="str">
        <f>HYPERLINK("https://www.boe.es/gazeta/dias/1806/08/05/pdfs/GMD-1806-64.pdf#page=5","Abrir facsímil")</f>
        <v>Abrir facsímil</v>
      </c>
      <c r="K2454" s="15" t="s">
        <v>22</v>
      </c>
    </row>
    <row r="2455" spans="1:11" ht="42" customHeight="1">
      <c r="A2455" s="4" t="s">
        <v>5635</v>
      </c>
      <c r="B2455" s="5" t="s">
        <v>5635</v>
      </c>
      <c r="C2455" s="5" t="s">
        <v>69</v>
      </c>
      <c r="D2455" s="5" t="s">
        <v>70</v>
      </c>
      <c r="E2455" s="5" t="s">
        <v>327</v>
      </c>
      <c r="F2455" s="9">
        <v>104</v>
      </c>
      <c r="G2455" s="9">
        <v>1103</v>
      </c>
      <c r="H2455" s="5" t="s">
        <v>20</v>
      </c>
      <c r="I2455" s="5" t="s">
        <v>5636</v>
      </c>
      <c r="J2455" s="12" t="str">
        <f>HYPERLINK("https://www.boe.es/gazeta/dias/1806/12/23/pdfs/GMD-1806-104.pdf#page=3","Abrir facsímil")</f>
        <v>Abrir facsímil</v>
      </c>
      <c r="K2455" s="15" t="s">
        <v>22</v>
      </c>
    </row>
    <row r="2456" spans="1:11" ht="42" customHeight="1">
      <c r="A2456" s="4" t="s">
        <v>5637</v>
      </c>
      <c r="B2456" s="5" t="s">
        <v>5637</v>
      </c>
      <c r="C2456" s="5" t="s">
        <v>69</v>
      </c>
      <c r="D2456" s="5" t="s">
        <v>70</v>
      </c>
      <c r="E2456" s="5" t="s">
        <v>271</v>
      </c>
      <c r="F2456" s="9">
        <v>6</v>
      </c>
      <c r="G2456" s="9">
        <v>45</v>
      </c>
      <c r="H2456" s="5" t="s">
        <v>20</v>
      </c>
      <c r="I2456" s="5" t="s">
        <v>5638</v>
      </c>
      <c r="J2456" s="12" t="str">
        <f>HYPERLINK("https://www.boe.es/gazeta/dias/1806/01/17/pdfs/GMD-1806-6.pdf#page=1","Abrir facsímil")</f>
        <v>Abrir facsímil</v>
      </c>
      <c r="K2456" s="15" t="s">
        <v>22</v>
      </c>
    </row>
    <row r="2457" spans="1:11" ht="42" customHeight="1">
      <c r="A2457" s="4" t="s">
        <v>5639</v>
      </c>
      <c r="B2457" s="5" t="s">
        <v>5639</v>
      </c>
      <c r="C2457" s="5" t="s">
        <v>69</v>
      </c>
      <c r="D2457" s="5" t="s">
        <v>70</v>
      </c>
      <c r="E2457" s="5" t="s">
        <v>202</v>
      </c>
      <c r="F2457" s="9">
        <v>30</v>
      </c>
      <c r="G2457" s="9">
        <v>292</v>
      </c>
      <c r="H2457" s="5" t="s">
        <v>20</v>
      </c>
      <c r="I2457" s="5" t="s">
        <v>5640</v>
      </c>
      <c r="J2457" s="12" t="str">
        <f>HYPERLINK("https://www.boe.es/gazeta/dias/1806/04/08/pdfs/GMD-1806-30.pdf#page=4","Abrir facsímil")</f>
        <v>Abrir facsímil</v>
      </c>
      <c r="K2457" s="15" t="s">
        <v>22</v>
      </c>
    </row>
    <row r="2458" spans="1:11" ht="42" customHeight="1">
      <c r="A2458" s="4" t="s">
        <v>5641</v>
      </c>
      <c r="B2458" s="5" t="s">
        <v>5641</v>
      </c>
      <c r="C2458" s="5" t="s">
        <v>69</v>
      </c>
      <c r="D2458" s="5" t="s">
        <v>70</v>
      </c>
      <c r="E2458" s="5" t="s">
        <v>71</v>
      </c>
      <c r="F2458" s="9">
        <v>29</v>
      </c>
      <c r="G2458" s="9">
        <v>285</v>
      </c>
      <c r="H2458" s="5" t="s">
        <v>20</v>
      </c>
      <c r="I2458" s="5" t="s">
        <v>5642</v>
      </c>
      <c r="J2458" s="12" t="str">
        <f>HYPERLINK("https://www.boe.es/gazeta/dias/1806/04/04/pdfs/GMD-1806-29.pdf#page=5","Abrir facsímil")</f>
        <v>Abrir facsímil</v>
      </c>
      <c r="K2458" s="15" t="s">
        <v>22</v>
      </c>
    </row>
    <row r="2459" spans="1:11" ht="42" customHeight="1">
      <c r="A2459" s="4" t="s">
        <v>5643</v>
      </c>
      <c r="B2459" s="5" t="s">
        <v>5643</v>
      </c>
      <c r="C2459" s="5" t="s">
        <v>69</v>
      </c>
      <c r="D2459" s="5" t="s">
        <v>70</v>
      </c>
      <c r="E2459" s="5" t="s">
        <v>71</v>
      </c>
      <c r="F2459" s="9">
        <v>29</v>
      </c>
      <c r="G2459" s="9">
        <v>284</v>
      </c>
      <c r="H2459" s="5" t="s">
        <v>20</v>
      </c>
      <c r="I2459" s="5" t="s">
        <v>5644</v>
      </c>
      <c r="J2459" s="12" t="str">
        <f>HYPERLINK("https://www.boe.es/gazeta/dias/1806/04/04/pdfs/GMD-1806-29.pdf#page=4","Abrir facsímil")</f>
        <v>Abrir facsímil</v>
      </c>
      <c r="K2459" s="15" t="s">
        <v>22</v>
      </c>
    </row>
    <row r="2460" spans="1:11" ht="42" customHeight="1">
      <c r="A2460" s="4" t="s">
        <v>5645</v>
      </c>
      <c r="B2460" s="5" t="s">
        <v>5645</v>
      </c>
      <c r="C2460" s="5" t="s">
        <v>17</v>
      </c>
      <c r="D2460" s="5" t="s">
        <v>18</v>
      </c>
      <c r="E2460" s="5" t="s">
        <v>121</v>
      </c>
      <c r="F2460" s="9">
        <v>19</v>
      </c>
      <c r="G2460" s="9">
        <v>174</v>
      </c>
      <c r="H2460" s="5" t="s">
        <v>20</v>
      </c>
      <c r="I2460" s="5" t="s">
        <v>5646</v>
      </c>
      <c r="J2460" s="12" t="str">
        <f>HYPERLINK("https://www.boe.es/gazeta/dias/1806/02/28/pdfs/GMD-1806-19.pdf#page=10","Abrir facsímil")</f>
        <v>Abrir facsímil</v>
      </c>
      <c r="K2460" s="15" t="s">
        <v>22</v>
      </c>
    </row>
    <row r="2461" spans="1:11" ht="42" customHeight="1">
      <c r="A2461" s="4" t="s">
        <v>5647</v>
      </c>
      <c r="B2461" s="5" t="s">
        <v>5647</v>
      </c>
      <c r="C2461" s="5" t="s">
        <v>17</v>
      </c>
      <c r="D2461" s="5" t="s">
        <v>18</v>
      </c>
      <c r="E2461" s="5" t="s">
        <v>113</v>
      </c>
      <c r="F2461" s="9">
        <v>28</v>
      </c>
      <c r="G2461" s="9">
        <v>277</v>
      </c>
      <c r="H2461" s="5" t="s">
        <v>20</v>
      </c>
      <c r="I2461" s="5" t="s">
        <v>5648</v>
      </c>
      <c r="J2461" s="12" t="str">
        <f>HYPERLINK("https://www.boe.es/gazeta/dias/1806/04/01/pdfs/GMD-1806-28.pdf#page=5","Abrir facsímil")</f>
        <v>Abrir facsímil</v>
      </c>
      <c r="K2461" s="15" t="s">
        <v>22</v>
      </c>
    </row>
    <row r="2462" spans="1:11" ht="42" customHeight="1">
      <c r="A2462" s="4" t="s">
        <v>5649</v>
      </c>
      <c r="B2462" s="5" t="s">
        <v>5649</v>
      </c>
      <c r="C2462" s="5" t="s">
        <v>31</v>
      </c>
      <c r="D2462" s="5" t="s">
        <v>32</v>
      </c>
      <c r="E2462" s="5" t="s">
        <v>279</v>
      </c>
      <c r="F2462" s="9">
        <v>52</v>
      </c>
      <c r="G2462" s="9">
        <v>540</v>
      </c>
      <c r="H2462" s="5" t="s">
        <v>20</v>
      </c>
      <c r="I2462" s="5" t="s">
        <v>5650</v>
      </c>
      <c r="J2462" s="12" t="str">
        <f>HYPERLINK("https://www.boe.es/gazeta/dias/1806/06/24/pdfs/GMD-1806-52.pdf#page=8","Abrir facsímil")</f>
        <v>Abrir facsímil</v>
      </c>
      <c r="K2462" s="15" t="s">
        <v>22</v>
      </c>
    </row>
    <row r="2463" spans="1:11" ht="42" customHeight="1">
      <c r="A2463" s="4" t="s">
        <v>5651</v>
      </c>
      <c r="B2463" s="5" t="s">
        <v>5651</v>
      </c>
      <c r="C2463" s="5" t="s">
        <v>17</v>
      </c>
      <c r="D2463" s="5" t="s">
        <v>18</v>
      </c>
      <c r="E2463" s="5" t="s">
        <v>103</v>
      </c>
      <c r="F2463" s="9">
        <v>61</v>
      </c>
      <c r="G2463" s="9">
        <v>632</v>
      </c>
      <c r="H2463" s="5" t="s">
        <v>20</v>
      </c>
      <c r="I2463" s="5" t="s">
        <v>5652</v>
      </c>
      <c r="J2463" s="12" t="str">
        <f>HYPERLINK("https://www.boe.es/gazeta/dias/1806/07/25/pdfs/GMD-1806-61.pdf#page=4","Abrir facsímil")</f>
        <v>Abrir facsímil</v>
      </c>
      <c r="K2463" s="15" t="s">
        <v>22</v>
      </c>
    </row>
    <row r="2464" spans="1:11" ht="42" customHeight="1">
      <c r="A2464" s="4" t="s">
        <v>5653</v>
      </c>
      <c r="B2464" s="5" t="s">
        <v>5653</v>
      </c>
      <c r="C2464" s="5" t="s">
        <v>17</v>
      </c>
      <c r="D2464" s="5" t="s">
        <v>18</v>
      </c>
      <c r="E2464" s="5" t="s">
        <v>103</v>
      </c>
      <c r="F2464" s="9">
        <v>61</v>
      </c>
      <c r="G2464" s="9">
        <v>632</v>
      </c>
      <c r="H2464" s="5" t="s">
        <v>20</v>
      </c>
      <c r="I2464" s="5" t="s">
        <v>5654</v>
      </c>
      <c r="J2464" s="12" t="str">
        <f>HYPERLINK("https://www.boe.es/gazeta/dias/1806/07/25/pdfs/GMD-1806-61.pdf#page=4","Abrir facsímil")</f>
        <v>Abrir facsímil</v>
      </c>
      <c r="K2464" s="15" t="s">
        <v>22</v>
      </c>
    </row>
    <row r="2465" spans="1:11" ht="42" customHeight="1">
      <c r="A2465" s="4" t="s">
        <v>5655</v>
      </c>
      <c r="B2465" s="5" t="s">
        <v>5655</v>
      </c>
      <c r="C2465" s="5" t="s">
        <v>17</v>
      </c>
      <c r="D2465" s="5" t="s">
        <v>18</v>
      </c>
      <c r="E2465" s="5" t="s">
        <v>301</v>
      </c>
      <c r="F2465" s="9">
        <v>75</v>
      </c>
      <c r="G2465" s="9">
        <v>777</v>
      </c>
      <c r="H2465" s="5" t="s">
        <v>20</v>
      </c>
      <c r="I2465" s="5" t="s">
        <v>5656</v>
      </c>
      <c r="J2465" s="12" t="str">
        <f>HYPERLINK("https://www.boe.es/gazeta/dias/1806/09/12/pdfs/GMD-1806-75.pdf#page=9","Abrir facsímil")</f>
        <v>Abrir facsímil</v>
      </c>
      <c r="K2465" s="15" t="s">
        <v>22</v>
      </c>
    </row>
    <row r="2466" spans="1:11" ht="42" customHeight="1">
      <c r="A2466" s="4" t="s">
        <v>5657</v>
      </c>
      <c r="B2466" s="5" t="s">
        <v>5657</v>
      </c>
      <c r="C2466" s="5" t="s">
        <v>17</v>
      </c>
      <c r="D2466" s="5" t="s">
        <v>18</v>
      </c>
      <c r="E2466" s="5" t="s">
        <v>33</v>
      </c>
      <c r="F2466" s="9">
        <v>82</v>
      </c>
      <c r="G2466" s="9">
        <v>849</v>
      </c>
      <c r="H2466" s="5" t="s">
        <v>20</v>
      </c>
      <c r="I2466" s="5" t="s">
        <v>5658</v>
      </c>
      <c r="J2466" s="12" t="str">
        <f>HYPERLINK("https://www.boe.es/gazeta/dias/1806/10/07/pdfs/GMD-1806-82.pdf#page=9","Abrir facsímil")</f>
        <v>Abrir facsímil</v>
      </c>
      <c r="K2466" s="15" t="s">
        <v>22</v>
      </c>
    </row>
    <row r="2467" spans="1:11" ht="42" customHeight="1">
      <c r="A2467" s="4" t="s">
        <v>5659</v>
      </c>
      <c r="B2467" s="5" t="s">
        <v>5659</v>
      </c>
      <c r="C2467" s="5" t="s">
        <v>17</v>
      </c>
      <c r="D2467" s="5" t="s">
        <v>18</v>
      </c>
      <c r="E2467" s="5" t="s">
        <v>494</v>
      </c>
      <c r="F2467" s="9">
        <v>69</v>
      </c>
      <c r="G2467" s="9">
        <v>721</v>
      </c>
      <c r="H2467" s="5" t="s">
        <v>20</v>
      </c>
      <c r="I2467" s="5" t="s">
        <v>5660</v>
      </c>
      <c r="J2467" s="12" t="str">
        <f>HYPERLINK("https://www.boe.es/gazeta/dias/1806/08/22/pdfs/GMD-1806-69.pdf#page=9","Abrir facsímil")</f>
        <v>Abrir facsímil</v>
      </c>
      <c r="K2467" s="15" t="s">
        <v>22</v>
      </c>
    </row>
    <row r="2468" spans="1:11" ht="42" customHeight="1">
      <c r="A2468" s="4" t="s">
        <v>5661</v>
      </c>
      <c r="B2468" s="5" t="s">
        <v>5661</v>
      </c>
      <c r="C2468" s="5" t="s">
        <v>69</v>
      </c>
      <c r="D2468" s="5" t="s">
        <v>70</v>
      </c>
      <c r="E2468" s="5" t="s">
        <v>494</v>
      </c>
      <c r="F2468" s="9">
        <v>69</v>
      </c>
      <c r="G2468" s="9">
        <v>713</v>
      </c>
      <c r="H2468" s="5" t="s">
        <v>20</v>
      </c>
      <c r="I2468" s="5" t="s">
        <v>5662</v>
      </c>
      <c r="J2468" s="12" t="str">
        <f>HYPERLINK("https://www.boe.es/gazeta/dias/1806/08/22/pdfs/GMD-1806-69.pdf#page=1","Abrir facsímil")</f>
        <v>Abrir facsímil</v>
      </c>
      <c r="K2468" s="15" t="s">
        <v>22</v>
      </c>
    </row>
    <row r="2469" spans="1:11" ht="42" customHeight="1">
      <c r="A2469" s="4" t="s">
        <v>5663</v>
      </c>
      <c r="B2469" s="5" t="s">
        <v>5664</v>
      </c>
      <c r="C2469" s="5" t="s">
        <v>17</v>
      </c>
      <c r="D2469" s="5" t="s">
        <v>18</v>
      </c>
      <c r="E2469" s="5" t="s">
        <v>195</v>
      </c>
      <c r="F2469" s="9">
        <v>4</v>
      </c>
      <c r="G2469" s="9">
        <v>35</v>
      </c>
      <c r="H2469" s="5" t="s">
        <v>20</v>
      </c>
      <c r="I2469" s="5" t="s">
        <v>5665</v>
      </c>
      <c r="J2469" s="12" t="str">
        <f>HYPERLINK("https://www.boe.es/gazeta/dias/1806/01/14/pdfs/GMD-1806-4.pdf#page=7","Abrir facsímil")</f>
        <v>Abrir facsímil</v>
      </c>
      <c r="K2469" s="15" t="s">
        <v>22</v>
      </c>
    </row>
    <row r="2470" spans="1:11" ht="42" customHeight="1">
      <c r="A2470" s="4" t="s">
        <v>5666</v>
      </c>
      <c r="B2470" s="5" t="s">
        <v>5667</v>
      </c>
      <c r="C2470" s="5" t="s">
        <v>42</v>
      </c>
      <c r="D2470" s="5" t="s">
        <v>43</v>
      </c>
      <c r="E2470" s="5" t="s">
        <v>780</v>
      </c>
      <c r="F2470" s="9">
        <v>33</v>
      </c>
      <c r="G2470" s="9">
        <v>323</v>
      </c>
      <c r="H2470" s="5" t="s">
        <v>20</v>
      </c>
      <c r="I2470" s="5" t="s">
        <v>5668</v>
      </c>
      <c r="J2470" s="12" t="str">
        <f>HYPERLINK("https://www.boe.es/gazeta/dias/1806/04/18/pdfs/GMD-1806-33.pdf#page=3","Abrir facsímil")</f>
        <v>Abrir facsímil</v>
      </c>
      <c r="K2470" s="15" t="s">
        <v>22</v>
      </c>
    </row>
    <row r="2471" spans="1:11" ht="42" customHeight="1">
      <c r="A2471" s="4" t="s">
        <v>5669</v>
      </c>
      <c r="B2471" s="5" t="s">
        <v>5670</v>
      </c>
      <c r="C2471" s="5" t="s">
        <v>31</v>
      </c>
      <c r="D2471" s="5" t="s">
        <v>32</v>
      </c>
      <c r="E2471" s="5" t="s">
        <v>175</v>
      </c>
      <c r="F2471" s="9">
        <v>40</v>
      </c>
      <c r="G2471" s="9">
        <v>394</v>
      </c>
      <c r="H2471" s="5" t="s">
        <v>20</v>
      </c>
      <c r="I2471" s="5" t="s">
        <v>5671</v>
      </c>
      <c r="J2471" s="12" t="str">
        <f>HYPERLINK("https://www.boe.es/gazeta/dias/1806/05/13/pdfs/GMD-1806-40.pdf#page=6","Abrir facsímil")</f>
        <v>Abrir facsímil</v>
      </c>
      <c r="K2471" s="15" t="s">
        <v>22</v>
      </c>
    </row>
    <row r="2472" spans="1:11" ht="42" customHeight="1">
      <c r="A2472" s="4" t="s">
        <v>5672</v>
      </c>
      <c r="B2472" s="5" t="s">
        <v>5673</v>
      </c>
      <c r="C2472" s="5" t="s">
        <v>69</v>
      </c>
      <c r="D2472" s="5" t="s">
        <v>70</v>
      </c>
      <c r="E2472" s="5" t="s">
        <v>1080</v>
      </c>
      <c r="F2472" s="9">
        <v>49</v>
      </c>
      <c r="G2472" s="9">
        <v>501</v>
      </c>
      <c r="H2472" s="5" t="s">
        <v>20</v>
      </c>
      <c r="I2472" s="5" t="s">
        <v>5674</v>
      </c>
      <c r="J2472" s="12" t="str">
        <f>HYPERLINK("https://www.boe.es/gazeta/dias/1806/06/13/pdfs/GMD-1806-49.pdf#page=1","Abrir facsímil")</f>
        <v>Abrir facsímil</v>
      </c>
      <c r="K2472" s="15" t="s">
        <v>22</v>
      </c>
    </row>
    <row r="2473" spans="1:11" ht="42" customHeight="1">
      <c r="A2473" s="4" t="s">
        <v>5675</v>
      </c>
      <c r="B2473" s="5" t="s">
        <v>5676</v>
      </c>
      <c r="C2473" s="5" t="s">
        <v>31</v>
      </c>
      <c r="D2473" s="5" t="s">
        <v>32</v>
      </c>
      <c r="E2473" s="5" t="s">
        <v>554</v>
      </c>
      <c r="F2473" s="9">
        <v>90</v>
      </c>
      <c r="G2473" s="9">
        <v>934</v>
      </c>
      <c r="H2473" s="5" t="s">
        <v>20</v>
      </c>
      <c r="I2473" s="5" t="s">
        <v>5677</v>
      </c>
      <c r="J2473" s="12" t="str">
        <f>HYPERLINK("https://www.boe.es/gazeta/dias/1806/11/04/pdfs/GMD-1806-90.pdf#page=10","Abrir facsímil")</f>
        <v>Abrir facsímil</v>
      </c>
      <c r="K2473" s="15" t="s">
        <v>22</v>
      </c>
    </row>
    <row r="2474" spans="1:11" ht="42" customHeight="1">
      <c r="A2474" s="4" t="s">
        <v>5678</v>
      </c>
      <c r="B2474" s="5" t="s">
        <v>5679</v>
      </c>
      <c r="C2474" s="5" t="s">
        <v>17</v>
      </c>
      <c r="D2474" s="5" t="s">
        <v>18</v>
      </c>
      <c r="E2474" s="5" t="s">
        <v>209</v>
      </c>
      <c r="F2474" s="9">
        <v>95</v>
      </c>
      <c r="G2474" s="9">
        <v>1008</v>
      </c>
      <c r="H2474" s="5" t="s">
        <v>20</v>
      </c>
      <c r="I2474" s="5" t="s">
        <v>5680</v>
      </c>
      <c r="J2474" s="12" t="str">
        <f>HYPERLINK("https://www.boe.es/gazeta/dias/1806/11/21/pdfs/GMD-1806-95.pdf#page=16","Abrir facsímil")</f>
        <v>Abrir facsímil</v>
      </c>
      <c r="K2474" s="15" t="s">
        <v>22</v>
      </c>
    </row>
    <row r="2475" spans="1:11" ht="42" customHeight="1">
      <c r="A2475" s="4" t="s">
        <v>5681</v>
      </c>
      <c r="B2475" s="5" t="s">
        <v>5682</v>
      </c>
      <c r="C2475" s="5" t="s">
        <v>69</v>
      </c>
      <c r="D2475" s="5" t="s">
        <v>70</v>
      </c>
      <c r="E2475" s="5" t="s">
        <v>202</v>
      </c>
      <c r="F2475" s="9">
        <v>30</v>
      </c>
      <c r="G2475" s="9">
        <v>289</v>
      </c>
      <c r="H2475" s="5" t="s">
        <v>20</v>
      </c>
      <c r="I2475" s="5" t="s">
        <v>5683</v>
      </c>
      <c r="J2475" s="12" t="str">
        <f>HYPERLINK("https://www.boe.es/gazeta/dias/1806/04/08/pdfs/GMD-1806-30.pdf#page=1","Abrir facsímil")</f>
        <v>Abrir facsímil</v>
      </c>
      <c r="K2475" s="15" t="s">
        <v>22</v>
      </c>
    </row>
    <row r="2476" spans="1:11" ht="42" customHeight="1">
      <c r="A2476" s="4" t="s">
        <v>5681</v>
      </c>
      <c r="B2476" s="5" t="s">
        <v>5682</v>
      </c>
      <c r="C2476" s="5" t="s">
        <v>69</v>
      </c>
      <c r="D2476" s="5" t="s">
        <v>70</v>
      </c>
      <c r="E2476" s="5" t="s">
        <v>780</v>
      </c>
      <c r="F2476" s="9">
        <v>33</v>
      </c>
      <c r="G2476" s="9">
        <v>322</v>
      </c>
      <c r="H2476" s="5" t="s">
        <v>20</v>
      </c>
      <c r="I2476" s="5" t="s">
        <v>5684</v>
      </c>
      <c r="J2476" s="12" t="str">
        <f>HYPERLINK("https://www.boe.es/gazeta/dias/1806/04/18/pdfs/GMD-1806-33.pdf#page=2","Abrir facsímil")</f>
        <v>Abrir facsímil</v>
      </c>
      <c r="K2476" s="15" t="s">
        <v>22</v>
      </c>
    </row>
    <row r="2477" spans="1:11" ht="42" customHeight="1">
      <c r="A2477" s="4" t="s">
        <v>5685</v>
      </c>
      <c r="B2477" s="5" t="s">
        <v>5685</v>
      </c>
      <c r="C2477" s="5" t="s">
        <v>75</v>
      </c>
      <c r="D2477" s="5" t="s">
        <v>43</v>
      </c>
      <c r="E2477" s="5" t="s">
        <v>48</v>
      </c>
      <c r="F2477" s="9">
        <v>67</v>
      </c>
      <c r="G2477" s="9">
        <v>701</v>
      </c>
      <c r="H2477" s="5" t="s">
        <v>20</v>
      </c>
      <c r="I2477" s="5" t="s">
        <v>5686</v>
      </c>
      <c r="J2477" s="12" t="str">
        <f>HYPERLINK("https://www.boe.es/gazeta/dias/1806/08/15/pdfs/GMD-1806-67.pdf#page=9","Abrir facsímil")</f>
        <v>Abrir facsímil</v>
      </c>
      <c r="K2477" s="15" t="s">
        <v>22</v>
      </c>
    </row>
    <row r="2478" spans="1:11" ht="42" customHeight="1">
      <c r="A2478" s="4" t="s">
        <v>5687</v>
      </c>
      <c r="B2478" s="5" t="s">
        <v>5688</v>
      </c>
      <c r="C2478" s="5" t="s">
        <v>42</v>
      </c>
      <c r="D2478" s="5" t="s">
        <v>43</v>
      </c>
      <c r="E2478" s="5" t="s">
        <v>279</v>
      </c>
      <c r="F2478" s="9">
        <v>52</v>
      </c>
      <c r="G2478" s="9">
        <v>540</v>
      </c>
      <c r="H2478" s="5" t="s">
        <v>20</v>
      </c>
      <c r="I2478" s="5" t="s">
        <v>5689</v>
      </c>
      <c r="J2478" s="12" t="str">
        <f>HYPERLINK("https://www.boe.es/gazeta/dias/1806/06/24/pdfs/GMD-1806-52.pdf#page=8","Abrir facsímil")</f>
        <v>Abrir facsímil</v>
      </c>
      <c r="K2478" s="15" t="s">
        <v>22</v>
      </c>
    </row>
    <row r="2479" spans="1:11" ht="42" customHeight="1">
      <c r="A2479" s="4" t="s">
        <v>5690</v>
      </c>
      <c r="B2479" s="5" t="s">
        <v>5691</v>
      </c>
      <c r="C2479" s="5" t="s">
        <v>36</v>
      </c>
      <c r="D2479" s="5" t="s">
        <v>37</v>
      </c>
      <c r="E2479" s="5" t="s">
        <v>501</v>
      </c>
      <c r="F2479" s="9">
        <v>39</v>
      </c>
      <c r="G2479" s="9">
        <v>387</v>
      </c>
      <c r="H2479" s="5" t="s">
        <v>20</v>
      </c>
      <c r="I2479" s="5" t="s">
        <v>5692</v>
      </c>
      <c r="J2479" s="12" t="str">
        <f>HYPERLINK("https://www.boe.es/gazeta/dias/1806/05/09/pdfs/GMD-1806-39.pdf#page=11","Abrir facsímil")</f>
        <v>Abrir facsímil</v>
      </c>
      <c r="K2479" s="15" t="s">
        <v>22</v>
      </c>
    </row>
    <row r="2480" spans="1:11" ht="42" customHeight="1">
      <c r="A2480" s="4" t="s">
        <v>5693</v>
      </c>
      <c r="B2480" s="5" t="s">
        <v>5694</v>
      </c>
      <c r="C2480" s="5" t="s">
        <v>17</v>
      </c>
      <c r="D2480" s="5" t="s">
        <v>18</v>
      </c>
      <c r="E2480" s="5" t="s">
        <v>96</v>
      </c>
      <c r="F2480" s="9">
        <v>62</v>
      </c>
      <c r="G2480" s="9">
        <v>649</v>
      </c>
      <c r="H2480" s="5" t="s">
        <v>20</v>
      </c>
      <c r="I2480" s="5" t="s">
        <v>5695</v>
      </c>
      <c r="J2480" s="12" t="str">
        <f>HYPERLINK("https://www.boe.es/gazeta/dias/1806/07/29/pdfs/GMD-1806-62.pdf#page=9","Abrir facsímil")</f>
        <v>Abrir facsímil</v>
      </c>
      <c r="K2480" s="15" t="s">
        <v>22</v>
      </c>
    </row>
    <row r="2481" spans="1:11" ht="42" customHeight="1">
      <c r="A2481" s="4" t="s">
        <v>5696</v>
      </c>
      <c r="B2481" s="5" t="s">
        <v>5697</v>
      </c>
      <c r="C2481" s="5" t="s">
        <v>31</v>
      </c>
      <c r="D2481" s="5" t="s">
        <v>32</v>
      </c>
      <c r="E2481" s="5" t="s">
        <v>309</v>
      </c>
      <c r="F2481" s="9">
        <v>41</v>
      </c>
      <c r="G2481" s="9">
        <v>407</v>
      </c>
      <c r="H2481" s="5" t="s">
        <v>20</v>
      </c>
      <c r="I2481" s="5" t="s">
        <v>5698</v>
      </c>
      <c r="J2481" s="12" t="str">
        <f>HYPERLINK("https://www.boe.es/gazeta/dias/1806/05/16/pdfs/GMD-1806-41.pdf#page=7","Abrir facsímil")</f>
        <v>Abrir facsímil</v>
      </c>
      <c r="K2481" s="15" t="s">
        <v>22</v>
      </c>
    </row>
    <row r="2482" spans="1:11" ht="42" customHeight="1">
      <c r="A2482" s="4" t="s">
        <v>5699</v>
      </c>
      <c r="B2482" s="5" t="s">
        <v>5700</v>
      </c>
      <c r="C2482" s="5" t="s">
        <v>31</v>
      </c>
      <c r="D2482" s="5" t="s">
        <v>32</v>
      </c>
      <c r="E2482" s="5" t="s">
        <v>202</v>
      </c>
      <c r="F2482" s="9">
        <v>30</v>
      </c>
      <c r="G2482" s="9">
        <v>295</v>
      </c>
      <c r="H2482" s="5" t="s">
        <v>20</v>
      </c>
      <c r="I2482" s="5" t="s">
        <v>5701</v>
      </c>
      <c r="J2482" s="12" t="str">
        <f>HYPERLINK("https://www.boe.es/gazeta/dias/1806/04/08/pdfs/GMD-1806-30.pdf#page=7","Abrir facsímil")</f>
        <v>Abrir facsímil</v>
      </c>
      <c r="K2482" s="15" t="s">
        <v>22</v>
      </c>
    </row>
    <row r="2483" spans="1:11" ht="42" customHeight="1">
      <c r="A2483" s="4" t="s">
        <v>5702</v>
      </c>
      <c r="B2483" s="5" t="s">
        <v>5703</v>
      </c>
      <c r="C2483" s="5" t="s">
        <v>75</v>
      </c>
      <c r="D2483" s="5" t="s">
        <v>43</v>
      </c>
      <c r="E2483" s="5" t="s">
        <v>297</v>
      </c>
      <c r="F2483" s="9">
        <v>94</v>
      </c>
      <c r="G2483" s="9">
        <v>991</v>
      </c>
      <c r="H2483" s="5" t="s">
        <v>20</v>
      </c>
      <c r="I2483" s="5" t="s">
        <v>5704</v>
      </c>
      <c r="J2483" s="12" t="str">
        <f>HYPERLINK("https://www.boe.es/gazeta/dias/1806/11/18/pdfs/GMD-1806-94.pdf#page=11","Abrir facsímil")</f>
        <v>Abrir facsímil</v>
      </c>
      <c r="K2483" s="15" t="s">
        <v>22</v>
      </c>
    </row>
    <row r="2484" spans="1:11" ht="42" customHeight="1">
      <c r="A2484" s="4" t="s">
        <v>5705</v>
      </c>
      <c r="B2484" s="5" t="s">
        <v>5706</v>
      </c>
      <c r="C2484" s="5" t="s">
        <v>31</v>
      </c>
      <c r="D2484" s="5" t="s">
        <v>32</v>
      </c>
      <c r="E2484" s="5" t="s">
        <v>554</v>
      </c>
      <c r="F2484" s="9">
        <v>90</v>
      </c>
      <c r="G2484" s="9">
        <v>933</v>
      </c>
      <c r="H2484" s="5" t="s">
        <v>20</v>
      </c>
      <c r="I2484" s="5" t="s">
        <v>5707</v>
      </c>
      <c r="J2484" s="12" t="str">
        <f>HYPERLINK("https://www.boe.es/gazeta/dias/1806/11/04/pdfs/GMD-1806-90.pdf#page=9","Abrir facsímil")</f>
        <v>Abrir facsímil</v>
      </c>
      <c r="K2484" s="15" t="s">
        <v>22</v>
      </c>
    </row>
    <row r="2485" spans="1:11" ht="42" customHeight="1">
      <c r="A2485" s="4" t="s">
        <v>5708</v>
      </c>
      <c r="B2485" s="5" t="s">
        <v>5709</v>
      </c>
      <c r="C2485" s="5" t="s">
        <v>31</v>
      </c>
      <c r="D2485" s="5" t="s">
        <v>32</v>
      </c>
      <c r="E2485" s="5" t="s">
        <v>79</v>
      </c>
      <c r="F2485" s="9">
        <v>68</v>
      </c>
      <c r="G2485" s="9">
        <v>709</v>
      </c>
      <c r="H2485" s="5" t="s">
        <v>20</v>
      </c>
      <c r="I2485" s="5" t="s">
        <v>5710</v>
      </c>
      <c r="J2485" s="12" t="str">
        <f>HYPERLINK("https://www.boe.es/gazeta/dias/1806/08/19/pdfs/GMD-1806-68.pdf#page=5","Abrir facsímil")</f>
        <v>Abrir facsímil</v>
      </c>
      <c r="K2485" s="15" t="s">
        <v>22</v>
      </c>
    </row>
    <row r="2486" spans="1:11" ht="42" customHeight="1">
      <c r="A2486" s="4" t="s">
        <v>5711</v>
      </c>
      <c r="B2486" s="5" t="s">
        <v>5712</v>
      </c>
      <c r="C2486" s="5" t="s">
        <v>42</v>
      </c>
      <c r="D2486" s="5" t="s">
        <v>43</v>
      </c>
      <c r="E2486" s="5" t="s">
        <v>290</v>
      </c>
      <c r="F2486" s="9">
        <v>1</v>
      </c>
      <c r="G2486" s="9">
        <v>9</v>
      </c>
      <c r="H2486" s="5" t="s">
        <v>20</v>
      </c>
      <c r="I2486" s="5" t="s">
        <v>5713</v>
      </c>
      <c r="J2486" s="12" t="str">
        <f>HYPERLINK("https://www.boe.es/gazeta/dias/1806/01/03/pdfs/GMD-1806-1.pdf#page=9","Abrir facsímil")</f>
        <v>Abrir facsímil</v>
      </c>
      <c r="K2486" s="15" t="s">
        <v>22</v>
      </c>
    </row>
    <row r="2487" spans="1:11" ht="42" customHeight="1">
      <c r="A2487" s="4" t="s">
        <v>5714</v>
      </c>
      <c r="B2487" s="5" t="s">
        <v>5715</v>
      </c>
      <c r="C2487" s="5" t="s">
        <v>42</v>
      </c>
      <c r="D2487" s="5" t="s">
        <v>43</v>
      </c>
      <c r="E2487" s="5" t="s">
        <v>279</v>
      </c>
      <c r="F2487" s="9">
        <v>52</v>
      </c>
      <c r="G2487" s="9">
        <v>540</v>
      </c>
      <c r="H2487" s="5" t="s">
        <v>20</v>
      </c>
      <c r="I2487" s="5" t="s">
        <v>5716</v>
      </c>
      <c r="J2487" s="12" t="str">
        <f>HYPERLINK("https://www.boe.es/gazeta/dias/1806/06/24/pdfs/GMD-1806-52.pdf#page=8","Abrir facsímil")</f>
        <v>Abrir facsímil</v>
      </c>
      <c r="K2487" s="15" t="s">
        <v>22</v>
      </c>
    </row>
    <row r="2488" spans="1:11" ht="42" customHeight="1">
      <c r="A2488" s="4" t="s">
        <v>5717</v>
      </c>
      <c r="B2488" s="5" t="s">
        <v>5718</v>
      </c>
      <c r="C2488" s="5" t="s">
        <v>42</v>
      </c>
      <c r="D2488" s="5" t="s">
        <v>43</v>
      </c>
      <c r="E2488" s="5" t="s">
        <v>570</v>
      </c>
      <c r="F2488" s="9">
        <v>93</v>
      </c>
      <c r="G2488" s="9">
        <v>978</v>
      </c>
      <c r="H2488" s="5" t="s">
        <v>20</v>
      </c>
      <c r="I2488" s="5" t="s">
        <v>5719</v>
      </c>
      <c r="J2488" s="12" t="str">
        <f>HYPERLINK("https://www.boe.es/gazeta/dias/1806/11/14/pdfs/GMD-1806-93.pdf#page=14","Abrir facsímil")</f>
        <v>Abrir facsímil</v>
      </c>
      <c r="K2488" s="15" t="s">
        <v>22</v>
      </c>
    </row>
    <row r="2489" spans="1:11" ht="42" customHeight="1">
      <c r="A2489" s="4" t="s">
        <v>5720</v>
      </c>
      <c r="B2489" s="5" t="s">
        <v>5721</v>
      </c>
      <c r="C2489" s="5" t="s">
        <v>42</v>
      </c>
      <c r="D2489" s="5" t="s">
        <v>43</v>
      </c>
      <c r="E2489" s="5" t="s">
        <v>483</v>
      </c>
      <c r="F2489" s="9">
        <v>58</v>
      </c>
      <c r="G2489" s="9">
        <v>602</v>
      </c>
      <c r="H2489" s="5" t="s">
        <v>20</v>
      </c>
      <c r="I2489" s="5" t="s">
        <v>5722</v>
      </c>
      <c r="J2489" s="12" t="str">
        <f>HYPERLINK("https://www.boe.es/gazeta/dias/1806/07/15/pdfs/GMD-1806-58.pdf#page=6","Abrir facsímil")</f>
        <v>Abrir facsímil</v>
      </c>
      <c r="K2489" s="15" t="s">
        <v>22</v>
      </c>
    </row>
    <row r="2490" spans="1:11" ht="42" customHeight="1">
      <c r="A2490" s="4" t="s">
        <v>5723</v>
      </c>
      <c r="B2490" s="5" t="s">
        <v>5724</v>
      </c>
      <c r="C2490" s="5" t="s">
        <v>31</v>
      </c>
      <c r="D2490" s="5" t="s">
        <v>32</v>
      </c>
      <c r="E2490" s="5" t="s">
        <v>62</v>
      </c>
      <c r="F2490" s="9">
        <v>45</v>
      </c>
      <c r="G2490" s="9">
        <v>459</v>
      </c>
      <c r="H2490" s="5" t="s">
        <v>20</v>
      </c>
      <c r="I2490" s="5" t="s">
        <v>5725</v>
      </c>
      <c r="J2490" s="12" t="str">
        <f>HYPERLINK("https://www.boe.es/gazeta/dias/1806/05/30/pdfs/GMD-1806-45.pdf#page=11","Abrir facsímil")</f>
        <v>Abrir facsímil</v>
      </c>
      <c r="K2490" s="15" t="s">
        <v>22</v>
      </c>
    </row>
    <row r="2491" spans="1:11" ht="42" customHeight="1">
      <c r="A2491" s="4" t="s">
        <v>5726</v>
      </c>
      <c r="B2491" s="5" t="s">
        <v>5727</v>
      </c>
      <c r="C2491" s="5" t="s">
        <v>31</v>
      </c>
      <c r="D2491" s="5" t="s">
        <v>32</v>
      </c>
      <c r="E2491" s="5" t="s">
        <v>285</v>
      </c>
      <c r="F2491" s="9">
        <v>13</v>
      </c>
      <c r="G2491" s="9">
        <v>114</v>
      </c>
      <c r="H2491" s="5" t="s">
        <v>20</v>
      </c>
      <c r="I2491" s="5" t="s">
        <v>5728</v>
      </c>
      <c r="J2491" s="12" t="str">
        <f>HYPERLINK("https://www.boe.es/gazeta/dias/1806/02/07/pdfs/GMD-1806-13.pdf#page=6","Abrir facsímil")</f>
        <v>Abrir facsímil</v>
      </c>
      <c r="K2491" s="15" t="s">
        <v>22</v>
      </c>
    </row>
    <row r="2492" spans="1:11" ht="42" customHeight="1">
      <c r="A2492" s="4" t="s">
        <v>5729</v>
      </c>
      <c r="B2492" s="5" t="s">
        <v>5730</v>
      </c>
      <c r="C2492" s="5" t="s">
        <v>31</v>
      </c>
      <c r="D2492" s="5" t="s">
        <v>32</v>
      </c>
      <c r="E2492" s="5" t="s">
        <v>51</v>
      </c>
      <c r="F2492" s="9">
        <v>44</v>
      </c>
      <c r="G2492" s="9">
        <v>448</v>
      </c>
      <c r="H2492" s="5" t="s">
        <v>20</v>
      </c>
      <c r="I2492" s="5" t="s">
        <v>5731</v>
      </c>
      <c r="J2492" s="12" t="str">
        <f>HYPERLINK("https://www.boe.es/gazeta/dias/1806/05/27/pdfs/GMD-1806-44.pdf#page=12","Abrir facsímil")</f>
        <v>Abrir facsímil</v>
      </c>
      <c r="K2492" s="15" t="s">
        <v>22</v>
      </c>
    </row>
    <row r="2493" spans="1:11" ht="42" customHeight="1">
      <c r="A2493" s="4" t="s">
        <v>5732</v>
      </c>
      <c r="B2493" s="5" t="s">
        <v>5733</v>
      </c>
      <c r="C2493" s="5" t="s">
        <v>17</v>
      </c>
      <c r="D2493" s="5" t="s">
        <v>18</v>
      </c>
      <c r="E2493" s="5" t="s">
        <v>19</v>
      </c>
      <c r="F2493" s="9">
        <v>3</v>
      </c>
      <c r="G2493" s="9">
        <v>25</v>
      </c>
      <c r="H2493" s="5" t="s">
        <v>20</v>
      </c>
      <c r="I2493" s="5" t="s">
        <v>5734</v>
      </c>
      <c r="J2493" s="12" t="str">
        <f>HYPERLINK("https://www.boe.es/gazeta/dias/1806/01/10/pdfs/GMD-1806-3.pdf#page=5","Abrir facsímil")</f>
        <v>Abrir facsímil</v>
      </c>
      <c r="K2493" s="15" t="s">
        <v>22</v>
      </c>
    </row>
    <row r="2494" spans="1:11" ht="42" customHeight="1">
      <c r="A2494" s="4" t="s">
        <v>5735</v>
      </c>
      <c r="B2494" s="5" t="s">
        <v>5736</v>
      </c>
      <c r="C2494" s="5" t="s">
        <v>31</v>
      </c>
      <c r="D2494" s="5" t="s">
        <v>32</v>
      </c>
      <c r="E2494" s="5" t="s">
        <v>297</v>
      </c>
      <c r="F2494" s="9">
        <v>94</v>
      </c>
      <c r="G2494" s="9">
        <v>989</v>
      </c>
      <c r="H2494" s="5" t="s">
        <v>20</v>
      </c>
      <c r="I2494" s="5" t="s">
        <v>5737</v>
      </c>
      <c r="J2494" s="12" t="str">
        <f>HYPERLINK("https://www.boe.es/gazeta/dias/1806/11/18/pdfs/GMD-1806-94.pdf#page=9","Abrir facsímil")</f>
        <v>Abrir facsímil</v>
      </c>
      <c r="K2494" s="15" t="s">
        <v>22</v>
      </c>
    </row>
    <row r="2495" spans="1:11" ht="42" customHeight="1">
      <c r="A2495" s="4" t="s">
        <v>5738</v>
      </c>
      <c r="B2495" s="5" t="s">
        <v>5739</v>
      </c>
      <c r="C2495" s="5" t="s">
        <v>42</v>
      </c>
      <c r="D2495" s="5" t="s">
        <v>43</v>
      </c>
      <c r="E2495" s="5" t="s">
        <v>178</v>
      </c>
      <c r="F2495" s="9">
        <v>36</v>
      </c>
      <c r="G2495" s="9">
        <v>350</v>
      </c>
      <c r="H2495" s="5" t="s">
        <v>20</v>
      </c>
      <c r="I2495" s="5" t="s">
        <v>5740</v>
      </c>
      <c r="J2495" s="12" t="str">
        <f>HYPERLINK("https://www.boe.es/gazeta/dias/1806/04/29/pdfs/GMD-1806-36.pdf#page=6","Abrir facsímil")</f>
        <v>Abrir facsímil</v>
      </c>
      <c r="K2495" s="15" t="s">
        <v>22</v>
      </c>
    </row>
    <row r="2496" spans="1:11" ht="42" customHeight="1">
      <c r="A2496" s="4" t="s">
        <v>5741</v>
      </c>
      <c r="B2496" s="5" t="s">
        <v>5742</v>
      </c>
      <c r="C2496" s="5" t="s">
        <v>31</v>
      </c>
      <c r="D2496" s="5" t="s">
        <v>32</v>
      </c>
      <c r="E2496" s="5" t="s">
        <v>28</v>
      </c>
      <c r="F2496" s="9">
        <v>102</v>
      </c>
      <c r="G2496" s="9">
        <v>1084</v>
      </c>
      <c r="H2496" s="5" t="s">
        <v>20</v>
      </c>
      <c r="I2496" s="5" t="s">
        <v>5743</v>
      </c>
      <c r="J2496" s="12" t="str">
        <f>HYPERLINK("https://www.boe.es/gazeta/dias/1806/12/16/pdfs/GMD-1806-102.pdf#page=8","Abrir facsímil")</f>
        <v>Abrir facsímil</v>
      </c>
      <c r="K2496" s="15" t="s">
        <v>22</v>
      </c>
    </row>
    <row r="2497" spans="1:11" ht="42" customHeight="1">
      <c r="A2497" s="4" t="s">
        <v>5744</v>
      </c>
      <c r="B2497" s="5" t="s">
        <v>5745</v>
      </c>
      <c r="C2497" s="5" t="s">
        <v>31</v>
      </c>
      <c r="D2497" s="5" t="s">
        <v>32</v>
      </c>
      <c r="E2497" s="5" t="s">
        <v>285</v>
      </c>
      <c r="F2497" s="9">
        <v>13</v>
      </c>
      <c r="G2497" s="9">
        <v>114</v>
      </c>
      <c r="H2497" s="5" t="s">
        <v>20</v>
      </c>
      <c r="I2497" s="5" t="s">
        <v>5746</v>
      </c>
      <c r="J2497" s="12" t="str">
        <f>HYPERLINK("https://www.boe.es/gazeta/dias/1806/02/07/pdfs/GMD-1806-13.pdf#page=6","Abrir facsímil")</f>
        <v>Abrir facsímil</v>
      </c>
      <c r="K2497" s="15" t="s">
        <v>22</v>
      </c>
    </row>
    <row r="2498" spans="1:11" ht="42" customHeight="1">
      <c r="A2498" s="4" t="s">
        <v>5744</v>
      </c>
      <c r="B2498" s="5" t="s">
        <v>5745</v>
      </c>
      <c r="C2498" s="5" t="s">
        <v>42</v>
      </c>
      <c r="D2498" s="5" t="s">
        <v>43</v>
      </c>
      <c r="E2498" s="5" t="s">
        <v>859</v>
      </c>
      <c r="F2498" s="9">
        <v>63</v>
      </c>
      <c r="G2498" s="9">
        <v>662</v>
      </c>
      <c r="H2498" s="5" t="s">
        <v>20</v>
      </c>
      <c r="I2498" s="5" t="s">
        <v>5747</v>
      </c>
      <c r="J2498" s="12" t="str">
        <f>HYPERLINK("https://www.boe.es/gazeta/dias/1806/08/01/pdfs/GMD-1806-63.pdf#page=10","Abrir facsímil")</f>
        <v>Abrir facsímil</v>
      </c>
      <c r="K2498" s="15" t="s">
        <v>22</v>
      </c>
    </row>
    <row r="2499" spans="1:11" ht="42" customHeight="1">
      <c r="A2499" s="4" t="s">
        <v>5748</v>
      </c>
      <c r="B2499" s="5" t="s">
        <v>5749</v>
      </c>
      <c r="C2499" s="5" t="s">
        <v>31</v>
      </c>
      <c r="D2499" s="5" t="s">
        <v>32</v>
      </c>
      <c r="E2499" s="5" t="s">
        <v>290</v>
      </c>
      <c r="F2499" s="9">
        <v>1</v>
      </c>
      <c r="G2499" s="9">
        <v>8</v>
      </c>
      <c r="H2499" s="5" t="s">
        <v>20</v>
      </c>
      <c r="I2499" s="5" t="s">
        <v>5750</v>
      </c>
      <c r="J2499" s="12" t="str">
        <f>HYPERLINK("https://www.boe.es/gazeta/dias/1806/01/03/pdfs/GMD-1806-1.pdf#page=8","Abrir facsímil")</f>
        <v>Abrir facsímil</v>
      </c>
      <c r="K2499" s="15" t="s">
        <v>22</v>
      </c>
    </row>
    <row r="2500" spans="1:11" ht="42" customHeight="1">
      <c r="A2500" s="4" t="s">
        <v>5751</v>
      </c>
      <c r="B2500" s="5" t="s">
        <v>5752</v>
      </c>
      <c r="C2500" s="5" t="s">
        <v>31</v>
      </c>
      <c r="D2500" s="5" t="s">
        <v>32</v>
      </c>
      <c r="E2500" s="5" t="s">
        <v>140</v>
      </c>
      <c r="F2500" s="9">
        <v>83</v>
      </c>
      <c r="G2500" s="9">
        <v>860</v>
      </c>
      <c r="H2500" s="5" t="s">
        <v>20</v>
      </c>
      <c r="I2500" s="5" t="s">
        <v>5753</v>
      </c>
      <c r="J2500" s="12" t="str">
        <f>HYPERLINK("https://www.boe.es/gazeta/dias/1806/10/10/pdfs/GMD-1806-83.pdf#page=8","Abrir facsímil")</f>
        <v>Abrir facsímil</v>
      </c>
      <c r="K2500" s="15" t="s">
        <v>22</v>
      </c>
    </row>
    <row r="2501" spans="1:11" ht="42" customHeight="1">
      <c r="A2501" s="4" t="s">
        <v>5754</v>
      </c>
      <c r="B2501" s="5" t="s">
        <v>5755</v>
      </c>
      <c r="C2501" s="5" t="s">
        <v>447</v>
      </c>
      <c r="D2501" s="5" t="s">
        <v>448</v>
      </c>
      <c r="E2501" s="5" t="s">
        <v>304</v>
      </c>
      <c r="F2501" s="9">
        <v>47</v>
      </c>
      <c r="G2501" s="9">
        <v>483</v>
      </c>
      <c r="H2501" s="5" t="s">
        <v>20</v>
      </c>
      <c r="I2501" s="5" t="s">
        <v>5756</v>
      </c>
      <c r="J2501" s="12" t="str">
        <f>HYPERLINK("https://www.boe.es/gazeta/dias/1806/06/06/pdfs/GMD-C-1806-47.pdf#page=3","Abrir facsímil")</f>
        <v>Abrir facsímil</v>
      </c>
      <c r="K2501" s="15" t="s">
        <v>22</v>
      </c>
    </row>
    <row r="2502" spans="1:11" ht="42" customHeight="1">
      <c r="A2502" s="4" t="s">
        <v>5757</v>
      </c>
      <c r="B2502" s="5" t="s">
        <v>5758</v>
      </c>
      <c r="C2502" s="5" t="s">
        <v>42</v>
      </c>
      <c r="D2502" s="5" t="s">
        <v>43</v>
      </c>
      <c r="E2502" s="5" t="s">
        <v>554</v>
      </c>
      <c r="F2502" s="9">
        <v>90</v>
      </c>
      <c r="G2502" s="9">
        <v>936</v>
      </c>
      <c r="H2502" s="5" t="s">
        <v>20</v>
      </c>
      <c r="I2502" s="5" t="s">
        <v>5759</v>
      </c>
      <c r="J2502" s="12" t="str">
        <f>HYPERLINK("https://www.boe.es/gazeta/dias/1806/11/04/pdfs/GMD-1806-90.pdf#page=12","Abrir facsímil")</f>
        <v>Abrir facsímil</v>
      </c>
      <c r="K2502" s="15" t="s">
        <v>22</v>
      </c>
    </row>
    <row r="2503" spans="1:11" ht="42" customHeight="1">
      <c r="A2503" s="4" t="s">
        <v>5760</v>
      </c>
      <c r="B2503" s="5" t="s">
        <v>5761</v>
      </c>
      <c r="C2503" s="5" t="s">
        <v>31</v>
      </c>
      <c r="D2503" s="5" t="s">
        <v>32</v>
      </c>
      <c r="E2503" s="5" t="s">
        <v>55</v>
      </c>
      <c r="F2503" s="9">
        <v>20</v>
      </c>
      <c r="G2503" s="9">
        <v>185</v>
      </c>
      <c r="H2503" s="5" t="s">
        <v>20</v>
      </c>
      <c r="I2503" s="5" t="s">
        <v>5762</v>
      </c>
      <c r="J2503" s="12" t="str">
        <f>HYPERLINK("https://www.boe.es/gazeta/dias/1806/03/04/pdfs/GMD-1806-20.pdf#page=9","Abrir facsímil")</f>
        <v>Abrir facsímil</v>
      </c>
      <c r="K2503" s="15" t="s">
        <v>22</v>
      </c>
    </row>
    <row r="2504" spans="1:11" ht="42" customHeight="1">
      <c r="A2504" s="4" t="s">
        <v>5763</v>
      </c>
      <c r="B2504" s="5" t="s">
        <v>5764</v>
      </c>
      <c r="C2504" s="5" t="s">
        <v>17</v>
      </c>
      <c r="D2504" s="5" t="s">
        <v>18</v>
      </c>
      <c r="E2504" s="5" t="s">
        <v>363</v>
      </c>
      <c r="F2504" s="9">
        <v>8</v>
      </c>
      <c r="G2504" s="9">
        <v>74</v>
      </c>
      <c r="H2504" s="5" t="s">
        <v>20</v>
      </c>
      <c r="I2504" s="5" t="s">
        <v>5765</v>
      </c>
      <c r="J2504" s="12" t="str">
        <f>HYPERLINK("https://www.boe.es/gazeta/dias/1806/01/24/pdfs/GMD-1806-8.pdf#page=6","Abrir facsímil")</f>
        <v>Abrir facsímil</v>
      </c>
      <c r="K2504" s="15" t="s">
        <v>22</v>
      </c>
    </row>
    <row r="2505" spans="1:11" ht="42" customHeight="1">
      <c r="A2505" s="4" t="s">
        <v>5766</v>
      </c>
      <c r="B2505" s="5" t="s">
        <v>5767</v>
      </c>
      <c r="C2505" s="5" t="s">
        <v>31</v>
      </c>
      <c r="D2505" s="5" t="s">
        <v>32</v>
      </c>
      <c r="E2505" s="5" t="s">
        <v>245</v>
      </c>
      <c r="F2505" s="9">
        <v>106</v>
      </c>
      <c r="G2505" s="9">
        <v>1117</v>
      </c>
      <c r="H2505" s="5" t="s">
        <v>20</v>
      </c>
      <c r="I2505" s="5" t="s">
        <v>5768</v>
      </c>
      <c r="J2505" s="12" t="str">
        <f>HYPERLINK("https://www.boe.es/gazeta/dias/1806/12/26/pdfs/GMD-1806-106.pdf#page=1","Abrir facsímil")</f>
        <v>Abrir facsímil</v>
      </c>
      <c r="K2505" s="15" t="s">
        <v>22</v>
      </c>
    </row>
    <row r="2506" spans="1:11" ht="42" customHeight="1">
      <c r="A2506" s="4" t="s">
        <v>5769</v>
      </c>
      <c r="B2506" s="5" t="s">
        <v>5770</v>
      </c>
      <c r="C2506" s="5" t="s">
        <v>31</v>
      </c>
      <c r="D2506" s="5" t="s">
        <v>32</v>
      </c>
      <c r="E2506" s="5" t="s">
        <v>140</v>
      </c>
      <c r="F2506" s="9">
        <v>83</v>
      </c>
      <c r="G2506" s="9">
        <v>860</v>
      </c>
      <c r="H2506" s="5" t="s">
        <v>20</v>
      </c>
      <c r="I2506" s="5" t="s">
        <v>5771</v>
      </c>
      <c r="J2506" s="12" t="str">
        <f>HYPERLINK("https://www.boe.es/gazeta/dias/1806/10/10/pdfs/GMD-1806-83.pdf#page=8","Abrir facsímil")</f>
        <v>Abrir facsímil</v>
      </c>
      <c r="K2506" s="15" t="s">
        <v>22</v>
      </c>
    </row>
    <row r="2507" spans="1:11" ht="42" customHeight="1">
      <c r="A2507" s="4" t="s">
        <v>5772</v>
      </c>
      <c r="B2507" s="5" t="s">
        <v>5773</v>
      </c>
      <c r="C2507" s="5" t="s">
        <v>31</v>
      </c>
      <c r="D2507" s="5" t="s">
        <v>32</v>
      </c>
      <c r="E2507" s="5" t="s">
        <v>434</v>
      </c>
      <c r="F2507" s="9">
        <v>74</v>
      </c>
      <c r="G2507" s="9">
        <v>768</v>
      </c>
      <c r="H2507" s="5" t="s">
        <v>20</v>
      </c>
      <c r="I2507" s="5" t="s">
        <v>5774</v>
      </c>
      <c r="J2507" s="12" t="str">
        <f>HYPERLINK("https://www.boe.es/gazeta/dias/1806/09/09/pdfs/GMD-1806-74.pdf#page=8","Abrir facsímil")</f>
        <v>Abrir facsímil</v>
      </c>
      <c r="K2507" s="15" t="s">
        <v>22</v>
      </c>
    </row>
    <row r="2508" spans="1:11" ht="42" customHeight="1">
      <c r="A2508" s="4" t="s">
        <v>5775</v>
      </c>
      <c r="B2508" s="5" t="s">
        <v>5776</v>
      </c>
      <c r="C2508" s="5" t="s">
        <v>17</v>
      </c>
      <c r="D2508" s="5" t="s">
        <v>18</v>
      </c>
      <c r="E2508" s="5" t="s">
        <v>580</v>
      </c>
      <c r="F2508" s="9">
        <v>23</v>
      </c>
      <c r="G2508" s="9">
        <v>219</v>
      </c>
      <c r="H2508" s="5" t="s">
        <v>20</v>
      </c>
      <c r="I2508" s="5" t="s">
        <v>5777</v>
      </c>
      <c r="J2508" s="12" t="str">
        <f>HYPERLINK("https://www.boe.es/gazeta/dias/1806/03/14/pdfs/GMD-1806-23.pdf#page=7","Abrir facsímil")</f>
        <v>Abrir facsímil</v>
      </c>
      <c r="K2508" s="15" t="s">
        <v>22</v>
      </c>
    </row>
    <row r="2509" spans="1:11" ht="42" customHeight="1">
      <c r="A2509" s="4" t="s">
        <v>5778</v>
      </c>
      <c r="B2509" s="5" t="s">
        <v>5779</v>
      </c>
      <c r="C2509" s="5" t="s">
        <v>17</v>
      </c>
      <c r="D2509" s="5" t="s">
        <v>18</v>
      </c>
      <c r="E2509" s="5" t="s">
        <v>220</v>
      </c>
      <c r="F2509" s="9">
        <v>24</v>
      </c>
      <c r="G2509" s="9">
        <v>232</v>
      </c>
      <c r="H2509" s="5" t="s">
        <v>20</v>
      </c>
      <c r="I2509" s="5" t="s">
        <v>5780</v>
      </c>
      <c r="J2509" s="12" t="str">
        <f>HYPERLINK("https://www.boe.es/gazeta/dias/1806/03/18/pdfs/GMD-1806-24.pdf#page=8","Abrir facsímil")</f>
        <v>Abrir facsímil</v>
      </c>
      <c r="K2509" s="15" t="s">
        <v>22</v>
      </c>
    </row>
    <row r="2510" spans="1:11" ht="42" customHeight="1">
      <c r="A2510" s="4" t="s">
        <v>5781</v>
      </c>
      <c r="B2510" s="5" t="s">
        <v>5782</v>
      </c>
      <c r="C2510" s="5" t="s">
        <v>36</v>
      </c>
      <c r="D2510" s="5" t="s">
        <v>37</v>
      </c>
      <c r="E2510" s="5" t="s">
        <v>26</v>
      </c>
      <c r="F2510" s="9">
        <v>65</v>
      </c>
      <c r="G2510" s="9">
        <v>681</v>
      </c>
      <c r="H2510" s="5" t="s">
        <v>20</v>
      </c>
      <c r="I2510" s="5" t="s">
        <v>5783</v>
      </c>
      <c r="J2510" s="12" t="str">
        <f>HYPERLINK("https://www.boe.es/gazeta/dias/1806/08/08/pdfs/GMD-1806-65.pdf#page=9","Abrir facsímil")</f>
        <v>Abrir facsímil</v>
      </c>
      <c r="K2510" s="15" t="s">
        <v>22</v>
      </c>
    </row>
    <row r="2511" spans="1:11" ht="42" customHeight="1">
      <c r="A2511" s="4" t="s">
        <v>5784</v>
      </c>
      <c r="B2511" s="5" t="s">
        <v>5785</v>
      </c>
      <c r="C2511" s="5" t="s">
        <v>31</v>
      </c>
      <c r="D2511" s="5" t="s">
        <v>32</v>
      </c>
      <c r="E2511" s="5" t="s">
        <v>213</v>
      </c>
      <c r="F2511" s="9">
        <v>73</v>
      </c>
      <c r="G2511" s="9">
        <v>758</v>
      </c>
      <c r="H2511" s="5" t="s">
        <v>20</v>
      </c>
      <c r="I2511" s="5" t="s">
        <v>5786</v>
      </c>
      <c r="J2511" s="12" t="str">
        <f>HYPERLINK("https://www.boe.es/gazeta/dias/1806/09/05/pdfs/GMD-1806-73.pdf#page=6","Abrir facsímil")</f>
        <v>Abrir facsímil</v>
      </c>
      <c r="K2511" s="15" t="s">
        <v>22</v>
      </c>
    </row>
    <row r="2512" spans="1:11" ht="42" customHeight="1">
      <c r="A2512" s="4" t="s">
        <v>5787</v>
      </c>
      <c r="B2512" s="5" t="s">
        <v>5788</v>
      </c>
      <c r="C2512" s="5" t="s">
        <v>31</v>
      </c>
      <c r="D2512" s="5" t="s">
        <v>32</v>
      </c>
      <c r="E2512" s="5" t="s">
        <v>304</v>
      </c>
      <c r="F2512" s="9">
        <v>47</v>
      </c>
      <c r="G2512" s="9">
        <v>478</v>
      </c>
      <c r="H2512" s="5" t="s">
        <v>20</v>
      </c>
      <c r="I2512" s="5" t="s">
        <v>5789</v>
      </c>
      <c r="J2512" s="12" t="str">
        <f>HYPERLINK("https://www.boe.es/gazeta/dias/1806/06/06/pdfs/GMD-1806-47.pdf#page=6","Abrir facsímil")</f>
        <v>Abrir facsímil</v>
      </c>
      <c r="K2512" s="15" t="s">
        <v>22</v>
      </c>
    </row>
    <row r="2513" spans="1:11" ht="42" customHeight="1">
      <c r="A2513" s="4" t="s">
        <v>5787</v>
      </c>
      <c r="B2513" s="5" t="s">
        <v>5788</v>
      </c>
      <c r="C2513" s="5" t="s">
        <v>75</v>
      </c>
      <c r="D2513" s="5" t="s">
        <v>43</v>
      </c>
      <c r="E2513" s="5" t="s">
        <v>540</v>
      </c>
      <c r="F2513" s="9">
        <v>51</v>
      </c>
      <c r="G2513" s="9">
        <v>530</v>
      </c>
      <c r="H2513" s="5" t="s">
        <v>20</v>
      </c>
      <c r="I2513" s="5" t="s">
        <v>5790</v>
      </c>
      <c r="J2513" s="12" t="str">
        <f>HYPERLINK("https://www.boe.es/gazeta/dias/1806/06/20/pdfs/GMD-1806-51.pdf#page=10","Abrir facsímil")</f>
        <v>Abrir facsímil</v>
      </c>
      <c r="K2513" s="15" t="s">
        <v>22</v>
      </c>
    </row>
    <row r="2514" spans="1:11" ht="42" customHeight="1">
      <c r="A2514" s="4" t="s">
        <v>5787</v>
      </c>
      <c r="B2514" s="5" t="s">
        <v>5788</v>
      </c>
      <c r="C2514" s="5" t="s">
        <v>31</v>
      </c>
      <c r="D2514" s="5" t="s">
        <v>32</v>
      </c>
      <c r="E2514" s="5" t="s">
        <v>110</v>
      </c>
      <c r="F2514" s="9">
        <v>55</v>
      </c>
      <c r="G2514" s="9">
        <v>574</v>
      </c>
      <c r="H2514" s="5" t="s">
        <v>20</v>
      </c>
      <c r="I2514" s="5" t="s">
        <v>5791</v>
      </c>
      <c r="J2514" s="12" t="str">
        <f>HYPERLINK("https://www.boe.es/gazeta/dias/1806/07/04/pdfs/GMD-1806-55.pdf#page=10","Abrir facsímil")</f>
        <v>Abrir facsímil</v>
      </c>
      <c r="K2514" s="15" t="s">
        <v>22</v>
      </c>
    </row>
    <row r="2515" spans="1:11" ht="42" customHeight="1">
      <c r="A2515" s="4" t="s">
        <v>5787</v>
      </c>
      <c r="B2515" s="5" t="s">
        <v>5788</v>
      </c>
      <c r="C2515" s="5" t="s">
        <v>36</v>
      </c>
      <c r="D2515" s="5" t="s">
        <v>37</v>
      </c>
      <c r="E2515" s="5" t="s">
        <v>434</v>
      </c>
      <c r="F2515" s="9">
        <v>74</v>
      </c>
      <c r="G2515" s="9">
        <v>768</v>
      </c>
      <c r="H2515" s="5" t="s">
        <v>20</v>
      </c>
      <c r="I2515" s="5" t="s">
        <v>5792</v>
      </c>
      <c r="J2515" s="12" t="str">
        <f>HYPERLINK("https://www.boe.es/gazeta/dias/1806/09/09/pdfs/GMD-1806-74.pdf#page=8","Abrir facsímil")</f>
        <v>Abrir facsímil</v>
      </c>
      <c r="K2515" s="15" t="s">
        <v>22</v>
      </c>
    </row>
    <row r="2516" spans="1:11" ht="42" customHeight="1">
      <c r="A2516" s="4" t="s">
        <v>5787</v>
      </c>
      <c r="B2516" s="5" t="s">
        <v>5788</v>
      </c>
      <c r="C2516" s="5" t="s">
        <v>31</v>
      </c>
      <c r="D2516" s="5" t="s">
        <v>32</v>
      </c>
      <c r="E2516" s="5" t="s">
        <v>144</v>
      </c>
      <c r="F2516" s="9">
        <v>79</v>
      </c>
      <c r="G2516" s="9">
        <v>819</v>
      </c>
      <c r="H2516" s="5" t="s">
        <v>20</v>
      </c>
      <c r="I2516" s="5" t="s">
        <v>5793</v>
      </c>
      <c r="J2516" s="12" t="str">
        <f>HYPERLINK("https://www.boe.es/gazeta/dias/1806/09/26/pdfs/GMD-1806-79.pdf#page=11","Abrir facsímil")</f>
        <v>Abrir facsímil</v>
      </c>
      <c r="K2516" s="15" t="s">
        <v>22</v>
      </c>
    </row>
    <row r="2517" spans="1:11" ht="42" customHeight="1">
      <c r="A2517" s="4" t="s">
        <v>5787</v>
      </c>
      <c r="B2517" s="5" t="s">
        <v>5788</v>
      </c>
      <c r="C2517" s="5" t="s">
        <v>75</v>
      </c>
      <c r="D2517" s="5" t="s">
        <v>43</v>
      </c>
      <c r="E2517" s="5" t="s">
        <v>816</v>
      </c>
      <c r="F2517" s="9">
        <v>86</v>
      </c>
      <c r="G2517" s="9">
        <v>892</v>
      </c>
      <c r="H2517" s="5" t="s">
        <v>20</v>
      </c>
      <c r="I2517" s="5" t="s">
        <v>5794</v>
      </c>
      <c r="J2517" s="12" t="str">
        <f>HYPERLINK("https://www.boe.es/gazeta/dias/1806/10/21/pdfs/GMD-1806-86.pdf#page=8","Abrir facsímil")</f>
        <v>Abrir facsímil</v>
      </c>
      <c r="K2517" s="15" t="s">
        <v>22</v>
      </c>
    </row>
    <row r="2518" spans="1:11" ht="42" customHeight="1">
      <c r="A2518" s="4" t="s">
        <v>5795</v>
      </c>
      <c r="B2518" s="5" t="s">
        <v>5796</v>
      </c>
      <c r="C2518" s="5" t="s">
        <v>31</v>
      </c>
      <c r="D2518" s="5" t="s">
        <v>32</v>
      </c>
      <c r="E2518" s="5" t="s">
        <v>716</v>
      </c>
      <c r="F2518" s="9">
        <v>56</v>
      </c>
      <c r="G2518" s="9">
        <v>587</v>
      </c>
      <c r="H2518" s="5" t="s">
        <v>20</v>
      </c>
      <c r="I2518" s="5" t="s">
        <v>5797</v>
      </c>
      <c r="J2518" s="12" t="str">
        <f>HYPERLINK("https://www.boe.es/gazeta/dias/1806/07/08/pdfs/GMD-1806-56.pdf#page=11","Abrir facsímil")</f>
        <v>Abrir facsímil</v>
      </c>
      <c r="K2518" s="15" t="s">
        <v>22</v>
      </c>
    </row>
    <row r="2519" spans="1:11" ht="42" customHeight="1">
      <c r="A2519" s="4" t="s">
        <v>5798</v>
      </c>
      <c r="B2519" s="5" t="s">
        <v>5799</v>
      </c>
      <c r="C2519" s="5" t="s">
        <v>17</v>
      </c>
      <c r="D2519" s="5" t="s">
        <v>18</v>
      </c>
      <c r="E2519" s="5" t="s">
        <v>227</v>
      </c>
      <c r="F2519" s="9">
        <v>27</v>
      </c>
      <c r="G2519" s="9">
        <v>269</v>
      </c>
      <c r="H2519" s="5" t="s">
        <v>20</v>
      </c>
      <c r="I2519" s="5" t="s">
        <v>5800</v>
      </c>
      <c r="J2519" s="12" t="str">
        <f>HYPERLINK("https://www.boe.es/gazeta/dias/1806/03/28/pdfs/GMD-1806-27.pdf#page=9","Abrir facsímil")</f>
        <v>Abrir facsímil</v>
      </c>
      <c r="K2519" s="15" t="s">
        <v>22</v>
      </c>
    </row>
    <row r="2520" spans="1:11" ht="42" customHeight="1">
      <c r="A2520" s="4" t="s">
        <v>5801</v>
      </c>
      <c r="B2520" s="5" t="s">
        <v>5802</v>
      </c>
      <c r="C2520" s="5" t="s">
        <v>75</v>
      </c>
      <c r="D2520" s="5" t="s">
        <v>43</v>
      </c>
      <c r="E2520" s="5" t="s">
        <v>62</v>
      </c>
      <c r="F2520" s="9">
        <v>45</v>
      </c>
      <c r="G2520" s="9">
        <v>458</v>
      </c>
      <c r="H2520" s="5" t="s">
        <v>20</v>
      </c>
      <c r="I2520" s="5" t="s">
        <v>5803</v>
      </c>
      <c r="J2520" s="12" t="str">
        <f>HYPERLINK("https://www.boe.es/gazeta/dias/1806/05/30/pdfs/GMD-1806-45.pdf#page=10","Abrir facsímil")</f>
        <v>Abrir facsímil</v>
      </c>
      <c r="K2520" s="15" t="s">
        <v>22</v>
      </c>
    </row>
    <row r="2521" spans="1:11" ht="42" customHeight="1">
      <c r="A2521" s="4" t="s">
        <v>5804</v>
      </c>
      <c r="B2521" s="5" t="s">
        <v>5805</v>
      </c>
      <c r="C2521" s="5" t="s">
        <v>36</v>
      </c>
      <c r="D2521" s="5" t="s">
        <v>37</v>
      </c>
      <c r="E2521" s="5" t="s">
        <v>86</v>
      </c>
      <c r="F2521" s="9">
        <v>53</v>
      </c>
      <c r="G2521" s="9">
        <v>556</v>
      </c>
      <c r="H2521" s="5" t="s">
        <v>20</v>
      </c>
      <c r="I2521" s="5" t="s">
        <v>5806</v>
      </c>
      <c r="J2521" s="12" t="str">
        <f>HYPERLINK("https://www.boe.es/gazeta/dias/1806/06/27/pdfs/GMD-1806-53.pdf#page=12","Abrir facsímil")</f>
        <v>Abrir facsímil</v>
      </c>
      <c r="K2521" s="15" t="s">
        <v>22</v>
      </c>
    </row>
    <row r="2522" spans="1:11" ht="42" customHeight="1">
      <c r="A2522" s="4" t="s">
        <v>5807</v>
      </c>
      <c r="B2522" s="5" t="s">
        <v>5808</v>
      </c>
      <c r="C2522" s="5" t="s">
        <v>31</v>
      </c>
      <c r="D2522" s="5" t="s">
        <v>32</v>
      </c>
      <c r="E2522" s="5" t="s">
        <v>434</v>
      </c>
      <c r="F2522" s="9">
        <v>74</v>
      </c>
      <c r="G2522" s="9">
        <v>766</v>
      </c>
      <c r="H2522" s="5" t="s">
        <v>20</v>
      </c>
      <c r="I2522" s="5" t="s">
        <v>5809</v>
      </c>
      <c r="J2522" s="12" t="str">
        <f>HYPERLINK("https://www.boe.es/gazeta/dias/1806/09/09/pdfs/GMD-1806-74.pdf#page=6","Abrir facsímil")</f>
        <v>Abrir facsímil</v>
      </c>
      <c r="K2522" s="15" t="s">
        <v>22</v>
      </c>
    </row>
    <row r="2523" spans="1:11" ht="42" customHeight="1">
      <c r="A2523" s="4" t="s">
        <v>5810</v>
      </c>
      <c r="B2523" s="5" t="s">
        <v>5811</v>
      </c>
      <c r="C2523" s="5" t="s">
        <v>75</v>
      </c>
      <c r="D2523" s="5" t="s">
        <v>43</v>
      </c>
      <c r="E2523" s="5" t="s">
        <v>870</v>
      </c>
      <c r="F2523" s="9">
        <v>35</v>
      </c>
      <c r="G2523" s="9">
        <v>343</v>
      </c>
      <c r="H2523" s="5" t="s">
        <v>20</v>
      </c>
      <c r="I2523" s="5" t="s">
        <v>5812</v>
      </c>
      <c r="J2523" s="12" t="str">
        <f>HYPERLINK("https://www.boe.es/gazeta/dias/1806/04/25/pdfs/GMD-1806-35.pdf#page=7","Abrir facsímil")</f>
        <v>Abrir facsímil</v>
      </c>
      <c r="K2523" s="15" t="s">
        <v>22</v>
      </c>
    </row>
    <row r="2524" spans="1:11" ht="42" customHeight="1">
      <c r="A2524" s="4" t="s">
        <v>5813</v>
      </c>
      <c r="B2524" s="5" t="s">
        <v>5814</v>
      </c>
      <c r="C2524" s="5" t="s">
        <v>75</v>
      </c>
      <c r="D2524" s="5" t="s">
        <v>43</v>
      </c>
      <c r="E2524" s="5" t="s">
        <v>689</v>
      </c>
      <c r="F2524" s="9">
        <v>37</v>
      </c>
      <c r="G2524" s="9">
        <v>362</v>
      </c>
      <c r="H2524" s="5" t="s">
        <v>20</v>
      </c>
      <c r="I2524" s="5" t="s">
        <v>5815</v>
      </c>
      <c r="J2524" s="12" t="str">
        <f>HYPERLINK("https://www.boe.es/gazeta/dias/1806/05/02/pdfs/GMD-1806-37.pdf#page=10","Abrir facsímil")</f>
        <v>Abrir facsímil</v>
      </c>
      <c r="K2524" s="15" t="s">
        <v>22</v>
      </c>
    </row>
    <row r="2525" spans="1:11" ht="42" customHeight="1">
      <c r="A2525" s="4" t="s">
        <v>5813</v>
      </c>
      <c r="B2525" s="5" t="s">
        <v>5814</v>
      </c>
      <c r="C2525" s="5" t="s">
        <v>75</v>
      </c>
      <c r="D2525" s="5" t="s">
        <v>43</v>
      </c>
      <c r="E2525" s="5" t="s">
        <v>175</v>
      </c>
      <c r="F2525" s="9">
        <v>40</v>
      </c>
      <c r="G2525" s="9">
        <v>398</v>
      </c>
      <c r="H2525" s="5" t="s">
        <v>20</v>
      </c>
      <c r="I2525" s="5" t="s">
        <v>5816</v>
      </c>
      <c r="J2525" s="12" t="str">
        <f>HYPERLINK("https://www.boe.es/gazeta/dias/1806/05/13/pdfs/GMD-1806-40.pdf#page=10","Abrir facsímil")</f>
        <v>Abrir facsímil</v>
      </c>
      <c r="K2525" s="15" t="s">
        <v>22</v>
      </c>
    </row>
    <row r="2526" spans="1:11" ht="42" customHeight="1">
      <c r="A2526" s="4" t="s">
        <v>5813</v>
      </c>
      <c r="B2526" s="5" t="s">
        <v>5814</v>
      </c>
      <c r="C2526" s="5" t="s">
        <v>75</v>
      </c>
      <c r="D2526" s="5" t="s">
        <v>43</v>
      </c>
      <c r="E2526" s="5" t="s">
        <v>44</v>
      </c>
      <c r="F2526" s="9">
        <v>42</v>
      </c>
      <c r="G2526" s="9">
        <v>422</v>
      </c>
      <c r="H2526" s="5" t="s">
        <v>20</v>
      </c>
      <c r="I2526" s="5" t="s">
        <v>5817</v>
      </c>
      <c r="J2526" s="12" t="str">
        <f>HYPERLINK("https://www.boe.es/gazeta/dias/1806/05/20/pdfs/GMD-1806-42.pdf#page=10","Abrir facsímil")</f>
        <v>Abrir facsímil</v>
      </c>
      <c r="K2526" s="15" t="s">
        <v>22</v>
      </c>
    </row>
    <row r="2527" spans="1:11" ht="42" customHeight="1">
      <c r="A2527" s="4" t="s">
        <v>5813</v>
      </c>
      <c r="B2527" s="5" t="s">
        <v>5814</v>
      </c>
      <c r="C2527" s="5" t="s">
        <v>75</v>
      </c>
      <c r="D2527" s="5" t="s">
        <v>43</v>
      </c>
      <c r="E2527" s="5" t="s">
        <v>90</v>
      </c>
      <c r="F2527" s="9">
        <v>60</v>
      </c>
      <c r="G2527" s="9">
        <v>626</v>
      </c>
      <c r="H2527" s="5" t="s">
        <v>20</v>
      </c>
      <c r="I2527" s="5" t="s">
        <v>5818</v>
      </c>
      <c r="J2527" s="12" t="str">
        <f>HYPERLINK("https://www.boe.es/gazeta/dias/1806/07/22/pdfs/GMD-1806-60.pdf#page=10","Abrir facsímil")</f>
        <v>Abrir facsímil</v>
      </c>
      <c r="K2527" s="15" t="s">
        <v>22</v>
      </c>
    </row>
    <row r="2528" spans="1:11" ht="42" customHeight="1">
      <c r="A2528" s="4" t="s">
        <v>5813</v>
      </c>
      <c r="B2528" s="5" t="s">
        <v>5814</v>
      </c>
      <c r="C2528" s="5" t="s">
        <v>31</v>
      </c>
      <c r="D2528" s="5" t="s">
        <v>32</v>
      </c>
      <c r="E2528" s="5" t="s">
        <v>93</v>
      </c>
      <c r="F2528" s="9">
        <v>72</v>
      </c>
      <c r="G2528" s="9">
        <v>750</v>
      </c>
      <c r="H2528" s="5" t="s">
        <v>20</v>
      </c>
      <c r="I2528" s="5" t="s">
        <v>5819</v>
      </c>
      <c r="J2528" s="12" t="str">
        <f>HYPERLINK("https://www.boe.es/gazeta/dias/1806/09/02/pdfs/GMD-1806-72.pdf#page=10","Abrir facsímil")</f>
        <v>Abrir facsímil</v>
      </c>
      <c r="K2528" s="15" t="s">
        <v>22</v>
      </c>
    </row>
    <row r="2529" spans="1:11" ht="42" customHeight="1">
      <c r="A2529" s="4" t="s">
        <v>5820</v>
      </c>
      <c r="B2529" s="5" t="s">
        <v>5821</v>
      </c>
      <c r="C2529" s="5" t="s">
        <v>75</v>
      </c>
      <c r="D2529" s="5" t="s">
        <v>43</v>
      </c>
      <c r="E2529" s="5" t="s">
        <v>100</v>
      </c>
      <c r="F2529" s="9">
        <v>7</v>
      </c>
      <c r="G2529" s="9">
        <v>67</v>
      </c>
      <c r="H2529" s="5" t="s">
        <v>20</v>
      </c>
      <c r="I2529" s="5" t="s">
        <v>5822</v>
      </c>
      <c r="J2529" s="12" t="str">
        <f>HYPERLINK("https://www.boe.es/gazeta/dias/1806/01/21/pdfs/GMD-1806-7.pdf#page=11","Abrir facsímil")</f>
        <v>Abrir facsímil</v>
      </c>
      <c r="K2529" s="15" t="s">
        <v>22</v>
      </c>
    </row>
    <row r="2530" spans="1:11" ht="42" customHeight="1">
      <c r="A2530" s="4" t="s">
        <v>5823</v>
      </c>
      <c r="B2530" s="5" t="s">
        <v>5824</v>
      </c>
      <c r="C2530" s="5" t="s">
        <v>31</v>
      </c>
      <c r="D2530" s="5" t="s">
        <v>32</v>
      </c>
      <c r="E2530" s="5" t="s">
        <v>238</v>
      </c>
      <c r="F2530" s="9">
        <v>18</v>
      </c>
      <c r="G2530" s="9">
        <v>161</v>
      </c>
      <c r="H2530" s="5" t="s">
        <v>20</v>
      </c>
      <c r="I2530" s="5" t="s">
        <v>5825</v>
      </c>
      <c r="J2530" s="12" t="str">
        <f>HYPERLINK("https://www.boe.es/gazeta/dias/1806/02/25/pdfs/GMD-1806-18.pdf#page=9","Abrir facsímil")</f>
        <v>Abrir facsímil</v>
      </c>
      <c r="K2530" s="15" t="s">
        <v>22</v>
      </c>
    </row>
    <row r="2531" spans="1:11" ht="42" customHeight="1">
      <c r="A2531" s="4" t="s">
        <v>5823</v>
      </c>
      <c r="B2531" s="5" t="s">
        <v>5824</v>
      </c>
      <c r="C2531" s="5" t="s">
        <v>31</v>
      </c>
      <c r="D2531" s="5" t="s">
        <v>32</v>
      </c>
      <c r="E2531" s="5" t="s">
        <v>113</v>
      </c>
      <c r="F2531" s="9">
        <v>28</v>
      </c>
      <c r="G2531" s="9">
        <v>279</v>
      </c>
      <c r="H2531" s="5" t="s">
        <v>20</v>
      </c>
      <c r="I2531" s="5" t="s">
        <v>5826</v>
      </c>
      <c r="J2531" s="12" t="str">
        <f>HYPERLINK("https://www.boe.es/gazeta/dias/1806/04/01/pdfs/GMD-1806-28.pdf#page=7","Abrir facsímil")</f>
        <v>Abrir facsímil</v>
      </c>
      <c r="K2531" s="15" t="s">
        <v>22</v>
      </c>
    </row>
    <row r="2532" spans="1:11" ht="42" customHeight="1">
      <c r="A2532" s="4" t="s">
        <v>5823</v>
      </c>
      <c r="B2532" s="5" t="s">
        <v>5824</v>
      </c>
      <c r="C2532" s="5" t="s">
        <v>31</v>
      </c>
      <c r="D2532" s="5" t="s">
        <v>32</v>
      </c>
      <c r="E2532" s="5" t="s">
        <v>306</v>
      </c>
      <c r="F2532" s="9">
        <v>59</v>
      </c>
      <c r="G2532" s="9">
        <v>615</v>
      </c>
      <c r="H2532" s="5" t="s">
        <v>20</v>
      </c>
      <c r="I2532" s="5" t="s">
        <v>5827</v>
      </c>
      <c r="J2532" s="12" t="str">
        <f>HYPERLINK("https://www.boe.es/gazeta/dias/1806/07/18/pdfs/GMD-1806-59.pdf#page=11","Abrir facsímil")</f>
        <v>Abrir facsímil</v>
      </c>
      <c r="K2532" s="15" t="s">
        <v>22</v>
      </c>
    </row>
    <row r="2533" spans="1:11" ht="42" customHeight="1">
      <c r="A2533" s="4" t="s">
        <v>5823</v>
      </c>
      <c r="B2533" s="5" t="s">
        <v>5824</v>
      </c>
      <c r="C2533" s="5" t="s">
        <v>31</v>
      </c>
      <c r="D2533" s="5" t="s">
        <v>32</v>
      </c>
      <c r="E2533" s="5" t="s">
        <v>348</v>
      </c>
      <c r="F2533" s="9">
        <v>88</v>
      </c>
      <c r="G2533" s="9">
        <v>911</v>
      </c>
      <c r="H2533" s="5" t="s">
        <v>20</v>
      </c>
      <c r="I2533" s="5" t="s">
        <v>5828</v>
      </c>
      <c r="J2533" s="12" t="str">
        <f>HYPERLINK("https://www.boe.es/gazeta/dias/1806/10/28/pdfs/GMD-1806-88.pdf#page=7","Abrir facsímil")</f>
        <v>Abrir facsímil</v>
      </c>
      <c r="K2533" s="15" t="s">
        <v>22</v>
      </c>
    </row>
    <row r="2534" spans="1:11" ht="42" customHeight="1">
      <c r="A2534" s="4" t="s">
        <v>5823</v>
      </c>
      <c r="B2534" s="5" t="s">
        <v>5824</v>
      </c>
      <c r="C2534" s="5" t="s">
        <v>75</v>
      </c>
      <c r="D2534" s="5" t="s">
        <v>43</v>
      </c>
      <c r="E2534" s="5" t="s">
        <v>570</v>
      </c>
      <c r="F2534" s="9">
        <v>93</v>
      </c>
      <c r="G2534" s="9">
        <v>979</v>
      </c>
      <c r="H2534" s="5" t="s">
        <v>20</v>
      </c>
      <c r="I2534" s="5" t="s">
        <v>5829</v>
      </c>
      <c r="J2534" s="12" t="str">
        <f>HYPERLINK("https://www.boe.es/gazeta/dias/1806/11/14/pdfs/GMD-1806-93.pdf#page=15","Abrir facsímil")</f>
        <v>Abrir facsímil</v>
      </c>
      <c r="K2534" s="15" t="s">
        <v>22</v>
      </c>
    </row>
    <row r="2535" spans="1:11" ht="42" customHeight="1">
      <c r="A2535" s="4" t="s">
        <v>5830</v>
      </c>
      <c r="B2535" s="5" t="s">
        <v>5831</v>
      </c>
      <c r="C2535" s="5" t="s">
        <v>31</v>
      </c>
      <c r="D2535" s="5" t="s">
        <v>32</v>
      </c>
      <c r="E2535" s="5" t="s">
        <v>911</v>
      </c>
      <c r="F2535" s="9">
        <v>64</v>
      </c>
      <c r="G2535" s="9">
        <v>670</v>
      </c>
      <c r="H2535" s="5" t="s">
        <v>20</v>
      </c>
      <c r="I2535" s="5" t="s">
        <v>5832</v>
      </c>
      <c r="J2535" s="12" t="str">
        <f>HYPERLINK("https://www.boe.es/gazeta/dias/1806/08/05/pdfs/GMD-1806-64.pdf#page=6","Abrir facsímil")</f>
        <v>Abrir facsímil</v>
      </c>
      <c r="K2535" s="15" t="s">
        <v>22</v>
      </c>
    </row>
    <row r="2536" spans="1:11" ht="42" customHeight="1">
      <c r="A2536" s="4" t="s">
        <v>5833</v>
      </c>
      <c r="B2536" s="5" t="s">
        <v>5834</v>
      </c>
      <c r="C2536" s="5" t="s">
        <v>31</v>
      </c>
      <c r="D2536" s="5" t="s">
        <v>32</v>
      </c>
      <c r="E2536" s="5" t="s">
        <v>140</v>
      </c>
      <c r="F2536" s="9">
        <v>83</v>
      </c>
      <c r="G2536" s="9">
        <v>860</v>
      </c>
      <c r="H2536" s="5" t="s">
        <v>20</v>
      </c>
      <c r="I2536" s="5" t="s">
        <v>5835</v>
      </c>
      <c r="J2536" s="12" t="str">
        <f>HYPERLINK("https://www.boe.es/gazeta/dias/1806/10/10/pdfs/GMD-1806-83.pdf#page=8","Abrir facsímil")</f>
        <v>Abrir facsímil</v>
      </c>
      <c r="K2536" s="15" t="s">
        <v>22</v>
      </c>
    </row>
    <row r="2537" spans="1:11" ht="42" customHeight="1">
      <c r="A2537" s="4" t="s">
        <v>5836</v>
      </c>
      <c r="B2537" s="5" t="s">
        <v>5837</v>
      </c>
      <c r="C2537" s="5" t="s">
        <v>31</v>
      </c>
      <c r="D2537" s="5" t="s">
        <v>32</v>
      </c>
      <c r="E2537" s="5" t="s">
        <v>474</v>
      </c>
      <c r="F2537" s="9">
        <v>10</v>
      </c>
      <c r="G2537" s="9">
        <v>91</v>
      </c>
      <c r="H2537" s="5" t="s">
        <v>20</v>
      </c>
      <c r="I2537" s="5" t="s">
        <v>5838</v>
      </c>
      <c r="J2537" s="12" t="str">
        <f>HYPERLINK("https://www.boe.es/gazeta/dias/1806/01/28/pdfs/GMD-1806-10.pdf#page=7","Abrir facsímil")</f>
        <v>Abrir facsímil</v>
      </c>
      <c r="K2537" s="15" t="s">
        <v>22</v>
      </c>
    </row>
    <row r="2538" spans="1:11" ht="42" customHeight="1">
      <c r="A2538" s="4" t="s">
        <v>5836</v>
      </c>
      <c r="B2538" s="5" t="s">
        <v>5837</v>
      </c>
      <c r="C2538" s="5" t="s">
        <v>31</v>
      </c>
      <c r="D2538" s="5" t="s">
        <v>32</v>
      </c>
      <c r="E2538" s="5" t="s">
        <v>161</v>
      </c>
      <c r="F2538" s="9">
        <v>11</v>
      </c>
      <c r="G2538" s="9">
        <v>99</v>
      </c>
      <c r="H2538" s="5" t="s">
        <v>20</v>
      </c>
      <c r="I2538" s="5" t="s">
        <v>5839</v>
      </c>
      <c r="J2538" s="12" t="str">
        <f>HYPERLINK("https://www.boe.es/gazeta/dias/1806/01/31/pdfs/GMD-1806-11.pdf#page=7","Abrir facsímil")</f>
        <v>Abrir facsímil</v>
      </c>
      <c r="K2538" s="15" t="s">
        <v>22</v>
      </c>
    </row>
    <row r="2539" spans="1:11" ht="42" customHeight="1">
      <c r="A2539" s="4" t="s">
        <v>5836</v>
      </c>
      <c r="B2539" s="5" t="s">
        <v>5837</v>
      </c>
      <c r="C2539" s="5" t="s">
        <v>75</v>
      </c>
      <c r="D2539" s="5" t="s">
        <v>43</v>
      </c>
      <c r="E2539" s="5" t="s">
        <v>55</v>
      </c>
      <c r="F2539" s="9">
        <v>20</v>
      </c>
      <c r="G2539" s="9">
        <v>186</v>
      </c>
      <c r="H2539" s="5" t="s">
        <v>20</v>
      </c>
      <c r="I2539" s="5" t="s">
        <v>5840</v>
      </c>
      <c r="J2539" s="12" t="str">
        <f>HYPERLINK("https://www.boe.es/gazeta/dias/1806/03/04/pdfs/GMD-1806-20.pdf#page=10","Abrir facsímil")</f>
        <v>Abrir facsímil</v>
      </c>
      <c r="K2539" s="15" t="s">
        <v>22</v>
      </c>
    </row>
    <row r="2540" spans="1:11" ht="42" customHeight="1">
      <c r="A2540" s="4" t="s">
        <v>5836</v>
      </c>
      <c r="B2540" s="5" t="s">
        <v>5837</v>
      </c>
      <c r="C2540" s="5" t="s">
        <v>31</v>
      </c>
      <c r="D2540" s="5" t="s">
        <v>32</v>
      </c>
      <c r="E2540" s="5" t="s">
        <v>870</v>
      </c>
      <c r="F2540" s="9">
        <v>35</v>
      </c>
      <c r="G2540" s="9">
        <v>344</v>
      </c>
      <c r="H2540" s="5" t="s">
        <v>20</v>
      </c>
      <c r="I2540" s="5" t="s">
        <v>5841</v>
      </c>
      <c r="J2540" s="12" t="str">
        <f>HYPERLINK("https://www.boe.es/gazeta/dias/1806/04/25/pdfs/GMD-1806-35.pdf#page=8","Abrir facsímil")</f>
        <v>Abrir facsímil</v>
      </c>
      <c r="K2540" s="15" t="s">
        <v>22</v>
      </c>
    </row>
    <row r="2541" spans="1:11" ht="42" customHeight="1">
      <c r="A2541" s="4" t="s">
        <v>5836</v>
      </c>
      <c r="B2541" s="5" t="s">
        <v>5837</v>
      </c>
      <c r="C2541" s="5" t="s">
        <v>31</v>
      </c>
      <c r="D2541" s="5" t="s">
        <v>32</v>
      </c>
      <c r="E2541" s="5" t="s">
        <v>501</v>
      </c>
      <c r="F2541" s="9">
        <v>39</v>
      </c>
      <c r="G2541" s="9">
        <v>386</v>
      </c>
      <c r="H2541" s="5" t="s">
        <v>20</v>
      </c>
      <c r="I2541" s="5" t="s">
        <v>5842</v>
      </c>
      <c r="J2541" s="12" t="str">
        <f>HYPERLINK("https://www.boe.es/gazeta/dias/1806/05/09/pdfs/GMD-1806-39.pdf#page=10","Abrir facsímil")</f>
        <v>Abrir facsímil</v>
      </c>
      <c r="K2541" s="15" t="s">
        <v>22</v>
      </c>
    </row>
    <row r="2542" spans="1:11" ht="42" customHeight="1">
      <c r="A2542" s="4" t="s">
        <v>5836</v>
      </c>
      <c r="B2542" s="5" t="s">
        <v>5837</v>
      </c>
      <c r="C2542" s="5" t="s">
        <v>36</v>
      </c>
      <c r="D2542" s="5" t="s">
        <v>37</v>
      </c>
      <c r="E2542" s="5" t="s">
        <v>51</v>
      </c>
      <c r="F2542" s="9">
        <v>44</v>
      </c>
      <c r="G2542" s="9">
        <v>446</v>
      </c>
      <c r="H2542" s="5" t="s">
        <v>20</v>
      </c>
      <c r="I2542" s="5" t="s">
        <v>5843</v>
      </c>
      <c r="J2542" s="12" t="str">
        <f>HYPERLINK("https://www.boe.es/gazeta/dias/1806/05/27/pdfs/GMD-1806-44.pdf#page=10","Abrir facsímil")</f>
        <v>Abrir facsímil</v>
      </c>
      <c r="K2542" s="15" t="s">
        <v>22</v>
      </c>
    </row>
    <row r="2543" spans="1:11" ht="42" customHeight="1">
      <c r="A2543" s="4" t="s">
        <v>5836</v>
      </c>
      <c r="B2543" s="5" t="s">
        <v>5837</v>
      </c>
      <c r="C2543" s="5" t="s">
        <v>75</v>
      </c>
      <c r="D2543" s="5" t="s">
        <v>43</v>
      </c>
      <c r="E2543" s="5" t="s">
        <v>1080</v>
      </c>
      <c r="F2543" s="9">
        <v>49</v>
      </c>
      <c r="G2543" s="9">
        <v>507</v>
      </c>
      <c r="H2543" s="5" t="s">
        <v>20</v>
      </c>
      <c r="I2543" s="5" t="s">
        <v>5844</v>
      </c>
      <c r="J2543" s="12" t="str">
        <f>HYPERLINK("https://www.boe.es/gazeta/dias/1806/06/13/pdfs/GMD-1806-49.pdf#page=7","Abrir facsímil")</f>
        <v>Abrir facsímil</v>
      </c>
      <c r="K2543" s="15" t="s">
        <v>22</v>
      </c>
    </row>
    <row r="2544" spans="1:11" ht="42" customHeight="1">
      <c r="A2544" s="4" t="s">
        <v>5836</v>
      </c>
      <c r="B2544" s="5" t="s">
        <v>5837</v>
      </c>
      <c r="C2544" s="5" t="s">
        <v>31</v>
      </c>
      <c r="D2544" s="5" t="s">
        <v>32</v>
      </c>
      <c r="E2544" s="5" t="s">
        <v>494</v>
      </c>
      <c r="F2544" s="9">
        <v>69</v>
      </c>
      <c r="G2544" s="9">
        <v>722</v>
      </c>
      <c r="H2544" s="5" t="s">
        <v>20</v>
      </c>
      <c r="I2544" s="5" t="s">
        <v>5845</v>
      </c>
      <c r="J2544" s="12" t="str">
        <f>HYPERLINK("https://www.boe.es/gazeta/dias/1806/08/22/pdfs/GMD-1806-69.pdf#page=10","Abrir facsímil")</f>
        <v>Abrir facsímil</v>
      </c>
      <c r="K2544" s="15" t="s">
        <v>22</v>
      </c>
    </row>
    <row r="2545" spans="1:11" ht="42" customHeight="1">
      <c r="A2545" s="4" t="s">
        <v>5836</v>
      </c>
      <c r="B2545" s="5" t="s">
        <v>5837</v>
      </c>
      <c r="C2545" s="5" t="s">
        <v>31</v>
      </c>
      <c r="D2545" s="5" t="s">
        <v>32</v>
      </c>
      <c r="E2545" s="5" t="s">
        <v>93</v>
      </c>
      <c r="F2545" s="9">
        <v>72</v>
      </c>
      <c r="G2545" s="9">
        <v>751</v>
      </c>
      <c r="H2545" s="5" t="s">
        <v>20</v>
      </c>
      <c r="I2545" s="5" t="s">
        <v>5846</v>
      </c>
      <c r="J2545" s="12" t="str">
        <f>HYPERLINK("https://www.boe.es/gazeta/dias/1806/09/02/pdfs/GMD-1806-72.pdf#page=11","Abrir facsímil")</f>
        <v>Abrir facsímil</v>
      </c>
      <c r="K2545" s="15" t="s">
        <v>22</v>
      </c>
    </row>
    <row r="2546" spans="1:11" ht="42" customHeight="1">
      <c r="A2546" s="4" t="s">
        <v>5847</v>
      </c>
      <c r="B2546" s="5" t="s">
        <v>5848</v>
      </c>
      <c r="C2546" s="5" t="s">
        <v>17</v>
      </c>
      <c r="D2546" s="5" t="s">
        <v>18</v>
      </c>
      <c r="E2546" s="5" t="s">
        <v>227</v>
      </c>
      <c r="F2546" s="9">
        <v>27</v>
      </c>
      <c r="G2546" s="9">
        <v>271</v>
      </c>
      <c r="H2546" s="5" t="s">
        <v>20</v>
      </c>
      <c r="I2546" s="5" t="s">
        <v>5849</v>
      </c>
      <c r="J2546" s="12" t="str">
        <f>HYPERLINK("https://www.boe.es/gazeta/dias/1806/03/28/pdfs/GMD-1806-27.pdf#page=11","Abrir facsímil")</f>
        <v>Abrir facsímil</v>
      </c>
      <c r="K2546" s="15" t="s">
        <v>22</v>
      </c>
    </row>
    <row r="2547" spans="1:11" ht="42" customHeight="1">
      <c r="A2547" s="4" t="s">
        <v>5847</v>
      </c>
      <c r="B2547" s="5" t="s">
        <v>5848</v>
      </c>
      <c r="C2547" s="5" t="s">
        <v>17</v>
      </c>
      <c r="D2547" s="5" t="s">
        <v>18</v>
      </c>
      <c r="E2547" s="5" t="s">
        <v>26</v>
      </c>
      <c r="F2547" s="9">
        <v>65</v>
      </c>
      <c r="G2547" s="9">
        <v>681</v>
      </c>
      <c r="H2547" s="5" t="s">
        <v>20</v>
      </c>
      <c r="I2547" s="5" t="s">
        <v>5850</v>
      </c>
      <c r="J2547" s="12" t="str">
        <f>HYPERLINK("https://www.boe.es/gazeta/dias/1806/08/08/pdfs/GMD-1806-65.pdf#page=9","Abrir facsímil")</f>
        <v>Abrir facsímil</v>
      </c>
      <c r="K2547" s="15" t="s">
        <v>22</v>
      </c>
    </row>
    <row r="2548" spans="1:11" ht="42" customHeight="1">
      <c r="A2548" s="4" t="s">
        <v>5847</v>
      </c>
      <c r="B2548" s="5" t="s">
        <v>5848</v>
      </c>
      <c r="C2548" s="5" t="s">
        <v>31</v>
      </c>
      <c r="D2548" s="5" t="s">
        <v>32</v>
      </c>
      <c r="E2548" s="5" t="s">
        <v>148</v>
      </c>
      <c r="F2548" s="9">
        <v>78</v>
      </c>
      <c r="G2548" s="9">
        <v>804</v>
      </c>
      <c r="H2548" s="5" t="s">
        <v>20</v>
      </c>
      <c r="I2548" s="5" t="s">
        <v>5851</v>
      </c>
      <c r="J2548" s="12" t="str">
        <f>HYPERLINK("https://www.boe.es/gazeta/dias/1806/09/23/pdfs/GMD-1806-78.pdf#page=8","Abrir facsímil")</f>
        <v>Abrir facsímil</v>
      </c>
      <c r="K2548" s="15" t="s">
        <v>22</v>
      </c>
    </row>
    <row r="2549" spans="1:11" ht="42" customHeight="1">
      <c r="A2549" s="4" t="s">
        <v>5847</v>
      </c>
      <c r="B2549" s="5" t="s">
        <v>5848</v>
      </c>
      <c r="C2549" s="5" t="s">
        <v>31</v>
      </c>
      <c r="D2549" s="5" t="s">
        <v>32</v>
      </c>
      <c r="E2549" s="5" t="s">
        <v>181</v>
      </c>
      <c r="F2549" s="9">
        <v>99</v>
      </c>
      <c r="G2549" s="9">
        <v>1053</v>
      </c>
      <c r="H2549" s="5" t="s">
        <v>20</v>
      </c>
      <c r="I2549" s="5" t="s">
        <v>5852</v>
      </c>
      <c r="J2549" s="12" t="str">
        <f>HYPERLINK("https://www.boe.es/gazeta/dias/1806/12/05/pdfs/GMD-1806-99.pdf#page=9","Abrir facsímil")</f>
        <v>Abrir facsímil</v>
      </c>
      <c r="K2549" s="15" t="s">
        <v>22</v>
      </c>
    </row>
    <row r="2550" spans="1:11" ht="42" customHeight="1">
      <c r="A2550" s="4" t="s">
        <v>5853</v>
      </c>
      <c r="B2550" s="5" t="s">
        <v>5854</v>
      </c>
      <c r="C2550" s="5" t="s">
        <v>31</v>
      </c>
      <c r="D2550" s="5" t="s">
        <v>32</v>
      </c>
      <c r="E2550" s="5" t="s">
        <v>405</v>
      </c>
      <c r="F2550" s="9">
        <v>80</v>
      </c>
      <c r="G2550" s="9">
        <v>830</v>
      </c>
      <c r="H2550" s="5" t="s">
        <v>20</v>
      </c>
      <c r="I2550" s="5" t="s">
        <v>5855</v>
      </c>
      <c r="J2550" s="12" t="str">
        <f>HYPERLINK("https://www.boe.es/gazeta/dias/1806/09/30/pdfs/GMD-1806-80.pdf#page=10","Abrir facsímil")</f>
        <v>Abrir facsímil</v>
      </c>
      <c r="K2550" s="15" t="s">
        <v>22</v>
      </c>
    </row>
    <row r="2551" spans="1:11" ht="42" customHeight="1">
      <c r="A2551" s="4" t="s">
        <v>5856</v>
      </c>
      <c r="B2551" s="5" t="s">
        <v>5857</v>
      </c>
      <c r="C2551" s="5" t="s">
        <v>31</v>
      </c>
      <c r="D2551" s="5" t="s">
        <v>32</v>
      </c>
      <c r="E2551" s="5" t="s">
        <v>103</v>
      </c>
      <c r="F2551" s="9">
        <v>61</v>
      </c>
      <c r="G2551" s="9">
        <v>638</v>
      </c>
      <c r="H2551" s="5" t="s">
        <v>20</v>
      </c>
      <c r="I2551" s="5" t="s">
        <v>5858</v>
      </c>
      <c r="J2551" s="12" t="str">
        <f>HYPERLINK("https://www.boe.es/gazeta/dias/1806/07/25/pdfs/GMD-1806-61.pdf#page=10","Abrir facsímil")</f>
        <v>Abrir facsímil</v>
      </c>
      <c r="K2551" s="15" t="s">
        <v>22</v>
      </c>
    </row>
    <row r="2552" spans="1:11" ht="42" customHeight="1">
      <c r="A2552" s="4" t="s">
        <v>5859</v>
      </c>
      <c r="B2552" s="5" t="s">
        <v>5860</v>
      </c>
      <c r="C2552" s="5" t="s">
        <v>31</v>
      </c>
      <c r="D2552" s="5" t="s">
        <v>32</v>
      </c>
      <c r="E2552" s="5" t="s">
        <v>1005</v>
      </c>
      <c r="F2552" s="9">
        <v>76</v>
      </c>
      <c r="G2552" s="9">
        <v>786</v>
      </c>
      <c r="H2552" s="5" t="s">
        <v>20</v>
      </c>
      <c r="I2552" s="5" t="s">
        <v>5861</v>
      </c>
      <c r="J2552" s="12" t="str">
        <f>HYPERLINK("https://www.boe.es/gazeta/dias/1806/09/16/pdfs/GMD-1806-76.pdf#page=6","Abrir facsímil")</f>
        <v>Abrir facsímil</v>
      </c>
      <c r="K2552" s="15" t="s">
        <v>22</v>
      </c>
    </row>
    <row r="2553" spans="1:11" ht="42" customHeight="1">
      <c r="A2553" s="4" t="s">
        <v>5862</v>
      </c>
      <c r="B2553" s="5" t="s">
        <v>5863</v>
      </c>
      <c r="C2553" s="5" t="s">
        <v>31</v>
      </c>
      <c r="D2553" s="5" t="s">
        <v>32</v>
      </c>
      <c r="E2553" s="5" t="s">
        <v>285</v>
      </c>
      <c r="F2553" s="9">
        <v>13</v>
      </c>
      <c r="G2553" s="9">
        <v>115</v>
      </c>
      <c r="H2553" s="5" t="s">
        <v>20</v>
      </c>
      <c r="I2553" s="5" t="s">
        <v>5864</v>
      </c>
      <c r="J2553" s="12" t="str">
        <f>HYPERLINK("https://www.boe.es/gazeta/dias/1806/02/07/pdfs/GMD-1806-13.pdf#page=7","Abrir facsímil")</f>
        <v>Abrir facsímil</v>
      </c>
      <c r="K2553" s="15" t="s">
        <v>22</v>
      </c>
    </row>
    <row r="2554" spans="1:11" ht="42" customHeight="1">
      <c r="A2554" s="4" t="s">
        <v>5865</v>
      </c>
      <c r="B2554" s="5" t="s">
        <v>5866</v>
      </c>
      <c r="C2554" s="5" t="s">
        <v>17</v>
      </c>
      <c r="D2554" s="5" t="s">
        <v>18</v>
      </c>
      <c r="E2554" s="5" t="s">
        <v>55</v>
      </c>
      <c r="F2554" s="9">
        <v>20</v>
      </c>
      <c r="G2554" s="9">
        <v>183</v>
      </c>
      <c r="H2554" s="5" t="s">
        <v>20</v>
      </c>
      <c r="I2554" s="5" t="s">
        <v>5867</v>
      </c>
      <c r="J2554" s="12" t="str">
        <f>HYPERLINK("https://www.boe.es/gazeta/dias/1806/03/04/pdfs/GMD-1806-20.pdf#page=7","Abrir facsímil")</f>
        <v>Abrir facsímil</v>
      </c>
      <c r="K2554" s="15" t="s">
        <v>22</v>
      </c>
    </row>
    <row r="2555" spans="1:11" ht="42" customHeight="1">
      <c r="A2555" s="4" t="s">
        <v>5865</v>
      </c>
      <c r="B2555" s="5" t="s">
        <v>5866</v>
      </c>
      <c r="C2555" s="5" t="s">
        <v>17</v>
      </c>
      <c r="D2555" s="5" t="s">
        <v>18</v>
      </c>
      <c r="E2555" s="5" t="s">
        <v>213</v>
      </c>
      <c r="F2555" s="9">
        <v>73</v>
      </c>
      <c r="G2555" s="9">
        <v>757</v>
      </c>
      <c r="H2555" s="5" t="s">
        <v>20</v>
      </c>
      <c r="I2555" s="5" t="s">
        <v>5868</v>
      </c>
      <c r="J2555" s="12" t="str">
        <f>HYPERLINK("https://www.boe.es/gazeta/dias/1806/09/05/pdfs/GMD-1806-73.pdf#page=5","Abrir facsímil")</f>
        <v>Abrir facsímil</v>
      </c>
      <c r="K2555" s="15" t="s">
        <v>22</v>
      </c>
    </row>
    <row r="2556" spans="1:11" ht="42" customHeight="1">
      <c r="A2556" s="4" t="s">
        <v>5869</v>
      </c>
      <c r="B2556" s="5" t="s">
        <v>5869</v>
      </c>
      <c r="C2556" s="5" t="s">
        <v>69</v>
      </c>
      <c r="D2556" s="5" t="s">
        <v>70</v>
      </c>
      <c r="E2556" s="5" t="s">
        <v>33</v>
      </c>
      <c r="F2556" s="9">
        <v>82</v>
      </c>
      <c r="G2556" s="9">
        <v>842</v>
      </c>
      <c r="H2556" s="5" t="s">
        <v>20</v>
      </c>
      <c r="I2556" s="5" t="s">
        <v>5870</v>
      </c>
      <c r="J2556" s="12" t="str">
        <f>HYPERLINK("https://www.boe.es/gazeta/dias/1806/10/07/pdfs/GMD-1806-82.pdf#page=2","Abrir facsímil")</f>
        <v>Abrir facsímil</v>
      </c>
      <c r="K2556" s="15" t="s">
        <v>22</v>
      </c>
    </row>
    <row r="2557" spans="1:11" ht="42" customHeight="1">
      <c r="A2557" s="4" t="s">
        <v>5871</v>
      </c>
      <c r="B2557" s="5" t="s">
        <v>5871</v>
      </c>
      <c r="C2557" s="5" t="s">
        <v>31</v>
      </c>
      <c r="D2557" s="5" t="s">
        <v>32</v>
      </c>
      <c r="E2557" s="5" t="s">
        <v>501</v>
      </c>
      <c r="F2557" s="9">
        <v>39</v>
      </c>
      <c r="G2557" s="9">
        <v>381</v>
      </c>
      <c r="H2557" s="5" t="s">
        <v>20</v>
      </c>
      <c r="I2557" s="5" t="s">
        <v>5872</v>
      </c>
      <c r="J2557" s="12" t="str">
        <f>HYPERLINK("https://www.boe.es/gazeta/dias/1806/05/09/pdfs/GMD-1806-39.pdf#page=5","Abrir facsímil")</f>
        <v>Abrir facsímil</v>
      </c>
      <c r="K2557" s="15" t="s">
        <v>22</v>
      </c>
    </row>
    <row r="2558" spans="1:11" ht="42" customHeight="1">
      <c r="A2558" s="4" t="s">
        <v>5873</v>
      </c>
      <c r="B2558" s="5" t="s">
        <v>5874</v>
      </c>
      <c r="C2558" s="5" t="s">
        <v>31</v>
      </c>
      <c r="D2558" s="5" t="s">
        <v>32</v>
      </c>
      <c r="E2558" s="5" t="s">
        <v>121</v>
      </c>
      <c r="F2558" s="9">
        <v>19</v>
      </c>
      <c r="G2558" s="9">
        <v>168</v>
      </c>
      <c r="H2558" s="5" t="s">
        <v>20</v>
      </c>
      <c r="I2558" s="5" t="s">
        <v>5875</v>
      </c>
      <c r="J2558" s="12" t="str">
        <f>HYPERLINK("https://www.boe.es/gazeta/dias/1806/02/28/pdfs/GMD-1806-19.pdf#page=4","Abrir facsímil")</f>
        <v>Abrir facsímil</v>
      </c>
      <c r="K2558" s="15" t="s">
        <v>22</v>
      </c>
    </row>
    <row r="2559" spans="1:11" ht="42" customHeight="1">
      <c r="A2559" s="4" t="s">
        <v>5873</v>
      </c>
      <c r="B2559" s="5" t="s">
        <v>5874</v>
      </c>
      <c r="C2559" s="5" t="s">
        <v>69</v>
      </c>
      <c r="D2559" s="5" t="s">
        <v>70</v>
      </c>
      <c r="E2559" s="5" t="s">
        <v>124</v>
      </c>
      <c r="F2559" s="9">
        <v>25</v>
      </c>
      <c r="G2559" s="9">
        <v>237</v>
      </c>
      <c r="H2559" s="5" t="s">
        <v>20</v>
      </c>
      <c r="I2559" s="5" t="s">
        <v>5876</v>
      </c>
      <c r="J2559" s="12" t="str">
        <f>HYPERLINK("https://www.boe.es/gazeta/dias/1806/03/21/pdfs/GMD-1806-25.pdf#page=1","Abrir facsímil")</f>
        <v>Abrir facsímil</v>
      </c>
      <c r="K2559" s="15" t="s">
        <v>22</v>
      </c>
    </row>
    <row r="2560" spans="1:11" ht="42" customHeight="1">
      <c r="A2560" s="4" t="s">
        <v>5873</v>
      </c>
      <c r="B2560" s="5" t="s">
        <v>5874</v>
      </c>
      <c r="C2560" s="5" t="s">
        <v>69</v>
      </c>
      <c r="D2560" s="5" t="s">
        <v>70</v>
      </c>
      <c r="E2560" s="5" t="s">
        <v>93</v>
      </c>
      <c r="F2560" s="9">
        <v>72</v>
      </c>
      <c r="G2560" s="9">
        <v>742</v>
      </c>
      <c r="H2560" s="5" t="s">
        <v>20</v>
      </c>
      <c r="I2560" s="5" t="s">
        <v>5877</v>
      </c>
      <c r="J2560" s="12" t="str">
        <f>HYPERLINK("https://www.boe.es/gazeta/dias/1806/09/02/pdfs/GMD-1806-72.pdf#page=2","Abrir facsímil")</f>
        <v>Abrir facsímil</v>
      </c>
      <c r="K2560" s="15" t="s">
        <v>22</v>
      </c>
    </row>
    <row r="2561" spans="1:11" ht="42" customHeight="1">
      <c r="A2561" s="4" t="s">
        <v>5873</v>
      </c>
      <c r="B2561" s="5" t="s">
        <v>5874</v>
      </c>
      <c r="C2561" s="5" t="s">
        <v>69</v>
      </c>
      <c r="D2561" s="5" t="s">
        <v>70</v>
      </c>
      <c r="E2561" s="5" t="s">
        <v>144</v>
      </c>
      <c r="F2561" s="9">
        <v>79</v>
      </c>
      <c r="G2561" s="9">
        <v>815</v>
      </c>
      <c r="H2561" s="5" t="s">
        <v>20</v>
      </c>
      <c r="I2561" s="5" t="s">
        <v>5878</v>
      </c>
      <c r="J2561" s="12" t="str">
        <f>HYPERLINK("https://www.boe.es/gazeta/dias/1806/09/26/pdfs/GMD-1806-79.pdf#page=7","Abrir facsímil")</f>
        <v>Abrir facsímil</v>
      </c>
      <c r="K2561" s="15" t="s">
        <v>22</v>
      </c>
    </row>
    <row r="2562" spans="1:11" ht="42" customHeight="1">
      <c r="A2562" s="4" t="s">
        <v>5879</v>
      </c>
      <c r="B2562" s="5" t="s">
        <v>5879</v>
      </c>
      <c r="C2562" s="5" t="s">
        <v>69</v>
      </c>
      <c r="D2562" s="5" t="s">
        <v>70</v>
      </c>
      <c r="E2562" s="5" t="s">
        <v>1005</v>
      </c>
      <c r="F2562" s="9">
        <v>76</v>
      </c>
      <c r="G2562" s="9">
        <v>785</v>
      </c>
      <c r="H2562" s="5" t="s">
        <v>20</v>
      </c>
      <c r="I2562" s="5" t="s">
        <v>5880</v>
      </c>
      <c r="J2562" s="12" t="str">
        <f>HYPERLINK("https://www.boe.es/gazeta/dias/1806/09/16/pdfs/GMD-1806-76.pdf#page=5","Abrir facsímil")</f>
        <v>Abrir facsímil</v>
      </c>
      <c r="K2562" s="15" t="s">
        <v>22</v>
      </c>
    </row>
    <row r="2563" spans="1:11" ht="42" customHeight="1">
      <c r="A2563" s="4" t="s">
        <v>5881</v>
      </c>
      <c r="B2563" s="5" t="s">
        <v>5882</v>
      </c>
      <c r="C2563" s="5" t="s">
        <v>31</v>
      </c>
      <c r="D2563" s="5" t="s">
        <v>32</v>
      </c>
      <c r="E2563" s="5" t="s">
        <v>209</v>
      </c>
      <c r="F2563" s="9">
        <v>95</v>
      </c>
      <c r="G2563" s="9">
        <v>1000</v>
      </c>
      <c r="H2563" s="5" t="s">
        <v>20</v>
      </c>
      <c r="I2563" s="5" t="s">
        <v>5883</v>
      </c>
      <c r="J2563" s="12" t="str">
        <f>HYPERLINK("https://www.boe.es/gazeta/dias/1806/11/21/pdfs/GMD-1806-95.pdf#page=8","Abrir facsímil")</f>
        <v>Abrir facsímil</v>
      </c>
      <c r="K2563" s="15" t="s">
        <v>22</v>
      </c>
    </row>
    <row r="2564" spans="1:11" ht="42" customHeight="1">
      <c r="A2564" s="4" t="s">
        <v>5884</v>
      </c>
      <c r="B2564" s="5" t="s">
        <v>5885</v>
      </c>
      <c r="C2564" s="5" t="s">
        <v>69</v>
      </c>
      <c r="D2564" s="5" t="s">
        <v>70</v>
      </c>
      <c r="E2564" s="5" t="s">
        <v>100</v>
      </c>
      <c r="F2564" s="9">
        <v>7</v>
      </c>
      <c r="G2564" s="9">
        <v>63</v>
      </c>
      <c r="H2564" s="5" t="s">
        <v>20</v>
      </c>
      <c r="I2564" s="5" t="s">
        <v>5886</v>
      </c>
      <c r="J2564" s="12" t="str">
        <f>HYPERLINK("https://www.boe.es/gazeta/dias/1806/01/21/pdfs/GMD-1806-7.pdf#page=7","Abrir facsímil")</f>
        <v>Abrir facsímil</v>
      </c>
      <c r="K2564" s="15" t="s">
        <v>22</v>
      </c>
    </row>
    <row r="2565" spans="1:11" ht="42" customHeight="1">
      <c r="A2565" s="4" t="s">
        <v>5887</v>
      </c>
      <c r="B2565" s="5" t="s">
        <v>5887</v>
      </c>
      <c r="C2565" s="5" t="s">
        <v>31</v>
      </c>
      <c r="D2565" s="5" t="s">
        <v>32</v>
      </c>
      <c r="E2565" s="5" t="s">
        <v>62</v>
      </c>
      <c r="F2565" s="9">
        <v>45</v>
      </c>
      <c r="G2565" s="9">
        <v>455</v>
      </c>
      <c r="H2565" s="5" t="s">
        <v>20</v>
      </c>
      <c r="I2565" s="5" t="s">
        <v>5888</v>
      </c>
      <c r="J2565" s="12" t="str">
        <f>HYPERLINK("https://www.boe.es/gazeta/dias/1806/05/30/pdfs/GMD-1806-45.pdf#page=7","Abrir facsímil")</f>
        <v>Abrir facsímil</v>
      </c>
      <c r="K2565" s="15" t="s">
        <v>22</v>
      </c>
    </row>
    <row r="2566" spans="1:11" ht="42" customHeight="1">
      <c r="A2566" s="4" t="s">
        <v>5887</v>
      </c>
      <c r="B2566" s="5" t="s">
        <v>5887</v>
      </c>
      <c r="C2566" s="5" t="s">
        <v>31</v>
      </c>
      <c r="D2566" s="5" t="s">
        <v>32</v>
      </c>
      <c r="E2566" s="5" t="s">
        <v>62</v>
      </c>
      <c r="F2566" s="9">
        <v>45</v>
      </c>
      <c r="G2566" s="9">
        <v>456</v>
      </c>
      <c r="H2566" s="5" t="s">
        <v>20</v>
      </c>
      <c r="I2566" s="5" t="s">
        <v>5889</v>
      </c>
      <c r="J2566" s="12" t="str">
        <f>HYPERLINK("https://www.boe.es/gazeta/dias/1806/05/30/pdfs/GMD-1806-45.pdf#page=8","Abrir facsímil")</f>
        <v>Abrir facsímil</v>
      </c>
      <c r="K2566" s="15" t="s">
        <v>22</v>
      </c>
    </row>
    <row r="2567" spans="1:11" ht="42" customHeight="1">
      <c r="A2567" s="4" t="s">
        <v>5890</v>
      </c>
      <c r="B2567" s="5" t="s">
        <v>5891</v>
      </c>
      <c r="C2567" s="5" t="s">
        <v>69</v>
      </c>
      <c r="D2567" s="5" t="s">
        <v>70</v>
      </c>
      <c r="E2567" s="5" t="s">
        <v>580</v>
      </c>
      <c r="F2567" s="9">
        <v>23</v>
      </c>
      <c r="G2567" s="9">
        <v>213</v>
      </c>
      <c r="H2567" s="5" t="s">
        <v>20</v>
      </c>
      <c r="I2567" s="5" t="s">
        <v>5892</v>
      </c>
      <c r="J2567" s="12" t="str">
        <f>HYPERLINK("https://www.boe.es/gazeta/dias/1806/03/14/pdfs/GMD-1806-23.pdf#page=1","Abrir facsímil")</f>
        <v>Abrir facsímil</v>
      </c>
      <c r="K2567" s="15" t="s">
        <v>22</v>
      </c>
    </row>
    <row r="2568" spans="1:11" ht="42" customHeight="1">
      <c r="A2568" s="4" t="s">
        <v>5893</v>
      </c>
      <c r="B2568" s="5" t="s">
        <v>5894</v>
      </c>
      <c r="C2568" s="5" t="s">
        <v>31</v>
      </c>
      <c r="D2568" s="5" t="s">
        <v>32</v>
      </c>
      <c r="E2568" s="5" t="s">
        <v>580</v>
      </c>
      <c r="F2568" s="9">
        <v>23</v>
      </c>
      <c r="G2568" s="9">
        <v>214</v>
      </c>
      <c r="H2568" s="5" t="s">
        <v>20</v>
      </c>
      <c r="I2568" s="5" t="s">
        <v>5895</v>
      </c>
      <c r="J2568" s="12" t="str">
        <f>HYPERLINK("https://www.boe.es/gazeta/dias/1806/03/14/pdfs/GMD-1806-23.pdf#page=2","Abrir facsímil")</f>
        <v>Abrir facsímil</v>
      </c>
      <c r="K2568" s="15" t="s">
        <v>22</v>
      </c>
    </row>
    <row r="2569" spans="1:11" ht="42" customHeight="1">
      <c r="A2569" s="4" t="s">
        <v>5896</v>
      </c>
      <c r="B2569" s="5" t="s">
        <v>5897</v>
      </c>
      <c r="C2569" s="5" t="s">
        <v>69</v>
      </c>
      <c r="D2569" s="5" t="s">
        <v>70</v>
      </c>
      <c r="E2569" s="5" t="s">
        <v>256</v>
      </c>
      <c r="F2569" s="9">
        <v>9</v>
      </c>
      <c r="G2569" s="9">
        <v>77</v>
      </c>
      <c r="H2569" s="5" t="s">
        <v>20</v>
      </c>
      <c r="I2569" s="5" t="s">
        <v>5898</v>
      </c>
      <c r="J2569" s="12" t="str">
        <f>HYPERLINK("https://www.boe.es/gazeta/dias/1806/01/25/pdfs/GMD-1806-9.pdf#page=1","Abrir facsímil")</f>
        <v>Abrir facsímil</v>
      </c>
      <c r="K2569" s="15" t="s">
        <v>22</v>
      </c>
    </row>
    <row r="2570" spans="1:11" ht="42" customHeight="1">
      <c r="A2570" s="4" t="s">
        <v>5899</v>
      </c>
      <c r="B2570" s="5" t="s">
        <v>5900</v>
      </c>
      <c r="C2570" s="5" t="s">
        <v>31</v>
      </c>
      <c r="D2570" s="5" t="s">
        <v>32</v>
      </c>
      <c r="E2570" s="5" t="s">
        <v>340</v>
      </c>
      <c r="F2570" s="9">
        <v>31</v>
      </c>
      <c r="G2570" s="9">
        <v>305</v>
      </c>
      <c r="H2570" s="5" t="s">
        <v>20</v>
      </c>
      <c r="I2570" s="5" t="s">
        <v>5901</v>
      </c>
      <c r="J2570" s="12" t="str">
        <f>HYPERLINK("https://www.boe.es/gazeta/dias/1806/04/11/pdfs/GMD-1806-31.pdf#page=9","Abrir facsímil")</f>
        <v>Abrir facsímil</v>
      </c>
      <c r="K2570" s="15" t="s">
        <v>22</v>
      </c>
    </row>
    <row r="2571" spans="1:11" ht="42" customHeight="1">
      <c r="A2571" s="4" t="s">
        <v>5902</v>
      </c>
      <c r="B2571" s="5" t="s">
        <v>5903</v>
      </c>
      <c r="C2571" s="5" t="s">
        <v>42</v>
      </c>
      <c r="D2571" s="5" t="s">
        <v>43</v>
      </c>
      <c r="E2571" s="5" t="s">
        <v>188</v>
      </c>
      <c r="F2571" s="9">
        <v>2</v>
      </c>
      <c r="G2571" s="9">
        <v>19</v>
      </c>
      <c r="H2571" s="5" t="s">
        <v>20</v>
      </c>
      <c r="I2571" s="5" t="s">
        <v>5904</v>
      </c>
      <c r="J2571" s="12" t="str">
        <f>HYPERLINK("https://www.boe.es/gazeta/dias/1806/01/07/pdfs/GMD-1806-2.pdf#page=7","Abrir facsímil")</f>
        <v>Abrir facsímil</v>
      </c>
      <c r="K2571" s="15" t="s">
        <v>22</v>
      </c>
    </row>
    <row r="2572" spans="1:11" ht="42" customHeight="1">
      <c r="A2572" s="4" t="s">
        <v>5905</v>
      </c>
      <c r="B2572" s="5" t="s">
        <v>5906</v>
      </c>
      <c r="C2572" s="5" t="s">
        <v>31</v>
      </c>
      <c r="D2572" s="5" t="s">
        <v>32</v>
      </c>
      <c r="E2572" s="5" t="s">
        <v>48</v>
      </c>
      <c r="F2572" s="9">
        <v>67</v>
      </c>
      <c r="G2572" s="9">
        <v>700</v>
      </c>
      <c r="H2572" s="5" t="s">
        <v>20</v>
      </c>
      <c r="I2572" s="5" t="s">
        <v>5907</v>
      </c>
      <c r="J2572" s="12" t="str">
        <f>HYPERLINK("https://www.boe.es/gazeta/dias/1806/08/15/pdfs/GMD-1806-67.pdf#page=8","Abrir facsímil")</f>
        <v>Abrir facsímil</v>
      </c>
      <c r="K2572" s="15" t="s">
        <v>22</v>
      </c>
    </row>
    <row r="2573" spans="1:11" ht="42" customHeight="1">
      <c r="A2573" s="4" t="s">
        <v>5908</v>
      </c>
      <c r="B2573" s="5" t="s">
        <v>5908</v>
      </c>
      <c r="C2573" s="5" t="s">
        <v>69</v>
      </c>
      <c r="D2573" s="5" t="s">
        <v>70</v>
      </c>
      <c r="E2573" s="5" t="s">
        <v>59</v>
      </c>
      <c r="F2573" s="9">
        <v>21</v>
      </c>
      <c r="G2573" s="9">
        <v>192</v>
      </c>
      <c r="H2573" s="5" t="s">
        <v>20</v>
      </c>
      <c r="I2573" s="5" t="s">
        <v>5909</v>
      </c>
      <c r="J2573" s="12" t="str">
        <f>HYPERLINK("https://www.boe.es/gazeta/dias/1806/03/07/pdfs/GMD-1806-21.pdf#page=4","Abrir facsímil")</f>
        <v>Abrir facsímil</v>
      </c>
      <c r="K2573" s="15" t="s">
        <v>22</v>
      </c>
    </row>
    <row r="2574" spans="1:11" ht="42" customHeight="1">
      <c r="A2574" s="4" t="s">
        <v>5908</v>
      </c>
      <c r="B2574" s="5" t="s">
        <v>5908</v>
      </c>
      <c r="C2574" s="5" t="s">
        <v>69</v>
      </c>
      <c r="D2574" s="5" t="s">
        <v>70</v>
      </c>
      <c r="E2574" s="5" t="s">
        <v>130</v>
      </c>
      <c r="F2574" s="9">
        <v>66</v>
      </c>
      <c r="G2574" s="9">
        <v>687</v>
      </c>
      <c r="H2574" s="5" t="s">
        <v>20</v>
      </c>
      <c r="I2574" s="5" t="s">
        <v>5910</v>
      </c>
      <c r="J2574" s="12" t="str">
        <f>HYPERLINK("https://www.boe.es/gazeta/dias/1806/08/12/pdfs/GMD-1806-66.pdf#page=3","Abrir facsímil")</f>
        <v>Abrir facsímil</v>
      </c>
      <c r="K2574" s="15" t="s">
        <v>22</v>
      </c>
    </row>
    <row r="2575" spans="1:11" ht="42" customHeight="1">
      <c r="A2575" s="4" t="s">
        <v>5911</v>
      </c>
      <c r="B2575" s="5" t="s">
        <v>5912</v>
      </c>
      <c r="C2575" s="5" t="s">
        <v>31</v>
      </c>
      <c r="D2575" s="5" t="s">
        <v>32</v>
      </c>
      <c r="E2575" s="5" t="s">
        <v>689</v>
      </c>
      <c r="F2575" s="9">
        <v>37</v>
      </c>
      <c r="G2575" s="9">
        <v>361</v>
      </c>
      <c r="H2575" s="5" t="s">
        <v>20</v>
      </c>
      <c r="I2575" s="5" t="s">
        <v>5913</v>
      </c>
      <c r="J2575" s="12" t="str">
        <f>HYPERLINK("https://www.boe.es/gazeta/dias/1806/05/02/pdfs/GMD-1806-37.pdf#page=9","Abrir facsímil")</f>
        <v>Abrir facsímil</v>
      </c>
      <c r="K2575" s="15" t="s">
        <v>22</v>
      </c>
    </row>
    <row r="2576" spans="1:11" ht="42" customHeight="1">
      <c r="A2576" s="4" t="s">
        <v>5914</v>
      </c>
      <c r="B2576" s="5" t="s">
        <v>5914</v>
      </c>
      <c r="C2576" s="5" t="s">
        <v>69</v>
      </c>
      <c r="D2576" s="5" t="s">
        <v>70</v>
      </c>
      <c r="E2576" s="5" t="s">
        <v>348</v>
      </c>
      <c r="F2576" s="9">
        <v>88</v>
      </c>
      <c r="G2576" s="9">
        <v>909</v>
      </c>
      <c r="H2576" s="5" t="s">
        <v>20</v>
      </c>
      <c r="I2576" s="5" t="s">
        <v>5915</v>
      </c>
      <c r="J2576" s="12" t="str">
        <f>HYPERLINK("https://www.boe.es/gazeta/dias/1806/10/28/pdfs/GMD-1806-88.pdf#page=5","Abrir facsímil")</f>
        <v>Abrir facsímil</v>
      </c>
      <c r="K2576" s="15" t="s">
        <v>22</v>
      </c>
    </row>
    <row r="2577" spans="1:11" ht="42" customHeight="1">
      <c r="A2577" s="4" t="s">
        <v>5916</v>
      </c>
      <c r="B2577" s="5" t="s">
        <v>5916</v>
      </c>
      <c r="C2577" s="5" t="s">
        <v>69</v>
      </c>
      <c r="D2577" s="5" t="s">
        <v>70</v>
      </c>
      <c r="E2577" s="5" t="s">
        <v>238</v>
      </c>
      <c r="F2577" s="9">
        <v>18</v>
      </c>
      <c r="G2577" s="9">
        <v>157</v>
      </c>
      <c r="H2577" s="5" t="s">
        <v>20</v>
      </c>
      <c r="I2577" s="5" t="s">
        <v>5917</v>
      </c>
      <c r="J2577" s="12" t="str">
        <f>HYPERLINK("https://www.boe.es/gazeta/dias/1806/02/25/pdfs/GMD-1806-18.pdf#page=5","Abrir facsímil")</f>
        <v>Abrir facsímil</v>
      </c>
      <c r="K2577" s="15" t="s">
        <v>22</v>
      </c>
    </row>
    <row r="2578" spans="1:11" ht="42" customHeight="1">
      <c r="A2578" s="4" t="s">
        <v>5918</v>
      </c>
      <c r="B2578" s="5" t="s">
        <v>5919</v>
      </c>
      <c r="C2578" s="5" t="s">
        <v>36</v>
      </c>
      <c r="D2578" s="5" t="s">
        <v>37</v>
      </c>
      <c r="E2578" s="5" t="s">
        <v>175</v>
      </c>
      <c r="F2578" s="9">
        <v>40</v>
      </c>
      <c r="G2578" s="9">
        <v>397</v>
      </c>
      <c r="H2578" s="5" t="s">
        <v>20</v>
      </c>
      <c r="I2578" s="5" t="s">
        <v>5920</v>
      </c>
      <c r="J2578" s="12" t="str">
        <f>HYPERLINK("https://www.boe.es/gazeta/dias/1806/05/13/pdfs/GMD-1806-40.pdf#page=9","Abrir facsímil")</f>
        <v>Abrir facsímil</v>
      </c>
      <c r="K2578" s="15" t="s">
        <v>22</v>
      </c>
    </row>
    <row r="2579" spans="1:11" ht="42" customHeight="1">
      <c r="A2579" s="4" t="s">
        <v>5918</v>
      </c>
      <c r="B2579" s="5" t="s">
        <v>5919</v>
      </c>
      <c r="C2579" s="5" t="s">
        <v>31</v>
      </c>
      <c r="D2579" s="5" t="s">
        <v>32</v>
      </c>
      <c r="E2579" s="5" t="s">
        <v>859</v>
      </c>
      <c r="F2579" s="9">
        <v>63</v>
      </c>
      <c r="G2579" s="9">
        <v>664</v>
      </c>
      <c r="H2579" s="5" t="s">
        <v>20</v>
      </c>
      <c r="I2579" s="5" t="s">
        <v>5921</v>
      </c>
      <c r="J2579" s="12" t="str">
        <f>HYPERLINK("https://www.boe.es/gazeta/dias/1806/08/01/pdfs/GMD-1806-63.pdf#page=12","Abrir facsímil")</f>
        <v>Abrir facsímil</v>
      </c>
      <c r="K2579" s="15" t="s">
        <v>22</v>
      </c>
    </row>
    <row r="2580" spans="1:11" ht="42" customHeight="1">
      <c r="A2580" s="4" t="s">
        <v>5922</v>
      </c>
      <c r="B2580" s="5" t="s">
        <v>5922</v>
      </c>
      <c r="C2580" s="5" t="s">
        <v>69</v>
      </c>
      <c r="D2580" s="5" t="s">
        <v>70</v>
      </c>
      <c r="E2580" s="5" t="s">
        <v>227</v>
      </c>
      <c r="F2580" s="9">
        <v>27</v>
      </c>
      <c r="G2580" s="9">
        <v>265</v>
      </c>
      <c r="H2580" s="5" t="s">
        <v>20</v>
      </c>
      <c r="I2580" s="5" t="s">
        <v>5923</v>
      </c>
      <c r="J2580" s="12" t="str">
        <f>HYPERLINK("https://www.boe.es/gazeta/dias/1806/03/28/pdfs/GMD-1806-27.pdf#page=5","Abrir facsímil")</f>
        <v>Abrir facsímil</v>
      </c>
      <c r="K2580" s="15" t="s">
        <v>22</v>
      </c>
    </row>
    <row r="2581" spans="1:11" ht="42" customHeight="1">
      <c r="A2581" s="4" t="s">
        <v>5924</v>
      </c>
      <c r="B2581" s="5" t="s">
        <v>5925</v>
      </c>
      <c r="C2581" s="5" t="s">
        <v>69</v>
      </c>
      <c r="D2581" s="5" t="s">
        <v>70</v>
      </c>
      <c r="E2581" s="5" t="s">
        <v>810</v>
      </c>
      <c r="F2581" s="9">
        <v>71</v>
      </c>
      <c r="G2581" s="9">
        <v>736</v>
      </c>
      <c r="H2581" s="5" t="s">
        <v>20</v>
      </c>
      <c r="I2581" s="5" t="s">
        <v>5926</v>
      </c>
      <c r="J2581" s="12" t="str">
        <f>HYPERLINK("https://www.boe.es/gazeta/dias/1806/08/29/pdfs/GMD-1806-71.pdf#page=4","Abrir facsímil")</f>
        <v>Abrir facsímil</v>
      </c>
      <c r="K2581" s="15" t="s">
        <v>22</v>
      </c>
    </row>
    <row r="2582" spans="1:11" ht="42" customHeight="1">
      <c r="A2582" s="4" t="s">
        <v>5924</v>
      </c>
      <c r="B2582" s="5" t="s">
        <v>5925</v>
      </c>
      <c r="C2582" s="5" t="s">
        <v>69</v>
      </c>
      <c r="D2582" s="5" t="s">
        <v>70</v>
      </c>
      <c r="E2582" s="5" t="s">
        <v>810</v>
      </c>
      <c r="F2582" s="9">
        <v>71</v>
      </c>
      <c r="G2582" s="9">
        <v>737</v>
      </c>
      <c r="H2582" s="5" t="s">
        <v>20</v>
      </c>
      <c r="I2582" s="5" t="s">
        <v>5927</v>
      </c>
      <c r="J2582" s="12" t="str">
        <f>HYPERLINK("https://www.boe.es/gazeta/dias/1806/08/29/pdfs/GMD-1806-71.pdf#page=5","Abrir facsímil")</f>
        <v>Abrir facsímil</v>
      </c>
      <c r="K2582" s="15" t="s">
        <v>22</v>
      </c>
    </row>
    <row r="2583" spans="1:11" ht="42" customHeight="1">
      <c r="A2583" s="4" t="s">
        <v>5928</v>
      </c>
      <c r="B2583" s="5" t="s">
        <v>5929</v>
      </c>
      <c r="C2583" s="5" t="s">
        <v>31</v>
      </c>
      <c r="D2583" s="5" t="s">
        <v>32</v>
      </c>
      <c r="E2583" s="5" t="s">
        <v>348</v>
      </c>
      <c r="F2583" s="9">
        <v>88</v>
      </c>
      <c r="G2583" s="9">
        <v>908</v>
      </c>
      <c r="H2583" s="5" t="s">
        <v>20</v>
      </c>
      <c r="I2583" s="5" t="s">
        <v>5930</v>
      </c>
      <c r="J2583" s="12" t="str">
        <f>HYPERLINK("https://www.boe.es/gazeta/dias/1806/10/28/pdfs/GMD-1806-88.pdf#page=4","Abrir facsímil")</f>
        <v>Abrir facsímil</v>
      </c>
      <c r="K2583" s="15" t="s">
        <v>22</v>
      </c>
    </row>
    <row r="2584" spans="1:11" ht="42" customHeight="1">
      <c r="A2584" s="4" t="s">
        <v>5931</v>
      </c>
      <c r="B2584" s="5" t="s">
        <v>5932</v>
      </c>
      <c r="C2584" s="5" t="s">
        <v>31</v>
      </c>
      <c r="D2584" s="5" t="s">
        <v>32</v>
      </c>
      <c r="E2584" s="5" t="s">
        <v>816</v>
      </c>
      <c r="F2584" s="9">
        <v>86</v>
      </c>
      <c r="G2584" s="9">
        <v>888</v>
      </c>
      <c r="H2584" s="5" t="s">
        <v>20</v>
      </c>
      <c r="I2584" s="5" t="s">
        <v>5933</v>
      </c>
      <c r="J2584" s="12" t="str">
        <f>HYPERLINK("https://www.boe.es/gazeta/dias/1806/10/21/pdfs/GMD-1806-86.pdf#page=4","Abrir facsímil")</f>
        <v>Abrir facsímil</v>
      </c>
      <c r="K2584" s="15" t="s">
        <v>22</v>
      </c>
    </row>
    <row r="2585" spans="1:11" ht="42" customHeight="1">
      <c r="A2585" s="4" t="s">
        <v>5934</v>
      </c>
      <c r="B2585" s="5" t="s">
        <v>5934</v>
      </c>
      <c r="C2585" s="5" t="s">
        <v>69</v>
      </c>
      <c r="D2585" s="5" t="s">
        <v>70</v>
      </c>
      <c r="E2585" s="5" t="s">
        <v>231</v>
      </c>
      <c r="F2585" s="9">
        <v>89</v>
      </c>
      <c r="G2585" s="9">
        <v>916</v>
      </c>
      <c r="H2585" s="5" t="s">
        <v>20</v>
      </c>
      <c r="I2585" s="5" t="s">
        <v>5935</v>
      </c>
      <c r="J2585" s="12" t="str">
        <f>HYPERLINK("https://www.boe.es/gazeta/dias/1806/10/31/pdfs/GMD-1806-89.pdf#page=4","Abrir facsímil")</f>
        <v>Abrir facsímil</v>
      </c>
      <c r="K2585" s="15" t="s">
        <v>22</v>
      </c>
    </row>
    <row r="2586" spans="1:11" ht="42" customHeight="1">
      <c r="A2586" s="4" t="s">
        <v>5936</v>
      </c>
      <c r="B2586" s="5" t="s">
        <v>5937</v>
      </c>
      <c r="C2586" s="5" t="s">
        <v>31</v>
      </c>
      <c r="D2586" s="5" t="s">
        <v>32</v>
      </c>
      <c r="E2586" s="5" t="s">
        <v>55</v>
      </c>
      <c r="F2586" s="9">
        <v>20</v>
      </c>
      <c r="G2586" s="9">
        <v>181</v>
      </c>
      <c r="H2586" s="5" t="s">
        <v>20</v>
      </c>
      <c r="I2586" s="5" t="s">
        <v>5938</v>
      </c>
      <c r="J2586" s="12" t="str">
        <f>HYPERLINK("https://www.boe.es/gazeta/dias/1806/03/04/pdfs/GMD-1806-20.pdf#page=5","Abrir facsímil")</f>
        <v>Abrir facsímil</v>
      </c>
      <c r="K2586" s="15" t="s">
        <v>22</v>
      </c>
    </row>
    <row r="2587" spans="1:11" ht="42" customHeight="1">
      <c r="A2587" s="4" t="s">
        <v>5939</v>
      </c>
      <c r="B2587" s="5" t="s">
        <v>5940</v>
      </c>
      <c r="C2587" s="5" t="s">
        <v>31</v>
      </c>
      <c r="D2587" s="5" t="s">
        <v>32</v>
      </c>
      <c r="E2587" s="5" t="s">
        <v>1778</v>
      </c>
      <c r="F2587" s="9">
        <v>16</v>
      </c>
      <c r="G2587" s="9">
        <v>139</v>
      </c>
      <c r="H2587" s="5" t="s">
        <v>20</v>
      </c>
      <c r="I2587" s="5" t="s">
        <v>5941</v>
      </c>
      <c r="J2587" s="12" t="str">
        <f>HYPERLINK("https://www.boe.es/gazeta/dias/1806/02/18/pdfs/GMD-1806-16.pdf#page=3","Abrir facsímil")</f>
        <v>Abrir facsímil</v>
      </c>
      <c r="K2587" s="15" t="s">
        <v>22</v>
      </c>
    </row>
    <row r="2588" spans="1:11" ht="42" customHeight="1">
      <c r="A2588" s="4" t="s">
        <v>5942</v>
      </c>
      <c r="B2588" s="5" t="s">
        <v>5943</v>
      </c>
      <c r="C2588" s="5" t="s">
        <v>42</v>
      </c>
      <c r="D2588" s="5" t="s">
        <v>43</v>
      </c>
      <c r="E2588" s="5" t="s">
        <v>396</v>
      </c>
      <c r="F2588" s="9">
        <v>91</v>
      </c>
      <c r="G2588" s="9">
        <v>943</v>
      </c>
      <c r="H2588" s="5" t="s">
        <v>20</v>
      </c>
      <c r="I2588" s="5" t="s">
        <v>5944</v>
      </c>
      <c r="J2588" s="12" t="str">
        <f>HYPERLINK("https://www.boe.es/gazeta/dias/1806/11/07/pdfs/GMD-1806-91.pdf#page=7","Abrir facsímil")</f>
        <v>Abrir facsímil</v>
      </c>
      <c r="K2588" s="15" t="s">
        <v>22</v>
      </c>
    </row>
    <row r="2589" spans="1:11" ht="42" customHeight="1">
      <c r="A2589" s="4" t="s">
        <v>5945</v>
      </c>
      <c r="B2589" s="5" t="s">
        <v>5946</v>
      </c>
      <c r="C2589" s="5" t="s">
        <v>31</v>
      </c>
      <c r="D2589" s="5" t="s">
        <v>32</v>
      </c>
      <c r="E2589" s="5" t="s">
        <v>172</v>
      </c>
      <c r="F2589" s="9">
        <v>17</v>
      </c>
      <c r="G2589" s="9">
        <v>149</v>
      </c>
      <c r="H2589" s="5" t="s">
        <v>20</v>
      </c>
      <c r="I2589" s="5" t="s">
        <v>5947</v>
      </c>
      <c r="J2589" s="12" t="str">
        <f>HYPERLINK("https://www.boe.es/gazeta/dias/1806/02/21/pdfs/GMD-1806-17.pdf#page=5","Abrir facsímil")</f>
        <v>Abrir facsímil</v>
      </c>
      <c r="K2589" s="15" t="s">
        <v>22</v>
      </c>
    </row>
    <row r="2590" spans="1:11" ht="42" customHeight="1">
      <c r="A2590" s="4" t="s">
        <v>5945</v>
      </c>
      <c r="B2590" s="5" t="s">
        <v>5946</v>
      </c>
      <c r="C2590" s="5" t="s">
        <v>69</v>
      </c>
      <c r="D2590" s="5" t="s">
        <v>70</v>
      </c>
      <c r="E2590" s="5" t="s">
        <v>238</v>
      </c>
      <c r="F2590" s="9">
        <v>18</v>
      </c>
      <c r="G2590" s="9">
        <v>157</v>
      </c>
      <c r="H2590" s="5" t="s">
        <v>20</v>
      </c>
      <c r="I2590" s="5" t="s">
        <v>5948</v>
      </c>
      <c r="J2590" s="12" t="str">
        <f>HYPERLINK("https://www.boe.es/gazeta/dias/1806/02/25/pdfs/GMD-1806-18.pdf#page=5","Abrir facsímil")</f>
        <v>Abrir facsímil</v>
      </c>
      <c r="K2590" s="15" t="s">
        <v>22</v>
      </c>
    </row>
    <row r="2591" spans="1:11" ht="42" customHeight="1">
      <c r="A2591" s="4" t="s">
        <v>5945</v>
      </c>
      <c r="B2591" s="5" t="s">
        <v>5946</v>
      </c>
      <c r="C2591" s="5" t="s">
        <v>69</v>
      </c>
      <c r="D2591" s="5" t="s">
        <v>70</v>
      </c>
      <c r="E2591" s="5" t="s">
        <v>55</v>
      </c>
      <c r="F2591" s="9">
        <v>20</v>
      </c>
      <c r="G2591" s="9">
        <v>181</v>
      </c>
      <c r="H2591" s="5" t="s">
        <v>20</v>
      </c>
      <c r="I2591" s="5" t="s">
        <v>5949</v>
      </c>
      <c r="J2591" s="12" t="str">
        <f>HYPERLINK("https://www.boe.es/gazeta/dias/1806/03/04/pdfs/GMD-1806-20.pdf#page=5","Abrir facsímil")</f>
        <v>Abrir facsímil</v>
      </c>
      <c r="K2591" s="15" t="s">
        <v>22</v>
      </c>
    </row>
    <row r="2592" spans="1:11" ht="42" customHeight="1">
      <c r="A2592" s="4" t="s">
        <v>5945</v>
      </c>
      <c r="B2592" s="5" t="s">
        <v>5946</v>
      </c>
      <c r="C2592" s="5" t="s">
        <v>17</v>
      </c>
      <c r="D2592" s="5" t="s">
        <v>18</v>
      </c>
      <c r="E2592" s="5" t="s">
        <v>689</v>
      </c>
      <c r="F2592" s="9">
        <v>37</v>
      </c>
      <c r="G2592" s="9">
        <v>357</v>
      </c>
      <c r="H2592" s="5" t="s">
        <v>20</v>
      </c>
      <c r="I2592" s="5" t="s">
        <v>5950</v>
      </c>
      <c r="J2592" s="12" t="str">
        <f>HYPERLINK("https://www.boe.es/gazeta/dias/1806/05/02/pdfs/GMD-1806-37.pdf#page=5","Abrir facsímil")</f>
        <v>Abrir facsímil</v>
      </c>
      <c r="K2592" s="15" t="s">
        <v>22</v>
      </c>
    </row>
    <row r="2593" spans="1:11" ht="42" customHeight="1">
      <c r="A2593" s="4" t="s">
        <v>5945</v>
      </c>
      <c r="B2593" s="5" t="s">
        <v>5946</v>
      </c>
      <c r="C2593" s="5" t="s">
        <v>69</v>
      </c>
      <c r="D2593" s="5" t="s">
        <v>70</v>
      </c>
      <c r="E2593" s="5" t="s">
        <v>702</v>
      </c>
      <c r="F2593" s="9">
        <v>43</v>
      </c>
      <c r="G2593" s="9">
        <v>427</v>
      </c>
      <c r="H2593" s="5" t="s">
        <v>20</v>
      </c>
      <c r="I2593" s="5" t="s">
        <v>5951</v>
      </c>
      <c r="J2593" s="12" t="str">
        <f>HYPERLINK("https://www.boe.es/gazeta/dias/1806/05/23/pdfs/GMD-1806-43.pdf#page=3","Abrir facsímil")</f>
        <v>Abrir facsímil</v>
      </c>
      <c r="K2593" s="15" t="s">
        <v>22</v>
      </c>
    </row>
    <row r="2594" spans="1:11" ht="42" customHeight="1">
      <c r="A2594" s="4" t="s">
        <v>5945</v>
      </c>
      <c r="B2594" s="5" t="s">
        <v>5946</v>
      </c>
      <c r="C2594" s="5" t="s">
        <v>69</v>
      </c>
      <c r="D2594" s="5" t="s">
        <v>70</v>
      </c>
      <c r="E2594" s="5" t="s">
        <v>90</v>
      </c>
      <c r="F2594" s="9">
        <v>60</v>
      </c>
      <c r="G2594" s="9">
        <v>620</v>
      </c>
      <c r="H2594" s="5" t="s">
        <v>20</v>
      </c>
      <c r="I2594" s="5" t="s">
        <v>5952</v>
      </c>
      <c r="J2594" s="12" t="str">
        <f>HYPERLINK("https://www.boe.es/gazeta/dias/1806/07/22/pdfs/GMD-1806-60.pdf#page=4","Abrir facsímil")</f>
        <v>Abrir facsímil</v>
      </c>
      <c r="K2594" s="15" t="s">
        <v>22</v>
      </c>
    </row>
    <row r="2595" spans="1:11" ht="42" customHeight="1">
      <c r="A2595" s="4" t="s">
        <v>5945</v>
      </c>
      <c r="B2595" s="5" t="s">
        <v>5946</v>
      </c>
      <c r="C2595" s="5" t="s">
        <v>69</v>
      </c>
      <c r="D2595" s="5" t="s">
        <v>70</v>
      </c>
      <c r="E2595" s="5" t="s">
        <v>90</v>
      </c>
      <c r="F2595" s="9">
        <v>60</v>
      </c>
      <c r="G2595" s="9">
        <v>622</v>
      </c>
      <c r="H2595" s="5" t="s">
        <v>20</v>
      </c>
      <c r="I2595" s="5" t="s">
        <v>5953</v>
      </c>
      <c r="J2595" s="12" t="str">
        <f>HYPERLINK("https://www.boe.es/gazeta/dias/1806/07/22/pdfs/GMD-1806-60.pdf#page=6","Abrir facsímil")</f>
        <v>Abrir facsímil</v>
      </c>
      <c r="K2595" s="15" t="s">
        <v>22</v>
      </c>
    </row>
    <row r="2596" spans="1:11" ht="42" customHeight="1">
      <c r="A2596" s="4" t="s">
        <v>5945</v>
      </c>
      <c r="B2596" s="5" t="s">
        <v>5946</v>
      </c>
      <c r="C2596" s="5" t="s">
        <v>69</v>
      </c>
      <c r="D2596" s="5" t="s">
        <v>70</v>
      </c>
      <c r="E2596" s="5" t="s">
        <v>405</v>
      </c>
      <c r="F2596" s="9">
        <v>80</v>
      </c>
      <c r="G2596" s="9">
        <v>824</v>
      </c>
      <c r="H2596" s="5" t="s">
        <v>20</v>
      </c>
      <c r="I2596" s="5" t="s">
        <v>5954</v>
      </c>
      <c r="J2596" s="12" t="str">
        <f>HYPERLINK("https://www.boe.es/gazeta/dias/1806/09/30/pdfs/GMD-1806-80.pdf#page=4","Abrir facsímil")</f>
        <v>Abrir facsímil</v>
      </c>
      <c r="K2596" s="15" t="s">
        <v>22</v>
      </c>
    </row>
    <row r="2597" spans="1:11" ht="42" customHeight="1">
      <c r="A2597" s="4" t="s">
        <v>5945</v>
      </c>
      <c r="B2597" s="5" t="s">
        <v>5946</v>
      </c>
      <c r="C2597" s="5" t="s">
        <v>69</v>
      </c>
      <c r="D2597" s="5" t="s">
        <v>70</v>
      </c>
      <c r="E2597" s="5" t="s">
        <v>33</v>
      </c>
      <c r="F2597" s="9">
        <v>82</v>
      </c>
      <c r="G2597" s="9">
        <v>845</v>
      </c>
      <c r="H2597" s="5" t="s">
        <v>20</v>
      </c>
      <c r="I2597" s="5" t="s">
        <v>5955</v>
      </c>
      <c r="J2597" s="12" t="str">
        <f>HYPERLINK("https://www.boe.es/gazeta/dias/1806/10/07/pdfs/GMD-1806-82.pdf#page=5","Abrir facsímil")</f>
        <v>Abrir facsímil</v>
      </c>
      <c r="K2597" s="15" t="s">
        <v>22</v>
      </c>
    </row>
    <row r="2598" spans="1:11" ht="42" customHeight="1">
      <c r="A2598" s="4" t="s">
        <v>5945</v>
      </c>
      <c r="B2598" s="5" t="s">
        <v>5946</v>
      </c>
      <c r="C2598" s="5" t="s">
        <v>69</v>
      </c>
      <c r="D2598" s="5" t="s">
        <v>70</v>
      </c>
      <c r="E2598" s="5" t="s">
        <v>455</v>
      </c>
      <c r="F2598" s="9">
        <v>85</v>
      </c>
      <c r="G2598" s="9">
        <v>878</v>
      </c>
      <c r="H2598" s="5" t="s">
        <v>20</v>
      </c>
      <c r="I2598" s="5" t="s">
        <v>5956</v>
      </c>
      <c r="J2598" s="12" t="str">
        <f>HYPERLINK("https://www.boe.es/gazeta/dias/1806/10/17/pdfs/GMD-1806-85.pdf#page=6","Abrir facsímil")</f>
        <v>Abrir facsímil</v>
      </c>
      <c r="K2598" s="15" t="s">
        <v>22</v>
      </c>
    </row>
    <row r="2599" spans="1:11" ht="42" customHeight="1">
      <c r="A2599" s="4" t="s">
        <v>5957</v>
      </c>
      <c r="B2599" s="5" t="s">
        <v>5958</v>
      </c>
      <c r="C2599" s="5" t="s">
        <v>69</v>
      </c>
      <c r="D2599" s="5" t="s">
        <v>70</v>
      </c>
      <c r="E2599" s="5" t="s">
        <v>816</v>
      </c>
      <c r="F2599" s="9">
        <v>86</v>
      </c>
      <c r="G2599" s="9">
        <v>888</v>
      </c>
      <c r="H2599" s="5" t="s">
        <v>20</v>
      </c>
      <c r="I2599" s="5" t="s">
        <v>5959</v>
      </c>
      <c r="J2599" s="12" t="str">
        <f>HYPERLINK("https://www.boe.es/gazeta/dias/1806/10/21/pdfs/GMD-1806-86.pdf#page=4","Abrir facsímil")</f>
        <v>Abrir facsímil</v>
      </c>
      <c r="K2599" s="15" t="s">
        <v>22</v>
      </c>
    </row>
    <row r="2600" spans="1:11" ht="42" customHeight="1">
      <c r="A2600" s="4" t="s">
        <v>5957</v>
      </c>
      <c r="B2600" s="5" t="s">
        <v>5958</v>
      </c>
      <c r="C2600" s="5" t="s">
        <v>17</v>
      </c>
      <c r="D2600" s="5" t="s">
        <v>18</v>
      </c>
      <c r="E2600" s="5" t="s">
        <v>76</v>
      </c>
      <c r="F2600" s="9">
        <v>98</v>
      </c>
      <c r="G2600" s="9">
        <v>1033</v>
      </c>
      <c r="H2600" s="5" t="s">
        <v>20</v>
      </c>
      <c r="I2600" s="5" t="s">
        <v>5960</v>
      </c>
      <c r="J2600" s="12" t="str">
        <f>HYPERLINK("https://www.boe.es/gazeta/dias/1806/12/02/pdfs/GMD-1806-98.pdf#page=1","Abrir facsímil")</f>
        <v>Abrir facsímil</v>
      </c>
      <c r="K2600" s="15" t="s">
        <v>22</v>
      </c>
    </row>
    <row r="2601" spans="1:11" ht="42" customHeight="1">
      <c r="A2601" s="4" t="s">
        <v>5961</v>
      </c>
      <c r="B2601" s="5" t="s">
        <v>5962</v>
      </c>
      <c r="C2601" s="5" t="s">
        <v>69</v>
      </c>
      <c r="D2601" s="5" t="s">
        <v>70</v>
      </c>
      <c r="E2601" s="5" t="s">
        <v>911</v>
      </c>
      <c r="F2601" s="9">
        <v>64</v>
      </c>
      <c r="G2601" s="9">
        <v>668</v>
      </c>
      <c r="H2601" s="5" t="s">
        <v>20</v>
      </c>
      <c r="I2601" s="5" t="s">
        <v>5963</v>
      </c>
      <c r="J2601" s="12" t="str">
        <f>HYPERLINK("https://www.boe.es/gazeta/dias/1806/08/05/pdfs/GMD-1806-64.pdf#page=4","Abrir facsímil")</f>
        <v>Abrir facsímil</v>
      </c>
      <c r="K2601" s="15" t="s">
        <v>22</v>
      </c>
    </row>
    <row r="2602" spans="1:11" ht="42" customHeight="1">
      <c r="A2602" s="4" t="s">
        <v>5964</v>
      </c>
      <c r="B2602" s="5" t="s">
        <v>5965</v>
      </c>
      <c r="C2602" s="5" t="s">
        <v>69</v>
      </c>
      <c r="D2602" s="5" t="s">
        <v>70</v>
      </c>
      <c r="E2602" s="5" t="s">
        <v>44</v>
      </c>
      <c r="F2602" s="9">
        <v>42</v>
      </c>
      <c r="G2602" s="9">
        <v>413</v>
      </c>
      <c r="H2602" s="5" t="s">
        <v>20</v>
      </c>
      <c r="I2602" s="5" t="s">
        <v>5966</v>
      </c>
      <c r="J2602" s="12" t="str">
        <f>HYPERLINK("https://www.boe.es/gazeta/dias/1806/05/20/pdfs/GMD-1806-42.pdf#page=1","Abrir facsímil")</f>
        <v>Abrir facsímil</v>
      </c>
      <c r="K2602" s="15" t="s">
        <v>22</v>
      </c>
    </row>
    <row r="2603" spans="1:11" ht="42" customHeight="1">
      <c r="A2603" s="4" t="s">
        <v>5967</v>
      </c>
      <c r="B2603" s="5" t="s">
        <v>5967</v>
      </c>
      <c r="C2603" s="5" t="s">
        <v>69</v>
      </c>
      <c r="D2603" s="5" t="s">
        <v>70</v>
      </c>
      <c r="E2603" s="5" t="s">
        <v>1778</v>
      </c>
      <c r="F2603" s="9">
        <v>16</v>
      </c>
      <c r="G2603" s="9">
        <v>140</v>
      </c>
      <c r="H2603" s="5" t="s">
        <v>20</v>
      </c>
      <c r="I2603" s="5" t="s">
        <v>5968</v>
      </c>
      <c r="J2603" s="12" t="str">
        <f>HYPERLINK("https://www.boe.es/gazeta/dias/1806/02/18/pdfs/GMD-1806-16.pdf#page=4","Abrir facsímil")</f>
        <v>Abrir facsímil</v>
      </c>
      <c r="K2603" s="15" t="s">
        <v>22</v>
      </c>
    </row>
    <row r="2604" spans="1:11" ht="42" customHeight="1">
      <c r="A2604" s="4" t="s">
        <v>5967</v>
      </c>
      <c r="B2604" s="5" t="s">
        <v>5967</v>
      </c>
      <c r="C2604" s="5" t="s">
        <v>69</v>
      </c>
      <c r="D2604" s="5" t="s">
        <v>70</v>
      </c>
      <c r="E2604" s="5" t="s">
        <v>238</v>
      </c>
      <c r="F2604" s="9">
        <v>18</v>
      </c>
      <c r="G2604" s="9">
        <v>157</v>
      </c>
      <c r="H2604" s="5" t="s">
        <v>20</v>
      </c>
      <c r="I2604" s="5" t="s">
        <v>5969</v>
      </c>
      <c r="J2604" s="12" t="str">
        <f>HYPERLINK("https://www.boe.es/gazeta/dias/1806/02/25/pdfs/GMD-1806-18.pdf#page=5","Abrir facsímil")</f>
        <v>Abrir facsímil</v>
      </c>
      <c r="K2604" s="15" t="s">
        <v>22</v>
      </c>
    </row>
    <row r="2605" spans="1:11" ht="42" customHeight="1">
      <c r="A2605" s="4" t="s">
        <v>5967</v>
      </c>
      <c r="B2605" s="5" t="s">
        <v>5967</v>
      </c>
      <c r="C2605" s="5" t="s">
        <v>31</v>
      </c>
      <c r="D2605" s="5" t="s">
        <v>32</v>
      </c>
      <c r="E2605" s="5" t="s">
        <v>55</v>
      </c>
      <c r="F2605" s="9">
        <v>20</v>
      </c>
      <c r="G2605" s="9">
        <v>181</v>
      </c>
      <c r="H2605" s="5" t="s">
        <v>20</v>
      </c>
      <c r="I2605" s="5" t="s">
        <v>5970</v>
      </c>
      <c r="J2605" s="12" t="str">
        <f>HYPERLINK("https://www.boe.es/gazeta/dias/1806/03/04/pdfs/GMD-1806-20.pdf#page=5","Abrir facsímil")</f>
        <v>Abrir facsímil</v>
      </c>
      <c r="K2605" s="15" t="s">
        <v>22</v>
      </c>
    </row>
    <row r="2606" spans="1:11" ht="42" customHeight="1">
      <c r="A2606" s="4" t="s">
        <v>5967</v>
      </c>
      <c r="B2606" s="5" t="s">
        <v>5967</v>
      </c>
      <c r="C2606" s="5" t="s">
        <v>69</v>
      </c>
      <c r="D2606" s="5" t="s">
        <v>70</v>
      </c>
      <c r="E2606" s="5" t="s">
        <v>59</v>
      </c>
      <c r="F2606" s="9">
        <v>21</v>
      </c>
      <c r="G2606" s="9">
        <v>192</v>
      </c>
      <c r="H2606" s="5" t="s">
        <v>20</v>
      </c>
      <c r="I2606" s="5" t="s">
        <v>5971</v>
      </c>
      <c r="J2606" s="12" t="str">
        <f>HYPERLINK("https://www.boe.es/gazeta/dias/1806/03/07/pdfs/GMD-1806-21.pdf#page=4","Abrir facsímil")</f>
        <v>Abrir facsímil</v>
      </c>
      <c r="K2606" s="15" t="s">
        <v>22</v>
      </c>
    </row>
    <row r="2607" spans="1:11" ht="42" customHeight="1">
      <c r="A2607" s="4" t="s">
        <v>5967</v>
      </c>
      <c r="B2607" s="5" t="s">
        <v>5967</v>
      </c>
      <c r="C2607" s="5" t="s">
        <v>31</v>
      </c>
      <c r="D2607" s="5" t="s">
        <v>32</v>
      </c>
      <c r="E2607" s="5" t="s">
        <v>400</v>
      </c>
      <c r="F2607" s="9">
        <v>22</v>
      </c>
      <c r="G2607" s="9">
        <v>204</v>
      </c>
      <c r="H2607" s="5" t="s">
        <v>20</v>
      </c>
      <c r="I2607" s="5" t="s">
        <v>5972</v>
      </c>
      <c r="J2607" s="12" t="str">
        <f>HYPERLINK("https://www.boe.es/gazeta/dias/1806/03/11/pdfs/GMD-1806-22.pdf#page=4","Abrir facsímil")</f>
        <v>Abrir facsímil</v>
      </c>
      <c r="K2607" s="15" t="s">
        <v>22</v>
      </c>
    </row>
    <row r="2608" spans="1:11" ht="42" customHeight="1">
      <c r="A2608" s="4" t="s">
        <v>5967</v>
      </c>
      <c r="B2608" s="5" t="s">
        <v>5967</v>
      </c>
      <c r="C2608" s="5" t="s">
        <v>31</v>
      </c>
      <c r="D2608" s="5" t="s">
        <v>32</v>
      </c>
      <c r="E2608" s="5" t="s">
        <v>124</v>
      </c>
      <c r="F2608" s="9">
        <v>25</v>
      </c>
      <c r="G2608" s="9">
        <v>240</v>
      </c>
      <c r="H2608" s="5" t="s">
        <v>20</v>
      </c>
      <c r="I2608" s="5" t="s">
        <v>5973</v>
      </c>
      <c r="J2608" s="12" t="str">
        <f>HYPERLINK("https://www.boe.es/gazeta/dias/1806/03/21/pdfs/GMD-1806-25.pdf#page=4","Abrir facsímil")</f>
        <v>Abrir facsímil</v>
      </c>
      <c r="K2608" s="15" t="s">
        <v>22</v>
      </c>
    </row>
    <row r="2609" spans="1:11" ht="42" customHeight="1">
      <c r="A2609" s="4" t="s">
        <v>5967</v>
      </c>
      <c r="B2609" s="5" t="s">
        <v>5967</v>
      </c>
      <c r="C2609" s="5" t="s">
        <v>75</v>
      </c>
      <c r="D2609" s="5" t="s">
        <v>43</v>
      </c>
      <c r="E2609" s="5" t="s">
        <v>837</v>
      </c>
      <c r="F2609" s="9">
        <v>26</v>
      </c>
      <c r="G2609" s="9">
        <v>252</v>
      </c>
      <c r="H2609" s="5" t="s">
        <v>20</v>
      </c>
      <c r="I2609" s="5" t="s">
        <v>5974</v>
      </c>
      <c r="J2609" s="12" t="str">
        <f>HYPERLINK("https://www.boe.es/gazeta/dias/1806/03/25/pdfs/GMD-1806-26.pdf#page=4","Abrir facsímil")</f>
        <v>Abrir facsímil</v>
      </c>
      <c r="K2609" s="15" t="s">
        <v>22</v>
      </c>
    </row>
    <row r="2610" spans="1:11" ht="42" customHeight="1">
      <c r="A2610" s="4" t="s">
        <v>5967</v>
      </c>
      <c r="B2610" s="5" t="s">
        <v>5967</v>
      </c>
      <c r="C2610" s="5" t="s">
        <v>69</v>
      </c>
      <c r="D2610" s="5" t="s">
        <v>70</v>
      </c>
      <c r="E2610" s="5" t="s">
        <v>870</v>
      </c>
      <c r="F2610" s="9">
        <v>35</v>
      </c>
      <c r="G2610" s="9">
        <v>340</v>
      </c>
      <c r="H2610" s="5" t="s">
        <v>20</v>
      </c>
      <c r="I2610" s="5" t="s">
        <v>5975</v>
      </c>
      <c r="J2610" s="12" t="str">
        <f>HYPERLINK("https://www.boe.es/gazeta/dias/1806/04/25/pdfs/GMD-1806-35.pdf#page=4","Abrir facsímil")</f>
        <v>Abrir facsímil</v>
      </c>
      <c r="K2610" s="15" t="s">
        <v>22</v>
      </c>
    </row>
    <row r="2611" spans="1:11" ht="42" customHeight="1">
      <c r="A2611" s="4" t="s">
        <v>5967</v>
      </c>
      <c r="B2611" s="5" t="s">
        <v>5967</v>
      </c>
      <c r="C2611" s="5" t="s">
        <v>31</v>
      </c>
      <c r="D2611" s="5" t="s">
        <v>32</v>
      </c>
      <c r="E2611" s="5" t="s">
        <v>455</v>
      </c>
      <c r="F2611" s="9">
        <v>85</v>
      </c>
      <c r="G2611" s="9">
        <v>878</v>
      </c>
      <c r="H2611" s="5" t="s">
        <v>20</v>
      </c>
      <c r="I2611" s="5" t="s">
        <v>5976</v>
      </c>
      <c r="J2611" s="12" t="str">
        <f>HYPERLINK("https://www.boe.es/gazeta/dias/1806/10/17/pdfs/GMD-1806-85.pdf#page=6","Abrir facsímil")</f>
        <v>Abrir facsímil</v>
      </c>
      <c r="K2611" s="15" t="s">
        <v>22</v>
      </c>
    </row>
    <row r="2612" spans="1:11" ht="42" customHeight="1">
      <c r="A2612" s="4" t="s">
        <v>5967</v>
      </c>
      <c r="B2612" s="5" t="s">
        <v>5967</v>
      </c>
      <c r="C2612" s="5" t="s">
        <v>69</v>
      </c>
      <c r="D2612" s="5" t="s">
        <v>70</v>
      </c>
      <c r="E2612" s="5" t="s">
        <v>816</v>
      </c>
      <c r="F2612" s="9">
        <v>86</v>
      </c>
      <c r="G2612" s="9">
        <v>888</v>
      </c>
      <c r="H2612" s="5" t="s">
        <v>20</v>
      </c>
      <c r="I2612" s="5" t="s">
        <v>5977</v>
      </c>
      <c r="J2612" s="12" t="str">
        <f>HYPERLINK("https://www.boe.es/gazeta/dias/1806/10/21/pdfs/GMD-1806-86.pdf#page=4","Abrir facsímil")</f>
        <v>Abrir facsímil</v>
      </c>
      <c r="K2612" s="15" t="s">
        <v>22</v>
      </c>
    </row>
    <row r="2613" spans="1:11" ht="42" customHeight="1">
      <c r="A2613" s="4" t="s">
        <v>5978</v>
      </c>
      <c r="B2613" s="5" t="s">
        <v>5979</v>
      </c>
      <c r="C2613" s="5" t="s">
        <v>69</v>
      </c>
      <c r="D2613" s="5" t="s">
        <v>70</v>
      </c>
      <c r="E2613" s="5" t="s">
        <v>689</v>
      </c>
      <c r="F2613" s="9">
        <v>37</v>
      </c>
      <c r="G2613" s="9">
        <v>354</v>
      </c>
      <c r="H2613" s="5" t="s">
        <v>20</v>
      </c>
      <c r="I2613" s="5" t="s">
        <v>5980</v>
      </c>
      <c r="J2613" s="12" t="str">
        <f>HYPERLINK("https://www.boe.es/gazeta/dias/1806/05/02/pdfs/GMD-1806-37.pdf#page=2","Abrir facsímil")</f>
        <v>Abrir facsímil</v>
      </c>
      <c r="K2613" s="15" t="s">
        <v>22</v>
      </c>
    </row>
    <row r="2614" spans="1:11" ht="42" customHeight="1">
      <c r="A2614" s="4" t="s">
        <v>5981</v>
      </c>
      <c r="B2614" s="5" t="s">
        <v>5982</v>
      </c>
      <c r="C2614" s="5" t="s">
        <v>31</v>
      </c>
      <c r="D2614" s="5" t="s">
        <v>32</v>
      </c>
      <c r="E2614" s="5" t="s">
        <v>161</v>
      </c>
      <c r="F2614" s="9">
        <v>11</v>
      </c>
      <c r="G2614" s="9">
        <v>98</v>
      </c>
      <c r="H2614" s="5" t="s">
        <v>20</v>
      </c>
      <c r="I2614" s="5" t="s">
        <v>5983</v>
      </c>
      <c r="J2614" s="12" t="str">
        <f>HYPERLINK("https://www.boe.es/gazeta/dias/1806/01/31/pdfs/GMD-1806-11.pdf#page=6","Abrir facsímil")</f>
        <v>Abrir facsímil</v>
      </c>
      <c r="K2614" s="15" t="s">
        <v>22</v>
      </c>
    </row>
    <row r="2615" spans="1:11" ht="42" customHeight="1">
      <c r="A2615" s="4" t="s">
        <v>5984</v>
      </c>
      <c r="B2615" s="5" t="s">
        <v>5984</v>
      </c>
      <c r="C2615" s="5" t="s">
        <v>17</v>
      </c>
      <c r="D2615" s="5" t="s">
        <v>18</v>
      </c>
      <c r="E2615" s="5" t="s">
        <v>103</v>
      </c>
      <c r="F2615" s="9">
        <v>61</v>
      </c>
      <c r="G2615" s="9">
        <v>639</v>
      </c>
      <c r="H2615" s="5" t="s">
        <v>20</v>
      </c>
      <c r="I2615" s="5" t="s">
        <v>5985</v>
      </c>
      <c r="J2615" s="12" t="str">
        <f>HYPERLINK("https://www.boe.es/gazeta/dias/1806/07/25/pdfs/GMD-1806-61.pdf#page=11","Abrir facsímil")</f>
        <v>Abrir facsímil</v>
      </c>
      <c r="K2615" s="15" t="s">
        <v>22</v>
      </c>
    </row>
    <row r="2616" spans="1:11" ht="42" customHeight="1">
      <c r="A2616" s="4" t="s">
        <v>5986</v>
      </c>
      <c r="B2616" s="5" t="s">
        <v>5986</v>
      </c>
      <c r="C2616" s="5" t="s">
        <v>17</v>
      </c>
      <c r="D2616" s="5" t="s">
        <v>18</v>
      </c>
      <c r="E2616" s="5" t="s">
        <v>580</v>
      </c>
      <c r="F2616" s="9">
        <v>23</v>
      </c>
      <c r="G2616" s="9">
        <v>218</v>
      </c>
      <c r="H2616" s="5" t="s">
        <v>20</v>
      </c>
      <c r="I2616" s="5" t="s">
        <v>5987</v>
      </c>
      <c r="J2616" s="12" t="str">
        <f>HYPERLINK("https://www.boe.es/gazeta/dias/1806/03/14/pdfs/GMD-1806-23.pdf#page=6","Abrir facsímil")</f>
        <v>Abrir facsímil</v>
      </c>
      <c r="K2616" s="15" t="s">
        <v>22</v>
      </c>
    </row>
    <row r="2617" spans="1:11" ht="42" customHeight="1">
      <c r="A2617" s="4" t="s">
        <v>5988</v>
      </c>
      <c r="B2617" s="5" t="s">
        <v>5988</v>
      </c>
      <c r="C2617" s="5" t="s">
        <v>69</v>
      </c>
      <c r="D2617" s="5" t="s">
        <v>70</v>
      </c>
      <c r="E2617" s="5" t="s">
        <v>600</v>
      </c>
      <c r="F2617" s="9">
        <v>77</v>
      </c>
      <c r="G2617" s="9">
        <v>791</v>
      </c>
      <c r="H2617" s="5" t="s">
        <v>20</v>
      </c>
      <c r="I2617" s="5" t="s">
        <v>5989</v>
      </c>
      <c r="J2617" s="12" t="str">
        <f>HYPERLINK("https://www.boe.es/gazeta/dias/1806/09/19/pdfs/GMD-1806-77.pdf#page=3","Abrir facsímil")</f>
        <v>Abrir facsímil</v>
      </c>
      <c r="K2617" s="15" t="s">
        <v>22</v>
      </c>
    </row>
    <row r="2618" spans="1:11" ht="42" customHeight="1">
      <c r="A2618" s="4" t="s">
        <v>5990</v>
      </c>
      <c r="B2618" s="5" t="s">
        <v>5991</v>
      </c>
      <c r="C2618" s="5" t="s">
        <v>36</v>
      </c>
      <c r="D2618" s="5" t="s">
        <v>37</v>
      </c>
      <c r="E2618" s="5" t="s">
        <v>209</v>
      </c>
      <c r="F2618" s="9">
        <v>95</v>
      </c>
      <c r="G2618" s="9">
        <v>996</v>
      </c>
      <c r="H2618" s="5" t="s">
        <v>20</v>
      </c>
      <c r="I2618" s="5" t="s">
        <v>5992</v>
      </c>
      <c r="J2618" s="12" t="str">
        <f>HYPERLINK("https://www.boe.es/gazeta/dias/1806/11/21/pdfs/GMD-1806-95.pdf#page=4","Abrir facsímil")</f>
        <v>Abrir facsímil</v>
      </c>
      <c r="K2618" s="15" t="s">
        <v>22</v>
      </c>
    </row>
    <row r="2619" spans="1:11" ht="42" customHeight="1">
      <c r="A2619" s="4" t="s">
        <v>5993</v>
      </c>
      <c r="B2619" s="5" t="s">
        <v>5994</v>
      </c>
      <c r="C2619" s="5" t="s">
        <v>31</v>
      </c>
      <c r="D2619" s="5" t="s">
        <v>32</v>
      </c>
      <c r="E2619" s="5" t="s">
        <v>165</v>
      </c>
      <c r="F2619" s="9">
        <v>101</v>
      </c>
      <c r="G2619" s="9">
        <v>1074</v>
      </c>
      <c r="H2619" s="5" t="s">
        <v>20</v>
      </c>
      <c r="I2619" s="5" t="s">
        <v>5995</v>
      </c>
      <c r="J2619" s="12" t="str">
        <f>HYPERLINK("https://www.boe.es/gazeta/dias/1806/12/12/pdfs/GMD-1806-101.pdf#page=6","Abrir facsímil")</f>
        <v>Abrir facsímil</v>
      </c>
      <c r="K2619" s="15" t="s">
        <v>22</v>
      </c>
    </row>
    <row r="2620" spans="1:11" ht="42" customHeight="1">
      <c r="A2620" s="4" t="s">
        <v>5996</v>
      </c>
      <c r="B2620" s="5" t="s">
        <v>5997</v>
      </c>
      <c r="C2620" s="5" t="s">
        <v>31</v>
      </c>
      <c r="D2620" s="5" t="s">
        <v>32</v>
      </c>
      <c r="E2620" s="5" t="s">
        <v>124</v>
      </c>
      <c r="F2620" s="9">
        <v>25</v>
      </c>
      <c r="G2620" s="9">
        <v>239</v>
      </c>
      <c r="H2620" s="5" t="s">
        <v>20</v>
      </c>
      <c r="I2620" s="5" t="s">
        <v>5998</v>
      </c>
      <c r="J2620" s="12" t="str">
        <f>HYPERLINK("https://www.boe.es/gazeta/dias/1806/03/21/pdfs/GMD-1806-25.pdf#page=3","Abrir facsímil")</f>
        <v>Abrir facsímil</v>
      </c>
      <c r="K2620" s="15" t="s">
        <v>22</v>
      </c>
    </row>
    <row r="2621" spans="1:11" ht="42" customHeight="1">
      <c r="A2621" s="4" t="s">
        <v>5999</v>
      </c>
      <c r="B2621" s="5" t="s">
        <v>6000</v>
      </c>
      <c r="C2621" s="5" t="s">
        <v>447</v>
      </c>
      <c r="D2621" s="5" t="s">
        <v>448</v>
      </c>
      <c r="E2621" s="5" t="s">
        <v>304</v>
      </c>
      <c r="F2621" s="9">
        <v>47</v>
      </c>
      <c r="G2621" s="9">
        <v>482</v>
      </c>
      <c r="H2621" s="5" t="s">
        <v>20</v>
      </c>
      <c r="I2621" s="5" t="s">
        <v>6001</v>
      </c>
      <c r="J2621" s="12" t="str">
        <f>HYPERLINK("https://www.boe.es/gazeta/dias/1806/06/06/pdfs/GMD-C-1806-47.pdf#page=2","Abrir facsímil")</f>
        <v>Abrir facsímil</v>
      </c>
      <c r="K2621" s="15" t="s">
        <v>22</v>
      </c>
    </row>
    <row r="2622" spans="1:11" ht="42" customHeight="1">
      <c r="A2622" s="4" t="s">
        <v>6002</v>
      </c>
      <c r="B2622" s="5" t="s">
        <v>6003</v>
      </c>
      <c r="C2622" s="5" t="s">
        <v>31</v>
      </c>
      <c r="D2622" s="5" t="s">
        <v>32</v>
      </c>
      <c r="E2622" s="5" t="s">
        <v>136</v>
      </c>
      <c r="F2622" s="9">
        <v>50</v>
      </c>
      <c r="G2622" s="9">
        <v>515</v>
      </c>
      <c r="H2622" s="5" t="s">
        <v>20</v>
      </c>
      <c r="I2622" s="5" t="s">
        <v>6004</v>
      </c>
      <c r="J2622" s="12" t="str">
        <f>HYPERLINK("https://www.boe.es/gazeta/dias/1806/06/17/pdfs/GMD-1806-50.pdf#page=7","Abrir facsímil")</f>
        <v>Abrir facsímil</v>
      </c>
      <c r="K2622" s="15" t="s">
        <v>22</v>
      </c>
    </row>
    <row r="2623" spans="1:11" ht="42" customHeight="1">
      <c r="A2623" s="4" t="s">
        <v>6005</v>
      </c>
      <c r="B2623" s="5" t="s">
        <v>6006</v>
      </c>
      <c r="C2623" s="5" t="s">
        <v>31</v>
      </c>
      <c r="D2623" s="5" t="s">
        <v>32</v>
      </c>
      <c r="E2623" s="5" t="s">
        <v>86</v>
      </c>
      <c r="F2623" s="9">
        <v>53</v>
      </c>
      <c r="G2623" s="9">
        <v>555</v>
      </c>
      <c r="H2623" s="5" t="s">
        <v>20</v>
      </c>
      <c r="I2623" s="5" t="s">
        <v>6007</v>
      </c>
      <c r="J2623" s="12" t="str">
        <f>HYPERLINK("https://www.boe.es/gazeta/dias/1806/06/27/pdfs/GMD-1806-53.pdf#page=11","Abrir facsímil")</f>
        <v>Abrir facsímil</v>
      </c>
      <c r="K2623" s="15" t="s">
        <v>22</v>
      </c>
    </row>
    <row r="2624" spans="1:11" ht="42" customHeight="1">
      <c r="A2624" s="4" t="s">
        <v>6008</v>
      </c>
      <c r="B2624" s="5" t="s">
        <v>6009</v>
      </c>
      <c r="C2624" s="5" t="s">
        <v>75</v>
      </c>
      <c r="D2624" s="5" t="s">
        <v>43</v>
      </c>
      <c r="E2624" s="5" t="s">
        <v>301</v>
      </c>
      <c r="F2624" s="9">
        <v>75</v>
      </c>
      <c r="G2624" s="9">
        <v>779</v>
      </c>
      <c r="H2624" s="5" t="s">
        <v>20</v>
      </c>
      <c r="I2624" s="5" t="s">
        <v>6010</v>
      </c>
      <c r="J2624" s="12" t="str">
        <f>HYPERLINK("https://www.boe.es/gazeta/dias/1806/09/12/pdfs/GMD-1806-75.pdf#page=11","Abrir facsímil")</f>
        <v>Abrir facsímil</v>
      </c>
      <c r="K2624" s="15" t="s">
        <v>22</v>
      </c>
    </row>
    <row r="2625" spans="1:11" ht="42" customHeight="1">
      <c r="A2625" s="4" t="s">
        <v>6011</v>
      </c>
      <c r="B2625" s="5" t="s">
        <v>6012</v>
      </c>
      <c r="C2625" s="5" t="s">
        <v>17</v>
      </c>
      <c r="D2625" s="5" t="s">
        <v>18</v>
      </c>
      <c r="E2625" s="5" t="s">
        <v>220</v>
      </c>
      <c r="F2625" s="9">
        <v>24</v>
      </c>
      <c r="G2625" s="9">
        <v>232</v>
      </c>
      <c r="H2625" s="5" t="s">
        <v>20</v>
      </c>
      <c r="I2625" s="5" t="s">
        <v>6013</v>
      </c>
      <c r="J2625" s="12" t="str">
        <f>HYPERLINK("https://www.boe.es/gazeta/dias/1806/03/18/pdfs/GMD-1806-24.pdf#page=8","Abrir facsímil")</f>
        <v>Abrir facsímil</v>
      </c>
      <c r="K2625" s="15" t="s">
        <v>22</v>
      </c>
    </row>
    <row r="2626" spans="1:11" ht="42" customHeight="1">
      <c r="A2626" s="4" t="s">
        <v>6014</v>
      </c>
      <c r="B2626" s="5" t="s">
        <v>6015</v>
      </c>
      <c r="C2626" s="5" t="s">
        <v>31</v>
      </c>
      <c r="D2626" s="5" t="s">
        <v>32</v>
      </c>
      <c r="E2626" s="5" t="s">
        <v>24</v>
      </c>
      <c r="F2626" s="9">
        <v>32</v>
      </c>
      <c r="G2626" s="9">
        <v>315</v>
      </c>
      <c r="H2626" s="5" t="s">
        <v>20</v>
      </c>
      <c r="I2626" s="5" t="s">
        <v>6016</v>
      </c>
      <c r="J2626" s="12" t="str">
        <f>HYPERLINK("https://www.boe.es/gazeta/dias/1806/04/15/pdfs/GMD-1806-32.pdf#page=7","Abrir facsímil")</f>
        <v>Abrir facsímil</v>
      </c>
      <c r="K2626" s="15" t="s">
        <v>22</v>
      </c>
    </row>
    <row r="2627" spans="1:11" ht="42" customHeight="1">
      <c r="A2627" s="4" t="s">
        <v>6017</v>
      </c>
      <c r="B2627" s="5" t="s">
        <v>6018</v>
      </c>
      <c r="C2627" s="5" t="s">
        <v>69</v>
      </c>
      <c r="D2627" s="5" t="s">
        <v>70</v>
      </c>
      <c r="E2627" s="5" t="s">
        <v>657</v>
      </c>
      <c r="F2627" s="9">
        <v>96</v>
      </c>
      <c r="G2627" s="9">
        <v>1017</v>
      </c>
      <c r="H2627" s="5" t="s">
        <v>20</v>
      </c>
      <c r="I2627" s="5" t="s">
        <v>6019</v>
      </c>
      <c r="J2627" s="12" t="str">
        <f>HYPERLINK("https://www.boe.es/gazeta/dias/1806/11/25/pdfs/GMD-1806-96.pdf#page=9","Abrir facsímil")</f>
        <v>Abrir facsímil</v>
      </c>
      <c r="K2627" s="15" t="s">
        <v>22</v>
      </c>
    </row>
    <row r="2628" spans="1:11" ht="42" customHeight="1">
      <c r="A2628" s="4" t="s">
        <v>6020</v>
      </c>
      <c r="B2628" s="5" t="s">
        <v>6021</v>
      </c>
      <c r="C2628" s="5" t="s">
        <v>31</v>
      </c>
      <c r="D2628" s="5" t="s">
        <v>32</v>
      </c>
      <c r="E2628" s="5" t="s">
        <v>191</v>
      </c>
      <c r="F2628" s="9">
        <v>103</v>
      </c>
      <c r="G2628" s="9">
        <v>1097</v>
      </c>
      <c r="H2628" s="5" t="s">
        <v>20</v>
      </c>
      <c r="I2628" s="5" t="s">
        <v>6022</v>
      </c>
      <c r="J2628" s="12" t="str">
        <f>HYPERLINK("https://www.boe.es/gazeta/dias/1806/12/19/pdfs/GMD-1806-103.pdf#page=9","Abrir facsímil")</f>
        <v>Abrir facsímil</v>
      </c>
      <c r="K2628" s="15" t="s">
        <v>22</v>
      </c>
    </row>
    <row r="2629" spans="1:11" ht="42" customHeight="1">
      <c r="A2629" s="4" t="s">
        <v>6023</v>
      </c>
      <c r="B2629" s="5" t="s">
        <v>6024</v>
      </c>
      <c r="C2629" s="5" t="s">
        <v>36</v>
      </c>
      <c r="D2629" s="5" t="s">
        <v>37</v>
      </c>
      <c r="E2629" s="5" t="s">
        <v>438</v>
      </c>
      <c r="F2629" s="9">
        <v>70</v>
      </c>
      <c r="G2629" s="9">
        <v>732</v>
      </c>
      <c r="H2629" s="5" t="s">
        <v>20</v>
      </c>
      <c r="I2629" s="5" t="s">
        <v>6025</v>
      </c>
      <c r="J2629" s="12" t="str">
        <f>HYPERLINK("https://www.boe.es/gazeta/dias/1806/08/26/pdfs/GMD-1806-70.pdf#page=8","Abrir facsímil")</f>
        <v>Abrir facsímil</v>
      </c>
      <c r="K2629" s="15" t="s">
        <v>22</v>
      </c>
    </row>
    <row r="2630" spans="1:11" ht="42" customHeight="1">
      <c r="A2630" s="4" t="s">
        <v>6026</v>
      </c>
      <c r="B2630" s="5" t="s">
        <v>6027</v>
      </c>
      <c r="C2630" s="5" t="s">
        <v>31</v>
      </c>
      <c r="D2630" s="5" t="s">
        <v>32</v>
      </c>
      <c r="E2630" s="5" t="s">
        <v>48</v>
      </c>
      <c r="F2630" s="9">
        <v>67</v>
      </c>
      <c r="G2630" s="9">
        <v>699</v>
      </c>
      <c r="H2630" s="5" t="s">
        <v>20</v>
      </c>
      <c r="I2630" s="5" t="s">
        <v>6028</v>
      </c>
      <c r="J2630" s="12" t="str">
        <f>HYPERLINK("https://www.boe.es/gazeta/dias/1806/08/15/pdfs/GMD-1806-67.pdf#page=7","Abrir facsímil")</f>
        <v>Abrir facsímil</v>
      </c>
      <c r="K2630" s="15" t="s">
        <v>22</v>
      </c>
    </row>
    <row r="2631" spans="1:11" ht="42" customHeight="1">
      <c r="A2631" s="4" t="s">
        <v>6029</v>
      </c>
      <c r="B2631" s="5" t="s">
        <v>6030</v>
      </c>
      <c r="C2631" s="5" t="s">
        <v>31</v>
      </c>
      <c r="D2631" s="5" t="s">
        <v>32</v>
      </c>
      <c r="E2631" s="5" t="s">
        <v>209</v>
      </c>
      <c r="F2631" s="9">
        <v>95</v>
      </c>
      <c r="G2631" s="9">
        <v>1000</v>
      </c>
      <c r="H2631" s="5" t="s">
        <v>20</v>
      </c>
      <c r="I2631" s="5" t="s">
        <v>6031</v>
      </c>
      <c r="J2631" s="12" t="str">
        <f>HYPERLINK("https://www.boe.es/gazeta/dias/1806/11/21/pdfs/GMD-1806-95.pdf#page=8","Abrir facsímil")</f>
        <v>Abrir facsímil</v>
      </c>
      <c r="K2631" s="15" t="s">
        <v>22</v>
      </c>
    </row>
    <row r="2632" spans="1:11" ht="42" customHeight="1">
      <c r="A2632" s="4" t="s">
        <v>6032</v>
      </c>
      <c r="B2632" s="5" t="s">
        <v>6032</v>
      </c>
      <c r="C2632" s="5" t="s">
        <v>17</v>
      </c>
      <c r="D2632" s="5" t="s">
        <v>18</v>
      </c>
      <c r="E2632" s="5" t="s">
        <v>306</v>
      </c>
      <c r="F2632" s="9">
        <v>59</v>
      </c>
      <c r="G2632" s="9">
        <v>613</v>
      </c>
      <c r="H2632" s="5" t="s">
        <v>20</v>
      </c>
      <c r="I2632" s="5" t="s">
        <v>6033</v>
      </c>
      <c r="J2632" s="12" t="str">
        <f>HYPERLINK("https://www.boe.es/gazeta/dias/1806/07/18/pdfs/GMD-1806-59.pdf#page=9","Abrir facsímil")</f>
        <v>Abrir facsímil</v>
      </c>
      <c r="K2632" s="15" t="s">
        <v>22</v>
      </c>
    </row>
    <row r="2633" spans="1:11" ht="42" customHeight="1">
      <c r="A2633" s="4" t="s">
        <v>6034</v>
      </c>
      <c r="B2633" s="5" t="s">
        <v>6035</v>
      </c>
      <c r="C2633" s="5" t="s">
        <v>42</v>
      </c>
      <c r="D2633" s="5" t="s">
        <v>43</v>
      </c>
      <c r="E2633" s="5" t="s">
        <v>136</v>
      </c>
      <c r="F2633" s="9">
        <v>50</v>
      </c>
      <c r="G2633" s="9">
        <v>515</v>
      </c>
      <c r="H2633" s="5" t="s">
        <v>20</v>
      </c>
      <c r="I2633" s="5" t="s">
        <v>6036</v>
      </c>
      <c r="J2633" s="12" t="str">
        <f>HYPERLINK("https://www.boe.es/gazeta/dias/1806/06/17/pdfs/GMD-1806-50.pdf#page=7","Abrir facsímil")</f>
        <v>Abrir facsímil</v>
      </c>
      <c r="K2633" s="15" t="s">
        <v>22</v>
      </c>
    </row>
    <row r="2634" spans="1:11" ht="42" customHeight="1">
      <c r="A2634" s="4" t="s">
        <v>6037</v>
      </c>
      <c r="B2634" s="5" t="s">
        <v>6038</v>
      </c>
      <c r="C2634" s="5" t="s">
        <v>31</v>
      </c>
      <c r="D2634" s="5" t="s">
        <v>32</v>
      </c>
      <c r="E2634" s="5" t="s">
        <v>79</v>
      </c>
      <c r="F2634" s="9">
        <v>68</v>
      </c>
      <c r="G2634" s="9">
        <v>709</v>
      </c>
      <c r="H2634" s="5" t="s">
        <v>20</v>
      </c>
      <c r="I2634" s="5" t="s">
        <v>6039</v>
      </c>
      <c r="J2634" s="12" t="str">
        <f>HYPERLINK("https://www.boe.es/gazeta/dias/1806/08/19/pdfs/GMD-1806-68.pdf#page=5","Abrir facsímil")</f>
        <v>Abrir facsímil</v>
      </c>
      <c r="K2634" s="15" t="s">
        <v>22</v>
      </c>
    </row>
    <row r="2635" spans="1:11" ht="42" customHeight="1">
      <c r="A2635" s="4" t="s">
        <v>6040</v>
      </c>
      <c r="B2635" s="5" t="s">
        <v>6041</v>
      </c>
      <c r="C2635" s="5" t="s">
        <v>17</v>
      </c>
      <c r="D2635" s="5" t="s">
        <v>18</v>
      </c>
      <c r="E2635" s="5" t="s">
        <v>113</v>
      </c>
      <c r="F2635" s="9">
        <v>28</v>
      </c>
      <c r="G2635" s="9">
        <v>278</v>
      </c>
      <c r="H2635" s="5" t="s">
        <v>20</v>
      </c>
      <c r="I2635" s="5" t="s">
        <v>6042</v>
      </c>
      <c r="J2635" s="12" t="str">
        <f>HYPERLINK("https://www.boe.es/gazeta/dias/1806/04/01/pdfs/GMD-1806-28.pdf#page=6","Abrir facsímil")</f>
        <v>Abrir facsímil</v>
      </c>
      <c r="K2635" s="15" t="s">
        <v>22</v>
      </c>
    </row>
    <row r="2636" spans="1:11" ht="42" customHeight="1">
      <c r="A2636" s="4" t="s">
        <v>6043</v>
      </c>
      <c r="B2636" s="5" t="s">
        <v>6044</v>
      </c>
      <c r="C2636" s="5" t="s">
        <v>31</v>
      </c>
      <c r="D2636" s="5" t="s">
        <v>32</v>
      </c>
      <c r="E2636" s="5" t="s">
        <v>304</v>
      </c>
      <c r="F2636" s="9">
        <v>47</v>
      </c>
      <c r="G2636" s="9">
        <v>483</v>
      </c>
      <c r="H2636" s="5" t="s">
        <v>20</v>
      </c>
      <c r="I2636" s="5" t="s">
        <v>6045</v>
      </c>
      <c r="J2636" s="12" t="str">
        <f>HYPERLINK("https://www.boe.es/gazeta/dias/1806/06/06/pdfs/GMD-C-1806-47.pdf#page=3","Abrir facsímil")</f>
        <v>Abrir facsímil</v>
      </c>
      <c r="K2636" s="15" t="s">
        <v>22</v>
      </c>
    </row>
    <row r="2637" spans="1:11" ht="42" customHeight="1">
      <c r="A2637" s="4" t="s">
        <v>6046</v>
      </c>
      <c r="B2637" s="5" t="s">
        <v>6046</v>
      </c>
      <c r="C2637" s="5" t="s">
        <v>31</v>
      </c>
      <c r="D2637" s="5" t="s">
        <v>32</v>
      </c>
      <c r="E2637" s="5" t="s">
        <v>434</v>
      </c>
      <c r="F2637" s="9">
        <v>74</v>
      </c>
      <c r="G2637" s="9">
        <v>766</v>
      </c>
      <c r="H2637" s="5" t="s">
        <v>20</v>
      </c>
      <c r="I2637" s="5" t="s">
        <v>6047</v>
      </c>
      <c r="J2637" s="12" t="str">
        <f>HYPERLINK("https://www.boe.es/gazeta/dias/1806/09/09/pdfs/GMD-1806-74.pdf#page=6","Abrir facsímil")</f>
        <v>Abrir facsímil</v>
      </c>
      <c r="K2637" s="15" t="s">
        <v>22</v>
      </c>
    </row>
    <row r="2638" spans="1:11" ht="42" customHeight="1">
      <c r="A2638" s="4" t="s">
        <v>6048</v>
      </c>
      <c r="B2638" s="5" t="s">
        <v>6049</v>
      </c>
      <c r="C2638" s="5" t="s">
        <v>17</v>
      </c>
      <c r="D2638" s="5" t="s">
        <v>18</v>
      </c>
      <c r="E2638" s="5" t="s">
        <v>76</v>
      </c>
      <c r="F2638" s="9">
        <v>98</v>
      </c>
      <c r="G2638" s="9">
        <v>1037</v>
      </c>
      <c r="H2638" s="5" t="s">
        <v>20</v>
      </c>
      <c r="I2638" s="5" t="s">
        <v>6050</v>
      </c>
      <c r="J2638" s="12" t="str">
        <f>HYPERLINK("https://www.boe.es/gazeta/dias/1806/12/02/pdfs/GMD-1806-98.pdf#page=5","Abrir facsímil")</f>
        <v>Abrir facsímil</v>
      </c>
      <c r="K2638" s="15" t="s">
        <v>22</v>
      </c>
    </row>
    <row r="2639" spans="1:11" ht="42" customHeight="1">
      <c r="A2639" s="4" t="s">
        <v>6051</v>
      </c>
      <c r="B2639" s="5" t="s">
        <v>6051</v>
      </c>
      <c r="C2639" s="5" t="s">
        <v>17</v>
      </c>
      <c r="D2639" s="5" t="s">
        <v>18</v>
      </c>
      <c r="E2639" s="5" t="s">
        <v>837</v>
      </c>
      <c r="F2639" s="9">
        <v>26</v>
      </c>
      <c r="G2639" s="9">
        <v>258</v>
      </c>
      <c r="H2639" s="5" t="s">
        <v>20</v>
      </c>
      <c r="I2639" s="5" t="s">
        <v>6052</v>
      </c>
      <c r="J2639" s="12" t="str">
        <f>HYPERLINK("https://www.boe.es/gazeta/dias/1806/03/25/pdfs/GMD-1806-26.pdf#page=10","Abrir facsímil")</f>
        <v>Abrir facsímil</v>
      </c>
      <c r="K2639" s="15" t="s">
        <v>22</v>
      </c>
    </row>
    <row r="2640" spans="1:11" ht="42" customHeight="1">
      <c r="A2640" s="4" t="s">
        <v>6051</v>
      </c>
      <c r="B2640" s="5" t="s">
        <v>6051</v>
      </c>
      <c r="C2640" s="5" t="s">
        <v>75</v>
      </c>
      <c r="D2640" s="5" t="s">
        <v>43</v>
      </c>
      <c r="E2640" s="5" t="s">
        <v>175</v>
      </c>
      <c r="F2640" s="9">
        <v>40</v>
      </c>
      <c r="G2640" s="9">
        <v>397</v>
      </c>
      <c r="H2640" s="5" t="s">
        <v>20</v>
      </c>
      <c r="I2640" s="5" t="s">
        <v>6053</v>
      </c>
      <c r="J2640" s="12" t="str">
        <f>HYPERLINK("https://www.boe.es/gazeta/dias/1806/05/13/pdfs/GMD-1806-40.pdf#page=9","Abrir facsímil")</f>
        <v>Abrir facsímil</v>
      </c>
      <c r="K2640" s="15" t="s">
        <v>22</v>
      </c>
    </row>
    <row r="2641" spans="1:11" ht="42" customHeight="1">
      <c r="A2641" s="4" t="s">
        <v>6054</v>
      </c>
      <c r="B2641" s="5" t="s">
        <v>6054</v>
      </c>
      <c r="C2641" s="5" t="s">
        <v>31</v>
      </c>
      <c r="D2641" s="5" t="s">
        <v>32</v>
      </c>
      <c r="E2641" s="5" t="s">
        <v>580</v>
      </c>
      <c r="F2641" s="9">
        <v>23</v>
      </c>
      <c r="G2641" s="9">
        <v>220</v>
      </c>
      <c r="H2641" s="5" t="s">
        <v>20</v>
      </c>
      <c r="I2641" s="5" t="s">
        <v>6055</v>
      </c>
      <c r="J2641" s="12" t="str">
        <f>HYPERLINK("https://www.boe.es/gazeta/dias/1806/03/14/pdfs/GMD-1806-23.pdf#page=8","Abrir facsímil")</f>
        <v>Abrir facsímil</v>
      </c>
      <c r="K2641" s="15" t="s">
        <v>22</v>
      </c>
    </row>
    <row r="2642" spans="1:11" ht="42" customHeight="1">
      <c r="A2642" s="4" t="s">
        <v>6056</v>
      </c>
      <c r="B2642" s="5" t="s">
        <v>6057</v>
      </c>
      <c r="C2642" s="5" t="s">
        <v>69</v>
      </c>
      <c r="D2642" s="5" t="s">
        <v>70</v>
      </c>
      <c r="E2642" s="5" t="s">
        <v>38</v>
      </c>
      <c r="F2642" s="9">
        <v>92</v>
      </c>
      <c r="G2642" s="9">
        <v>962</v>
      </c>
      <c r="H2642" s="5" t="s">
        <v>20</v>
      </c>
      <c r="I2642" s="5" t="s">
        <v>6058</v>
      </c>
      <c r="J2642" s="12" t="str">
        <f>HYPERLINK("https://www.boe.es/gazeta/dias/1806/11/11/pdfs/GMD-1806-92.pdf#page=14","Abrir facsímil")</f>
        <v>Abrir facsímil</v>
      </c>
      <c r="K2642" s="15" t="s">
        <v>22</v>
      </c>
    </row>
    <row r="2643" spans="1:11" ht="42" customHeight="1">
      <c r="A2643" s="4" t="s">
        <v>6059</v>
      </c>
      <c r="B2643" s="5" t="s">
        <v>6059</v>
      </c>
      <c r="C2643" s="5" t="s">
        <v>31</v>
      </c>
      <c r="D2643" s="5" t="s">
        <v>32</v>
      </c>
      <c r="E2643" s="5" t="s">
        <v>136</v>
      </c>
      <c r="F2643" s="9">
        <v>50</v>
      </c>
      <c r="G2643" s="9">
        <v>515</v>
      </c>
      <c r="H2643" s="5" t="s">
        <v>20</v>
      </c>
      <c r="I2643" s="5" t="s">
        <v>6060</v>
      </c>
      <c r="J2643" s="12" t="str">
        <f>HYPERLINK("https://www.boe.es/gazeta/dias/1806/06/17/pdfs/GMD-1806-50.pdf#page=7","Abrir facsímil")</f>
        <v>Abrir facsímil</v>
      </c>
      <c r="K2643" s="15" t="s">
        <v>22</v>
      </c>
    </row>
    <row r="2644" spans="1:11" ht="42" customHeight="1">
      <c r="A2644" s="4" t="s">
        <v>6061</v>
      </c>
      <c r="B2644" s="5" t="s">
        <v>6061</v>
      </c>
      <c r="C2644" s="5" t="s">
        <v>17</v>
      </c>
      <c r="D2644" s="5" t="s">
        <v>18</v>
      </c>
      <c r="E2644" s="5" t="s">
        <v>148</v>
      </c>
      <c r="F2644" s="9">
        <v>78</v>
      </c>
      <c r="G2644" s="9">
        <v>804</v>
      </c>
      <c r="H2644" s="5" t="s">
        <v>20</v>
      </c>
      <c r="I2644" s="5" t="s">
        <v>6062</v>
      </c>
      <c r="J2644" s="12" t="str">
        <f>HYPERLINK("https://www.boe.es/gazeta/dias/1806/09/23/pdfs/GMD-1806-78.pdf#page=8","Abrir facsímil")</f>
        <v>Abrir facsímil</v>
      </c>
      <c r="K2644" s="15" t="s">
        <v>22</v>
      </c>
    </row>
    <row r="2645" spans="1:11" ht="42" customHeight="1">
      <c r="A2645" s="4" t="s">
        <v>6063</v>
      </c>
      <c r="B2645" s="5" t="s">
        <v>6064</v>
      </c>
      <c r="C2645" s="5" t="s">
        <v>69</v>
      </c>
      <c r="D2645" s="5" t="s">
        <v>70</v>
      </c>
      <c r="E2645" s="5" t="s">
        <v>327</v>
      </c>
      <c r="F2645" s="9">
        <v>104</v>
      </c>
      <c r="G2645" s="9">
        <v>1104</v>
      </c>
      <c r="H2645" s="5" t="s">
        <v>20</v>
      </c>
      <c r="I2645" s="5" t="s">
        <v>6065</v>
      </c>
      <c r="J2645" s="12" t="str">
        <f>HYPERLINK("https://www.boe.es/gazeta/dias/1806/12/23/pdfs/GMD-1806-104.pdf#page=4","Abrir facsímil")</f>
        <v>Abrir facsímil</v>
      </c>
      <c r="K2645" s="15" t="s">
        <v>22</v>
      </c>
    </row>
    <row r="2646" spans="1:11" ht="42" customHeight="1">
      <c r="A2646" s="4" t="s">
        <v>6066</v>
      </c>
      <c r="B2646" s="5" t="s">
        <v>6067</v>
      </c>
      <c r="C2646" s="5" t="s">
        <v>42</v>
      </c>
      <c r="D2646" s="5" t="s">
        <v>43</v>
      </c>
      <c r="E2646" s="5" t="s">
        <v>309</v>
      </c>
      <c r="F2646" s="9">
        <v>41</v>
      </c>
      <c r="G2646" s="9">
        <v>401</v>
      </c>
      <c r="H2646" s="5" t="s">
        <v>20</v>
      </c>
      <c r="I2646" s="5" t="s">
        <v>6068</v>
      </c>
      <c r="J2646" s="12" t="str">
        <f>HYPERLINK("https://www.boe.es/gazeta/dias/1806/05/16/pdfs/GMD-1806-41.pdf#page=1","Abrir facsímil")</f>
        <v>Abrir facsímil</v>
      </c>
      <c r="K2646" s="15" t="s">
        <v>22</v>
      </c>
    </row>
    <row r="2647" spans="1:11" ht="42" customHeight="1">
      <c r="A2647" s="4" t="s">
        <v>6066</v>
      </c>
      <c r="B2647" s="5" t="s">
        <v>6067</v>
      </c>
      <c r="C2647" s="5" t="s">
        <v>42</v>
      </c>
      <c r="D2647" s="5" t="s">
        <v>43</v>
      </c>
      <c r="E2647" s="5" t="s">
        <v>304</v>
      </c>
      <c r="F2647" s="9">
        <v>47</v>
      </c>
      <c r="G2647" s="9">
        <v>478</v>
      </c>
      <c r="H2647" s="5" t="s">
        <v>20</v>
      </c>
      <c r="I2647" s="5" t="s">
        <v>6069</v>
      </c>
      <c r="J2647" s="12" t="str">
        <f>HYPERLINK("https://www.boe.es/gazeta/dias/1806/06/06/pdfs/GMD-1806-47.pdf#page=6","Abrir facsímil")</f>
        <v>Abrir facsímil</v>
      </c>
      <c r="K2647" s="15" t="s">
        <v>22</v>
      </c>
    </row>
    <row r="2648" spans="1:11" ht="42" customHeight="1">
      <c r="A2648" s="4" t="s">
        <v>6066</v>
      </c>
      <c r="B2648" s="5" t="s">
        <v>6067</v>
      </c>
      <c r="C2648" s="5" t="s">
        <v>69</v>
      </c>
      <c r="D2648" s="5" t="s">
        <v>70</v>
      </c>
      <c r="E2648" s="5" t="s">
        <v>455</v>
      </c>
      <c r="F2648" s="9">
        <v>85</v>
      </c>
      <c r="G2648" s="9">
        <v>874</v>
      </c>
      <c r="H2648" s="5" t="s">
        <v>20</v>
      </c>
      <c r="I2648" s="5" t="s">
        <v>6070</v>
      </c>
      <c r="J2648" s="12" t="str">
        <f>HYPERLINK("https://www.boe.es/gazeta/dias/1806/10/17/pdfs/GMD-1806-85.pdf#page=2","Abrir facsímil")</f>
        <v>Abrir facsímil</v>
      </c>
      <c r="K2648" s="15" t="s">
        <v>22</v>
      </c>
    </row>
    <row r="2649" spans="1:11" ht="42" customHeight="1">
      <c r="A2649" s="4" t="s">
        <v>6071</v>
      </c>
      <c r="B2649" s="5" t="s">
        <v>6072</v>
      </c>
      <c r="C2649" s="5" t="s">
        <v>42</v>
      </c>
      <c r="D2649" s="5" t="s">
        <v>43</v>
      </c>
      <c r="E2649" s="5" t="s">
        <v>400</v>
      </c>
      <c r="F2649" s="9">
        <v>22</v>
      </c>
      <c r="G2649" s="9">
        <v>207</v>
      </c>
      <c r="H2649" s="5" t="s">
        <v>20</v>
      </c>
      <c r="I2649" s="5" t="s">
        <v>6073</v>
      </c>
      <c r="J2649" s="12" t="str">
        <f>HYPERLINK("https://www.boe.es/gazeta/dias/1806/03/11/pdfs/GMD-1806-22.pdf#page=7","Abrir facsímil")</f>
        <v>Abrir facsímil</v>
      </c>
      <c r="K2649" s="15" t="s">
        <v>22</v>
      </c>
    </row>
    <row r="2650" spans="1:11" ht="42" customHeight="1">
      <c r="A2650" s="4" t="s">
        <v>6071</v>
      </c>
      <c r="B2650" s="5" t="s">
        <v>6072</v>
      </c>
      <c r="C2650" s="5" t="s">
        <v>42</v>
      </c>
      <c r="D2650" s="5" t="s">
        <v>43</v>
      </c>
      <c r="E2650" s="5" t="s">
        <v>136</v>
      </c>
      <c r="F2650" s="9">
        <v>50</v>
      </c>
      <c r="G2650" s="9">
        <v>515</v>
      </c>
      <c r="H2650" s="5" t="s">
        <v>20</v>
      </c>
      <c r="I2650" s="5" t="s">
        <v>6074</v>
      </c>
      <c r="J2650" s="12" t="str">
        <f>HYPERLINK("https://www.boe.es/gazeta/dias/1806/06/17/pdfs/GMD-1806-50.pdf#page=7","Abrir facsímil")</f>
        <v>Abrir facsímil</v>
      </c>
      <c r="K2650" s="15" t="s">
        <v>22</v>
      </c>
    </row>
    <row r="2651" spans="1:11" ht="42" customHeight="1">
      <c r="A2651" s="4" t="s">
        <v>6075</v>
      </c>
      <c r="B2651" s="5" t="s">
        <v>6076</v>
      </c>
      <c r="C2651" s="5" t="s">
        <v>31</v>
      </c>
      <c r="D2651" s="5" t="s">
        <v>32</v>
      </c>
      <c r="E2651" s="5" t="s">
        <v>110</v>
      </c>
      <c r="F2651" s="9">
        <v>55</v>
      </c>
      <c r="G2651" s="9">
        <v>572</v>
      </c>
      <c r="H2651" s="5" t="s">
        <v>20</v>
      </c>
      <c r="I2651" s="5" t="s">
        <v>6077</v>
      </c>
      <c r="J2651" s="12" t="str">
        <f>HYPERLINK("https://www.boe.es/gazeta/dias/1806/07/04/pdfs/GMD-1806-55.pdf#page=8","Abrir facsímil")</f>
        <v>Abrir facsímil</v>
      </c>
      <c r="K2651" s="15" t="s">
        <v>22</v>
      </c>
    </row>
    <row r="2652" spans="1:11" ht="42" customHeight="1">
      <c r="A2652" s="4" t="s">
        <v>6078</v>
      </c>
      <c r="B2652" s="5" t="s">
        <v>6078</v>
      </c>
      <c r="C2652" s="5" t="s">
        <v>69</v>
      </c>
      <c r="D2652" s="5" t="s">
        <v>70</v>
      </c>
      <c r="E2652" s="5" t="s">
        <v>118</v>
      </c>
      <c r="F2652" s="9">
        <v>15</v>
      </c>
      <c r="G2652" s="9">
        <v>130</v>
      </c>
      <c r="H2652" s="5" t="s">
        <v>20</v>
      </c>
      <c r="I2652" s="5" t="s">
        <v>6079</v>
      </c>
      <c r="J2652" s="12" t="str">
        <f>HYPERLINK("https://www.boe.es/gazeta/dias/1806/02/14/pdfs/GMD-1806-15.pdf#page=6","Abrir facsímil")</f>
        <v>Abrir facsímil</v>
      </c>
      <c r="K2652" s="15" t="s">
        <v>22</v>
      </c>
    </row>
    <row r="2653" spans="1:11" ht="42" customHeight="1">
      <c r="A2653" s="4" t="s">
        <v>6080</v>
      </c>
      <c r="B2653" s="5" t="s">
        <v>6081</v>
      </c>
      <c r="C2653" s="5" t="s">
        <v>69</v>
      </c>
      <c r="D2653" s="5" t="s">
        <v>70</v>
      </c>
      <c r="E2653" s="5" t="s">
        <v>51</v>
      </c>
      <c r="F2653" s="9">
        <v>44</v>
      </c>
      <c r="G2653" s="9">
        <v>438</v>
      </c>
      <c r="H2653" s="5" t="s">
        <v>20</v>
      </c>
      <c r="I2653" s="5" t="s">
        <v>6082</v>
      </c>
      <c r="J2653" s="12" t="str">
        <f>HYPERLINK("https://www.boe.es/gazeta/dias/1806/05/27/pdfs/GMD-1806-44.pdf#page=2","Abrir facsímil")</f>
        <v>Abrir facsímil</v>
      </c>
      <c r="K2653" s="15" t="s">
        <v>22</v>
      </c>
    </row>
    <row r="2654" spans="1:11" ht="42" customHeight="1">
      <c r="A2654" s="4" t="s">
        <v>6083</v>
      </c>
      <c r="B2654" s="5" t="s">
        <v>6084</v>
      </c>
      <c r="C2654" s="5" t="s">
        <v>69</v>
      </c>
      <c r="D2654" s="5" t="s">
        <v>70</v>
      </c>
      <c r="E2654" s="5" t="s">
        <v>306</v>
      </c>
      <c r="F2654" s="9">
        <v>59</v>
      </c>
      <c r="G2654" s="9">
        <v>607</v>
      </c>
      <c r="H2654" s="5" t="s">
        <v>20</v>
      </c>
      <c r="I2654" s="5" t="s">
        <v>6085</v>
      </c>
      <c r="J2654" s="12" t="str">
        <f>HYPERLINK("https://www.boe.es/gazeta/dias/1806/07/18/pdfs/GMD-1806-59.pdf#page=3","Abrir facsímil")</f>
        <v>Abrir facsímil</v>
      </c>
      <c r="K2654" s="15" t="s">
        <v>22</v>
      </c>
    </row>
    <row r="2655" spans="1:11" ht="42" customHeight="1">
      <c r="A2655" s="4" t="s">
        <v>6086</v>
      </c>
      <c r="B2655" s="5" t="s">
        <v>6087</v>
      </c>
      <c r="C2655" s="5" t="s">
        <v>69</v>
      </c>
      <c r="D2655" s="5" t="s">
        <v>70</v>
      </c>
      <c r="E2655" s="5" t="s">
        <v>911</v>
      </c>
      <c r="F2655" s="9">
        <v>64</v>
      </c>
      <c r="G2655" s="9">
        <v>665</v>
      </c>
      <c r="H2655" s="5" t="s">
        <v>20</v>
      </c>
      <c r="I2655" s="5" t="s">
        <v>6088</v>
      </c>
      <c r="J2655" s="12" t="str">
        <f>HYPERLINK("https://www.boe.es/gazeta/dias/1806/08/05/pdfs/GMD-1806-64.pdf#page=1","Abrir facsímil")</f>
        <v>Abrir facsímil</v>
      </c>
      <c r="K2655" s="15" t="s">
        <v>22</v>
      </c>
    </row>
    <row r="2656" spans="1:11" ht="42" customHeight="1">
      <c r="A2656" s="4" t="s">
        <v>6089</v>
      </c>
      <c r="B2656" s="5" t="s">
        <v>6090</v>
      </c>
      <c r="C2656" s="5" t="s">
        <v>36</v>
      </c>
      <c r="D2656" s="5" t="s">
        <v>37</v>
      </c>
      <c r="E2656" s="5" t="s">
        <v>716</v>
      </c>
      <c r="F2656" s="9">
        <v>56</v>
      </c>
      <c r="G2656" s="9">
        <v>588</v>
      </c>
      <c r="H2656" s="5" t="s">
        <v>20</v>
      </c>
      <c r="I2656" s="5" t="s">
        <v>6091</v>
      </c>
      <c r="J2656" s="12" t="str">
        <f>HYPERLINK("https://www.boe.es/gazeta/dias/1806/07/08/pdfs/GMD-1806-56.pdf#page=12","Abrir facsímil")</f>
        <v>Abrir facsímil</v>
      </c>
      <c r="K2656" s="15" t="s">
        <v>22</v>
      </c>
    </row>
    <row r="2657" spans="1:11" ht="42" customHeight="1">
      <c r="A2657" s="4" t="s">
        <v>6089</v>
      </c>
      <c r="B2657" s="5" t="s">
        <v>6090</v>
      </c>
      <c r="C2657" s="5" t="s">
        <v>17</v>
      </c>
      <c r="D2657" s="5" t="s">
        <v>18</v>
      </c>
      <c r="E2657" s="5" t="s">
        <v>103</v>
      </c>
      <c r="F2657" s="9">
        <v>61</v>
      </c>
      <c r="G2657" s="9">
        <v>636</v>
      </c>
      <c r="H2657" s="5" t="s">
        <v>20</v>
      </c>
      <c r="I2657" s="5" t="s">
        <v>6092</v>
      </c>
      <c r="J2657" s="12" t="str">
        <f>HYPERLINK("https://www.boe.es/gazeta/dias/1806/07/25/pdfs/GMD-1806-61.pdf#page=8","Abrir facsímil")</f>
        <v>Abrir facsímil</v>
      </c>
      <c r="K2657" s="15" t="s">
        <v>22</v>
      </c>
    </row>
    <row r="2658" spans="1:11" ht="42" customHeight="1">
      <c r="A2658" s="4" t="s">
        <v>6093</v>
      </c>
      <c r="B2658" s="5" t="s">
        <v>6094</v>
      </c>
      <c r="C2658" s="5" t="s">
        <v>31</v>
      </c>
      <c r="D2658" s="5" t="s">
        <v>32</v>
      </c>
      <c r="E2658" s="5" t="s">
        <v>580</v>
      </c>
      <c r="F2658" s="9">
        <v>23</v>
      </c>
      <c r="G2658" s="9">
        <v>220</v>
      </c>
      <c r="H2658" s="5" t="s">
        <v>20</v>
      </c>
      <c r="I2658" s="5" t="s">
        <v>6095</v>
      </c>
      <c r="J2658" s="12" t="str">
        <f>HYPERLINK("https://www.boe.es/gazeta/dias/1806/03/14/pdfs/GMD-1806-23.pdf#page=8","Abrir facsímil")</f>
        <v>Abrir facsímil</v>
      </c>
      <c r="K2658" s="15" t="s">
        <v>22</v>
      </c>
    </row>
    <row r="2659" spans="1:11" ht="42" customHeight="1">
      <c r="A2659" s="4" t="s">
        <v>6096</v>
      </c>
      <c r="B2659" s="5" t="s">
        <v>6097</v>
      </c>
      <c r="C2659" s="5" t="s">
        <v>75</v>
      </c>
      <c r="D2659" s="5" t="s">
        <v>43</v>
      </c>
      <c r="E2659" s="5" t="s">
        <v>103</v>
      </c>
      <c r="F2659" s="9">
        <v>61</v>
      </c>
      <c r="G2659" s="9">
        <v>638</v>
      </c>
      <c r="H2659" s="5" t="s">
        <v>20</v>
      </c>
      <c r="I2659" s="5" t="s">
        <v>6098</v>
      </c>
      <c r="J2659" s="12" t="str">
        <f>HYPERLINK("https://www.boe.es/gazeta/dias/1806/07/25/pdfs/GMD-1806-61.pdf#page=10","Abrir facsímil")</f>
        <v>Abrir facsímil</v>
      </c>
      <c r="K2659" s="15" t="s">
        <v>22</v>
      </c>
    </row>
    <row r="2660" spans="1:11" ht="42" customHeight="1">
      <c r="A2660" s="4" t="s">
        <v>6099</v>
      </c>
      <c r="B2660" s="5" t="s">
        <v>6100</v>
      </c>
      <c r="C2660" s="5" t="s">
        <v>17</v>
      </c>
      <c r="D2660" s="5" t="s">
        <v>18</v>
      </c>
      <c r="E2660" s="5" t="s">
        <v>810</v>
      </c>
      <c r="F2660" s="9">
        <v>71</v>
      </c>
      <c r="G2660" s="9">
        <v>739</v>
      </c>
      <c r="H2660" s="5" t="s">
        <v>20</v>
      </c>
      <c r="I2660" s="5" t="s">
        <v>6101</v>
      </c>
      <c r="J2660" s="12" t="str">
        <f>HYPERLINK("https://www.boe.es/gazeta/dias/1806/08/29/pdfs/GMD-1806-71.pdf#page=7","Abrir facsímil")</f>
        <v>Abrir facsímil</v>
      </c>
      <c r="K2660" s="15" t="s">
        <v>22</v>
      </c>
    </row>
    <row r="2661" spans="1:11" ht="42" customHeight="1">
      <c r="A2661" s="4" t="s">
        <v>6102</v>
      </c>
      <c r="B2661" s="5" t="s">
        <v>6103</v>
      </c>
      <c r="C2661" s="5" t="s">
        <v>42</v>
      </c>
      <c r="D2661" s="5" t="s">
        <v>43</v>
      </c>
      <c r="E2661" s="5" t="s">
        <v>327</v>
      </c>
      <c r="F2661" s="9">
        <v>104</v>
      </c>
      <c r="G2661" s="9">
        <v>1110</v>
      </c>
      <c r="H2661" s="5" t="s">
        <v>20</v>
      </c>
      <c r="I2661" s="5" t="s">
        <v>6104</v>
      </c>
      <c r="J2661" s="12" t="str">
        <f>HYPERLINK("https://www.boe.es/gazeta/dias/1806/12/23/pdfs/GMD-1806-104.pdf#page=10","Abrir facsímil")</f>
        <v>Abrir facsímil</v>
      </c>
      <c r="K2661" s="15" t="s">
        <v>22</v>
      </c>
    </row>
    <row r="2662" spans="1:11" ht="42" customHeight="1">
      <c r="A2662" s="4" t="s">
        <v>6105</v>
      </c>
      <c r="B2662" s="5" t="s">
        <v>6106</v>
      </c>
      <c r="C2662" s="5" t="s">
        <v>42</v>
      </c>
      <c r="D2662" s="5" t="s">
        <v>43</v>
      </c>
      <c r="E2662" s="5" t="s">
        <v>140</v>
      </c>
      <c r="F2662" s="9">
        <v>83</v>
      </c>
      <c r="G2662" s="9">
        <v>860</v>
      </c>
      <c r="H2662" s="5" t="s">
        <v>20</v>
      </c>
      <c r="I2662" s="5" t="s">
        <v>6107</v>
      </c>
      <c r="J2662" s="12" t="str">
        <f>HYPERLINK("https://www.boe.es/gazeta/dias/1806/10/10/pdfs/GMD-1806-83.pdf#page=8","Abrir facsímil")</f>
        <v>Abrir facsímil</v>
      </c>
      <c r="K2662" s="15" t="s">
        <v>22</v>
      </c>
    </row>
    <row r="2663" spans="1:11" ht="42" customHeight="1">
      <c r="A2663" s="4" t="s">
        <v>6108</v>
      </c>
      <c r="B2663" s="5" t="s">
        <v>6109</v>
      </c>
      <c r="C2663" s="5" t="s">
        <v>31</v>
      </c>
      <c r="D2663" s="5" t="s">
        <v>32</v>
      </c>
      <c r="E2663" s="5" t="s">
        <v>213</v>
      </c>
      <c r="F2663" s="9">
        <v>73</v>
      </c>
      <c r="G2663" s="9">
        <v>760</v>
      </c>
      <c r="H2663" s="5" t="s">
        <v>20</v>
      </c>
      <c r="I2663" s="5" t="s">
        <v>6110</v>
      </c>
      <c r="J2663" s="12" t="str">
        <f>HYPERLINK("https://www.boe.es/gazeta/dias/1806/09/05/pdfs/GMD-1806-73.pdf#page=8","Abrir facsímil")</f>
        <v>Abrir facsímil</v>
      </c>
      <c r="K2663" s="15" t="s">
        <v>22</v>
      </c>
    </row>
    <row r="2664" spans="1:11" ht="42" customHeight="1">
      <c r="A2664" s="4" t="s">
        <v>6111</v>
      </c>
      <c r="B2664" s="5" t="s">
        <v>6112</v>
      </c>
      <c r="C2664" s="5" t="s">
        <v>31</v>
      </c>
      <c r="D2664" s="5" t="s">
        <v>32</v>
      </c>
      <c r="E2664" s="5" t="s">
        <v>859</v>
      </c>
      <c r="F2664" s="9">
        <v>63</v>
      </c>
      <c r="G2664" s="9">
        <v>661</v>
      </c>
      <c r="H2664" s="5" t="s">
        <v>20</v>
      </c>
      <c r="I2664" s="5" t="s">
        <v>6113</v>
      </c>
      <c r="J2664" s="12" t="str">
        <f>HYPERLINK("https://www.boe.es/gazeta/dias/1806/08/01/pdfs/GMD-1806-63.pdf#page=9","Abrir facsímil")</f>
        <v>Abrir facsímil</v>
      </c>
      <c r="K2664" s="15" t="s">
        <v>22</v>
      </c>
    </row>
    <row r="2665" spans="1:11" ht="42" customHeight="1">
      <c r="A2665" s="4" t="s">
        <v>6111</v>
      </c>
      <c r="B2665" s="5" t="s">
        <v>6112</v>
      </c>
      <c r="C2665" s="5" t="s">
        <v>447</v>
      </c>
      <c r="D2665" s="5" t="s">
        <v>448</v>
      </c>
      <c r="E2665" s="5" t="s">
        <v>1568</v>
      </c>
      <c r="F2665" s="9">
        <v>84</v>
      </c>
      <c r="G2665" s="9" t="s">
        <v>1084</v>
      </c>
      <c r="H2665" s="5" t="s">
        <v>20</v>
      </c>
      <c r="I2665" s="5" t="s">
        <v>6114</v>
      </c>
      <c r="J2665" s="12" t="str">
        <f>HYPERLINK("https://www.boe.es/gazeta/dias/1806/10/14/pdfs/GMD-C-1806-84.pdf#page=4","Abrir facsímil")</f>
        <v>Abrir facsímil</v>
      </c>
      <c r="K2665" s="15" t="s">
        <v>22</v>
      </c>
    </row>
    <row r="2666" spans="1:11" ht="42" customHeight="1">
      <c r="A2666" s="4" t="s">
        <v>6115</v>
      </c>
      <c r="B2666" s="5" t="s">
        <v>6116</v>
      </c>
      <c r="C2666" s="5" t="s">
        <v>17</v>
      </c>
      <c r="D2666" s="5" t="s">
        <v>18</v>
      </c>
      <c r="E2666" s="5" t="s">
        <v>780</v>
      </c>
      <c r="F2666" s="9">
        <v>33</v>
      </c>
      <c r="G2666" s="9">
        <v>326</v>
      </c>
      <c r="H2666" s="5" t="s">
        <v>20</v>
      </c>
      <c r="I2666" s="5" t="s">
        <v>6117</v>
      </c>
      <c r="J2666" s="12" t="str">
        <f>HYPERLINK("https://www.boe.es/gazeta/dias/1806/04/18/pdfs/GMD-1806-33.pdf#page=6","Abrir facsímil")</f>
        <v>Abrir facsímil</v>
      </c>
      <c r="K2666" s="15" t="s">
        <v>22</v>
      </c>
    </row>
    <row r="2667" spans="1:11" ht="42" customHeight="1">
      <c r="A2667" s="4" t="s">
        <v>6118</v>
      </c>
      <c r="B2667" s="5" t="s">
        <v>6119</v>
      </c>
      <c r="C2667" s="5" t="s">
        <v>17</v>
      </c>
      <c r="D2667" s="5" t="s">
        <v>18</v>
      </c>
      <c r="E2667" s="5" t="s">
        <v>188</v>
      </c>
      <c r="F2667" s="9">
        <v>2</v>
      </c>
      <c r="G2667" s="9">
        <v>18</v>
      </c>
      <c r="H2667" s="5" t="s">
        <v>20</v>
      </c>
      <c r="I2667" s="5" t="s">
        <v>6120</v>
      </c>
      <c r="J2667" s="12" t="str">
        <f>HYPERLINK("https://www.boe.es/gazeta/dias/1806/01/07/pdfs/GMD-1806-2.pdf#page=6","Abrir facsímil")</f>
        <v>Abrir facsímil</v>
      </c>
      <c r="K2667" s="15" t="s">
        <v>22</v>
      </c>
    </row>
    <row r="2668" spans="1:11" ht="42" customHeight="1">
      <c r="A2668" s="4" t="s">
        <v>6121</v>
      </c>
      <c r="B2668" s="5" t="s">
        <v>6122</v>
      </c>
      <c r="C2668" s="5" t="s">
        <v>17</v>
      </c>
      <c r="D2668" s="5" t="s">
        <v>18</v>
      </c>
      <c r="E2668" s="5" t="s">
        <v>136</v>
      </c>
      <c r="F2668" s="9">
        <v>50</v>
      </c>
      <c r="G2668" s="9">
        <v>513</v>
      </c>
      <c r="H2668" s="5" t="s">
        <v>20</v>
      </c>
      <c r="I2668" s="5" t="s">
        <v>6123</v>
      </c>
      <c r="J2668" s="12" t="str">
        <f>HYPERLINK("https://www.boe.es/gazeta/dias/1806/06/17/pdfs/GMD-1806-50.pdf#page=5","Abrir facsímil")</f>
        <v>Abrir facsímil</v>
      </c>
      <c r="K2668" s="15" t="s">
        <v>22</v>
      </c>
    </row>
    <row r="2669" spans="1:11" ht="42" customHeight="1">
      <c r="A2669" s="4" t="s">
        <v>6124</v>
      </c>
      <c r="B2669" s="5" t="s">
        <v>6125</v>
      </c>
      <c r="C2669" s="5" t="s">
        <v>69</v>
      </c>
      <c r="D2669" s="5" t="s">
        <v>70</v>
      </c>
      <c r="E2669" s="5" t="s">
        <v>227</v>
      </c>
      <c r="F2669" s="9">
        <v>27</v>
      </c>
      <c r="G2669" s="9">
        <v>267</v>
      </c>
      <c r="H2669" s="5" t="s">
        <v>20</v>
      </c>
      <c r="I2669" s="5" t="s">
        <v>6126</v>
      </c>
      <c r="J2669" s="12" t="str">
        <f>HYPERLINK("https://www.boe.es/gazeta/dias/1806/03/28/pdfs/GMD-1806-27.pdf#page=7","Abrir facsímil")</f>
        <v>Abrir facsímil</v>
      </c>
      <c r="K2669" s="15" t="s">
        <v>22</v>
      </c>
    </row>
    <row r="2670" spans="1:11" ht="42" customHeight="1">
      <c r="A2670" s="4" t="s">
        <v>6127</v>
      </c>
      <c r="B2670" s="5" t="s">
        <v>6127</v>
      </c>
      <c r="C2670" s="5" t="s">
        <v>17</v>
      </c>
      <c r="D2670" s="5" t="s">
        <v>18</v>
      </c>
      <c r="E2670" s="5" t="s">
        <v>209</v>
      </c>
      <c r="F2670" s="9">
        <v>95</v>
      </c>
      <c r="G2670" s="9">
        <v>1000</v>
      </c>
      <c r="H2670" s="5" t="s">
        <v>20</v>
      </c>
      <c r="I2670" s="5" t="s">
        <v>6128</v>
      </c>
      <c r="J2670" s="12" t="str">
        <f>HYPERLINK("https://www.boe.es/gazeta/dias/1806/11/21/pdfs/GMD-1806-95.pdf#page=8","Abrir facsímil")</f>
        <v>Abrir facsímil</v>
      </c>
      <c r="K2670" s="15" t="s">
        <v>22</v>
      </c>
    </row>
    <row r="2671" spans="1:11" ht="42" customHeight="1">
      <c r="A2671" s="4" t="s">
        <v>6129</v>
      </c>
      <c r="B2671" s="5" t="s">
        <v>6130</v>
      </c>
      <c r="C2671" s="5" t="s">
        <v>31</v>
      </c>
      <c r="D2671" s="5" t="s">
        <v>32</v>
      </c>
      <c r="E2671" s="5" t="s">
        <v>238</v>
      </c>
      <c r="F2671" s="9">
        <v>18</v>
      </c>
      <c r="G2671" s="9">
        <v>154</v>
      </c>
      <c r="H2671" s="5" t="s">
        <v>20</v>
      </c>
      <c r="I2671" s="5" t="s">
        <v>6131</v>
      </c>
      <c r="J2671" s="12" t="str">
        <f>HYPERLINK("https://www.boe.es/gazeta/dias/1806/02/25/pdfs/GMD-1806-18.pdf#page=2","Abrir facsímil")</f>
        <v>Abrir facsímil</v>
      </c>
      <c r="K2671" s="15" t="s">
        <v>22</v>
      </c>
    </row>
    <row r="2672" spans="1:11" ht="42" customHeight="1">
      <c r="A2672" s="4" t="s">
        <v>6132</v>
      </c>
      <c r="B2672" s="5" t="s">
        <v>6132</v>
      </c>
      <c r="C2672" s="5" t="s">
        <v>42</v>
      </c>
      <c r="D2672" s="5" t="s">
        <v>43</v>
      </c>
      <c r="E2672" s="5" t="s">
        <v>90</v>
      </c>
      <c r="F2672" s="9">
        <v>60</v>
      </c>
      <c r="G2672" s="9">
        <v>618</v>
      </c>
      <c r="H2672" s="5" t="s">
        <v>20</v>
      </c>
      <c r="I2672" s="5" t="s">
        <v>6133</v>
      </c>
      <c r="J2672" s="12" t="str">
        <f>HYPERLINK("https://www.boe.es/gazeta/dias/1806/07/22/pdfs/GMD-1806-60.pdf#page=2","Abrir facsímil")</f>
        <v>Abrir facsímil</v>
      </c>
      <c r="K2672" s="15" t="s">
        <v>22</v>
      </c>
    </row>
    <row r="2673" spans="1:11" ht="42" customHeight="1">
      <c r="A2673" s="4" t="s">
        <v>6134</v>
      </c>
      <c r="B2673" s="5" t="s">
        <v>6134</v>
      </c>
      <c r="C2673" s="5" t="s">
        <v>69</v>
      </c>
      <c r="D2673" s="5" t="s">
        <v>70</v>
      </c>
      <c r="E2673" s="5" t="s">
        <v>238</v>
      </c>
      <c r="F2673" s="9">
        <v>18</v>
      </c>
      <c r="G2673" s="9">
        <v>157</v>
      </c>
      <c r="H2673" s="5" t="s">
        <v>20</v>
      </c>
      <c r="I2673" s="5" t="s">
        <v>6135</v>
      </c>
      <c r="J2673" s="12" t="str">
        <f>HYPERLINK("https://www.boe.es/gazeta/dias/1806/02/25/pdfs/GMD-1806-18.pdf#page=5","Abrir facsímil")</f>
        <v>Abrir facsímil</v>
      </c>
      <c r="K2673" s="15" t="s">
        <v>22</v>
      </c>
    </row>
    <row r="2674" spans="1:11" ht="42" customHeight="1">
      <c r="A2674" s="4" t="s">
        <v>6136</v>
      </c>
      <c r="B2674" s="5" t="s">
        <v>6137</v>
      </c>
      <c r="C2674" s="5" t="s">
        <v>69</v>
      </c>
      <c r="D2674" s="5" t="s">
        <v>70</v>
      </c>
      <c r="E2674" s="5" t="s">
        <v>363</v>
      </c>
      <c r="F2674" s="9">
        <v>8</v>
      </c>
      <c r="G2674" s="9">
        <v>71</v>
      </c>
      <c r="H2674" s="5" t="s">
        <v>20</v>
      </c>
      <c r="I2674" s="5" t="s">
        <v>6138</v>
      </c>
      <c r="J2674" s="12" t="str">
        <f>HYPERLINK("https://www.boe.es/gazeta/dias/1806/01/24/pdfs/GMD-1806-8.pdf#page=3","Abrir facsímil")</f>
        <v>Abrir facsímil</v>
      </c>
      <c r="K2674" s="15" t="s">
        <v>22</v>
      </c>
    </row>
    <row r="2675" spans="1:11" ht="42" customHeight="1">
      <c r="A2675" s="4" t="s">
        <v>6139</v>
      </c>
      <c r="B2675" s="5" t="s">
        <v>6140</v>
      </c>
      <c r="C2675" s="5" t="s">
        <v>31</v>
      </c>
      <c r="D2675" s="5" t="s">
        <v>32</v>
      </c>
      <c r="E2675" s="5" t="s">
        <v>290</v>
      </c>
      <c r="F2675" s="9">
        <v>1</v>
      </c>
      <c r="G2675" s="9">
        <v>5</v>
      </c>
      <c r="H2675" s="5" t="s">
        <v>20</v>
      </c>
      <c r="I2675" s="5" t="s">
        <v>6141</v>
      </c>
      <c r="J2675" s="12" t="str">
        <f>HYPERLINK("https://www.boe.es/gazeta/dias/1806/01/03/pdfs/GMD-1806-1.pdf#page=5","Abrir facsímil")</f>
        <v>Abrir facsímil</v>
      </c>
      <c r="K2675" s="15" t="s">
        <v>22</v>
      </c>
    </row>
    <row r="2676" spans="1:11" ht="42" customHeight="1">
      <c r="A2676" s="4" t="s">
        <v>6139</v>
      </c>
      <c r="B2676" s="5" t="s">
        <v>6140</v>
      </c>
      <c r="C2676" s="5" t="s">
        <v>69</v>
      </c>
      <c r="D2676" s="5" t="s">
        <v>70</v>
      </c>
      <c r="E2676" s="5" t="s">
        <v>195</v>
      </c>
      <c r="F2676" s="9">
        <v>4</v>
      </c>
      <c r="G2676" s="9">
        <v>32</v>
      </c>
      <c r="H2676" s="5" t="s">
        <v>20</v>
      </c>
      <c r="I2676" s="5" t="s">
        <v>6142</v>
      </c>
      <c r="J2676" s="12" t="str">
        <f>HYPERLINK("https://www.boe.es/gazeta/dias/1806/01/14/pdfs/GMD-1806-4.pdf#page=4","Abrir facsímil")</f>
        <v>Abrir facsímil</v>
      </c>
      <c r="K2676" s="15" t="s">
        <v>22</v>
      </c>
    </row>
    <row r="2677" spans="1:11" ht="42" customHeight="1">
      <c r="A2677" s="4" t="s">
        <v>6139</v>
      </c>
      <c r="B2677" s="5" t="s">
        <v>6140</v>
      </c>
      <c r="C2677" s="5" t="s">
        <v>69</v>
      </c>
      <c r="D2677" s="5" t="s">
        <v>70</v>
      </c>
      <c r="E2677" s="5" t="s">
        <v>161</v>
      </c>
      <c r="F2677" s="9">
        <v>11</v>
      </c>
      <c r="G2677" s="9">
        <v>93</v>
      </c>
      <c r="H2677" s="5" t="s">
        <v>20</v>
      </c>
      <c r="I2677" s="5" t="s">
        <v>6143</v>
      </c>
      <c r="J2677" s="12" t="str">
        <f>HYPERLINK("https://www.boe.es/gazeta/dias/1806/01/31/pdfs/GMD-1806-11.pdf#page=1","Abrir facsímil")</f>
        <v>Abrir facsímil</v>
      </c>
      <c r="K2677" s="15" t="s">
        <v>22</v>
      </c>
    </row>
    <row r="2678" spans="1:11" ht="42" customHeight="1">
      <c r="A2678" s="4" t="s">
        <v>6144</v>
      </c>
      <c r="B2678" s="5" t="s">
        <v>6145</v>
      </c>
      <c r="C2678" s="5" t="s">
        <v>31</v>
      </c>
      <c r="D2678" s="5" t="s">
        <v>32</v>
      </c>
      <c r="E2678" s="5" t="s">
        <v>19</v>
      </c>
      <c r="F2678" s="9">
        <v>3</v>
      </c>
      <c r="G2678" s="9">
        <v>23</v>
      </c>
      <c r="H2678" s="5" t="s">
        <v>20</v>
      </c>
      <c r="I2678" s="5" t="s">
        <v>6146</v>
      </c>
      <c r="J2678" s="12" t="str">
        <f>HYPERLINK("https://www.boe.es/gazeta/dias/1806/01/10/pdfs/GMD-1806-3.pdf#page=3","Abrir facsímil")</f>
        <v>Abrir facsímil</v>
      </c>
      <c r="K2678" s="15" t="s">
        <v>22</v>
      </c>
    </row>
    <row r="2679" spans="1:11" ht="42" customHeight="1">
      <c r="A2679" s="4" t="s">
        <v>6144</v>
      </c>
      <c r="B2679" s="5" t="s">
        <v>6145</v>
      </c>
      <c r="C2679" s="5" t="s">
        <v>69</v>
      </c>
      <c r="D2679" s="5" t="s">
        <v>70</v>
      </c>
      <c r="E2679" s="5" t="s">
        <v>19</v>
      </c>
      <c r="F2679" s="9">
        <v>3</v>
      </c>
      <c r="G2679" s="9">
        <v>24</v>
      </c>
      <c r="H2679" s="5" t="s">
        <v>20</v>
      </c>
      <c r="I2679" s="5" t="s">
        <v>6147</v>
      </c>
      <c r="J2679" s="12" t="str">
        <f>HYPERLINK("https://www.boe.es/gazeta/dias/1806/01/10/pdfs/GMD-1806-3.pdf#page=4","Abrir facsímil")</f>
        <v>Abrir facsímil</v>
      </c>
      <c r="K2679" s="15" t="s">
        <v>22</v>
      </c>
    </row>
    <row r="2680" spans="1:11" ht="42" customHeight="1">
      <c r="A2680" s="4" t="s">
        <v>6144</v>
      </c>
      <c r="B2680" s="5" t="s">
        <v>6145</v>
      </c>
      <c r="C2680" s="5" t="s">
        <v>69</v>
      </c>
      <c r="D2680" s="5" t="s">
        <v>70</v>
      </c>
      <c r="E2680" s="5" t="s">
        <v>195</v>
      </c>
      <c r="F2680" s="9">
        <v>4</v>
      </c>
      <c r="G2680" s="9">
        <v>32</v>
      </c>
      <c r="H2680" s="5" t="s">
        <v>20</v>
      </c>
      <c r="I2680" s="5" t="s">
        <v>6148</v>
      </c>
      <c r="J2680" s="12" t="str">
        <f>HYPERLINK("https://www.boe.es/gazeta/dias/1806/01/14/pdfs/GMD-1806-4.pdf#page=4","Abrir facsímil")</f>
        <v>Abrir facsímil</v>
      </c>
      <c r="K2680" s="15" t="s">
        <v>22</v>
      </c>
    </row>
    <row r="2681" spans="1:11" ht="42" customHeight="1">
      <c r="A2681" s="4" t="s">
        <v>6144</v>
      </c>
      <c r="B2681" s="5" t="s">
        <v>6145</v>
      </c>
      <c r="C2681" s="5" t="s">
        <v>69</v>
      </c>
      <c r="D2681" s="5" t="s">
        <v>70</v>
      </c>
      <c r="E2681" s="5" t="s">
        <v>161</v>
      </c>
      <c r="F2681" s="9">
        <v>11</v>
      </c>
      <c r="G2681" s="9">
        <v>93</v>
      </c>
      <c r="H2681" s="5" t="s">
        <v>20</v>
      </c>
      <c r="I2681" s="5" t="s">
        <v>6149</v>
      </c>
      <c r="J2681" s="12" t="str">
        <f>HYPERLINK("https://www.boe.es/gazeta/dias/1806/01/31/pdfs/GMD-1806-11.pdf#page=1","Abrir facsímil")</f>
        <v>Abrir facsímil</v>
      </c>
      <c r="K2681" s="15" t="s">
        <v>22</v>
      </c>
    </row>
    <row r="2682" spans="1:11" ht="42" customHeight="1">
      <c r="A2682" s="4" t="s">
        <v>6150</v>
      </c>
      <c r="B2682" s="5" t="s">
        <v>6151</v>
      </c>
      <c r="C2682" s="5" t="s">
        <v>69</v>
      </c>
      <c r="D2682" s="5" t="s">
        <v>70</v>
      </c>
      <c r="E2682" s="5" t="s">
        <v>383</v>
      </c>
      <c r="F2682" s="9">
        <v>54</v>
      </c>
      <c r="G2682" s="9">
        <v>560</v>
      </c>
      <c r="H2682" s="5" t="s">
        <v>20</v>
      </c>
      <c r="I2682" s="5" t="s">
        <v>6152</v>
      </c>
      <c r="J2682" s="12" t="str">
        <f>HYPERLINK("https://www.boe.es/gazeta/dias/1806/07/01/pdfs/GMD-1806-54.pdf#page=4","Abrir facsímil")</f>
        <v>Abrir facsímil</v>
      </c>
      <c r="K2682" s="15" t="s">
        <v>22</v>
      </c>
    </row>
    <row r="2683" spans="1:11" ht="42" customHeight="1">
      <c r="A2683" s="4" t="s">
        <v>6153</v>
      </c>
      <c r="B2683" s="5" t="s">
        <v>6154</v>
      </c>
      <c r="C2683" s="5" t="s">
        <v>75</v>
      </c>
      <c r="D2683" s="5" t="s">
        <v>43</v>
      </c>
      <c r="E2683" s="5" t="s">
        <v>202</v>
      </c>
      <c r="F2683" s="9">
        <v>30</v>
      </c>
      <c r="G2683" s="9">
        <v>292</v>
      </c>
      <c r="H2683" s="5" t="s">
        <v>20</v>
      </c>
      <c r="I2683" s="5" t="s">
        <v>6155</v>
      </c>
      <c r="J2683" s="12" t="str">
        <f>HYPERLINK("https://www.boe.es/gazeta/dias/1806/04/08/pdfs/GMD-1806-30.pdf#page=4","Abrir facsímil")</f>
        <v>Abrir facsímil</v>
      </c>
      <c r="K2683" s="15" t="s">
        <v>22</v>
      </c>
    </row>
    <row r="2684" spans="1:11" ht="42" customHeight="1">
      <c r="A2684" s="4" t="s">
        <v>6156</v>
      </c>
      <c r="B2684" s="5" t="s">
        <v>6157</v>
      </c>
      <c r="C2684" s="5" t="s">
        <v>69</v>
      </c>
      <c r="D2684" s="5" t="s">
        <v>70</v>
      </c>
      <c r="E2684" s="5" t="s">
        <v>405</v>
      </c>
      <c r="F2684" s="9">
        <v>80</v>
      </c>
      <c r="G2684" s="9">
        <v>824</v>
      </c>
      <c r="H2684" s="5" t="s">
        <v>20</v>
      </c>
      <c r="I2684" s="5" t="s">
        <v>6158</v>
      </c>
      <c r="J2684" s="12" t="str">
        <f>HYPERLINK("https://www.boe.es/gazeta/dias/1806/09/30/pdfs/GMD-1806-80.pdf#page=4","Abrir facsímil")</f>
        <v>Abrir facsímil</v>
      </c>
      <c r="K2684" s="15" t="s">
        <v>22</v>
      </c>
    </row>
    <row r="2685" spans="1:11" ht="42" customHeight="1">
      <c r="A2685" s="4" t="s">
        <v>6159</v>
      </c>
      <c r="B2685" s="5" t="s">
        <v>6159</v>
      </c>
      <c r="C2685" s="5" t="s">
        <v>69</v>
      </c>
      <c r="D2685" s="5" t="s">
        <v>70</v>
      </c>
      <c r="E2685" s="5" t="s">
        <v>870</v>
      </c>
      <c r="F2685" s="9">
        <v>35</v>
      </c>
      <c r="G2685" s="9">
        <v>338</v>
      </c>
      <c r="H2685" s="5" t="s">
        <v>20</v>
      </c>
      <c r="I2685" s="5" t="s">
        <v>6160</v>
      </c>
      <c r="J2685" s="12" t="str">
        <f>HYPERLINK("https://www.boe.es/gazeta/dias/1806/04/25/pdfs/GMD-1806-35.pdf#page=2","Abrir facsímil")</f>
        <v>Abrir facsímil</v>
      </c>
      <c r="K2685" s="15" t="s">
        <v>22</v>
      </c>
    </row>
    <row r="2686" spans="1:11" ht="42" customHeight="1">
      <c r="A2686" s="4" t="s">
        <v>6159</v>
      </c>
      <c r="B2686" s="5" t="s">
        <v>6159</v>
      </c>
      <c r="C2686" s="5" t="s">
        <v>36</v>
      </c>
      <c r="D2686" s="5" t="s">
        <v>37</v>
      </c>
      <c r="E2686" s="5" t="s">
        <v>870</v>
      </c>
      <c r="F2686" s="9">
        <v>35</v>
      </c>
      <c r="G2686" s="9">
        <v>339</v>
      </c>
      <c r="H2686" s="5" t="s">
        <v>20</v>
      </c>
      <c r="I2686" s="5" t="s">
        <v>6161</v>
      </c>
      <c r="J2686" s="12" t="str">
        <f>HYPERLINK("https://www.boe.es/gazeta/dias/1806/04/25/pdfs/GMD-1806-35.pdf#page=3","Abrir facsímil")</f>
        <v>Abrir facsímil</v>
      </c>
      <c r="K2686" s="15" t="s">
        <v>22</v>
      </c>
    </row>
    <row r="2687" spans="1:11" ht="42" customHeight="1">
      <c r="A2687" s="4" t="s">
        <v>6159</v>
      </c>
      <c r="B2687" s="5" t="s">
        <v>6159</v>
      </c>
      <c r="C2687" s="5" t="s">
        <v>31</v>
      </c>
      <c r="D2687" s="5" t="s">
        <v>32</v>
      </c>
      <c r="E2687" s="5" t="s">
        <v>1568</v>
      </c>
      <c r="F2687" s="9">
        <v>84</v>
      </c>
      <c r="G2687" s="9">
        <v>867</v>
      </c>
      <c r="H2687" s="5" t="s">
        <v>20</v>
      </c>
      <c r="I2687" s="5" t="s">
        <v>6162</v>
      </c>
      <c r="J2687" s="12" t="str">
        <f>HYPERLINK("https://www.boe.es/gazeta/dias/1806/10/14/pdfs/GMD-1806-84.pdf#page=3","Abrir facsímil")</f>
        <v>Abrir facsímil</v>
      </c>
      <c r="K2687" s="15" t="s">
        <v>22</v>
      </c>
    </row>
    <row r="2688" spans="1:11" ht="42" customHeight="1">
      <c r="A2688" s="4" t="s">
        <v>6163</v>
      </c>
      <c r="B2688" s="5" t="s">
        <v>6163</v>
      </c>
      <c r="C2688" s="5" t="s">
        <v>17</v>
      </c>
      <c r="D2688" s="5" t="s">
        <v>18</v>
      </c>
      <c r="E2688" s="5" t="s">
        <v>816</v>
      </c>
      <c r="F2688" s="9">
        <v>86</v>
      </c>
      <c r="G2688" s="9">
        <v>889</v>
      </c>
      <c r="H2688" s="5" t="s">
        <v>20</v>
      </c>
      <c r="I2688" s="5" t="s">
        <v>6164</v>
      </c>
      <c r="J2688" s="12" t="str">
        <f>HYPERLINK("https://www.boe.es/gazeta/dias/1806/10/21/pdfs/GMD-1806-86.pdf#page=5","Abrir facsímil")</f>
        <v>Abrir facsímil</v>
      </c>
      <c r="K2688" s="15" t="s">
        <v>22</v>
      </c>
    </row>
    <row r="2689" spans="1:11" ht="42" customHeight="1">
      <c r="A2689" s="4" t="s">
        <v>6165</v>
      </c>
      <c r="B2689" s="5" t="s">
        <v>6166</v>
      </c>
      <c r="C2689" s="5" t="s">
        <v>31</v>
      </c>
      <c r="D2689" s="5" t="s">
        <v>32</v>
      </c>
      <c r="E2689" s="5" t="s">
        <v>600</v>
      </c>
      <c r="F2689" s="9">
        <v>77</v>
      </c>
      <c r="G2689" s="9">
        <v>791</v>
      </c>
      <c r="H2689" s="5" t="s">
        <v>20</v>
      </c>
      <c r="I2689" s="5" t="s">
        <v>6167</v>
      </c>
      <c r="J2689" s="12" t="str">
        <f>HYPERLINK("https://www.boe.es/gazeta/dias/1806/09/19/pdfs/GMD-1806-77.pdf#page=3","Abrir facsímil")</f>
        <v>Abrir facsímil</v>
      </c>
      <c r="K2689" s="15" t="s">
        <v>22</v>
      </c>
    </row>
    <row r="2690" spans="1:11" ht="42" customHeight="1">
      <c r="A2690" s="4" t="s">
        <v>6168</v>
      </c>
      <c r="B2690" s="5" t="s">
        <v>6168</v>
      </c>
      <c r="C2690" s="5" t="s">
        <v>69</v>
      </c>
      <c r="D2690" s="5" t="s">
        <v>70</v>
      </c>
      <c r="E2690" s="5" t="s">
        <v>48</v>
      </c>
      <c r="F2690" s="9">
        <v>67</v>
      </c>
      <c r="G2690" s="9">
        <v>694</v>
      </c>
      <c r="H2690" s="5" t="s">
        <v>20</v>
      </c>
      <c r="I2690" s="5" t="s">
        <v>6169</v>
      </c>
      <c r="J2690" s="12" t="str">
        <f>HYPERLINK("https://www.boe.es/gazeta/dias/1806/08/15/pdfs/GMD-1806-67.pdf#page=2","Abrir facsímil")</f>
        <v>Abrir facsímil</v>
      </c>
      <c r="K2690" s="15" t="s">
        <v>22</v>
      </c>
    </row>
    <row r="2691" spans="1:11" ht="42" customHeight="1">
      <c r="A2691" s="4" t="s">
        <v>6170</v>
      </c>
      <c r="B2691" s="5" t="s">
        <v>6171</v>
      </c>
      <c r="C2691" s="5" t="s">
        <v>69</v>
      </c>
      <c r="D2691" s="5" t="s">
        <v>70</v>
      </c>
      <c r="E2691" s="5" t="s">
        <v>82</v>
      </c>
      <c r="F2691" s="9">
        <v>48</v>
      </c>
      <c r="G2691" s="9">
        <v>493</v>
      </c>
      <c r="H2691" s="5" t="s">
        <v>20</v>
      </c>
      <c r="I2691" s="5" t="s">
        <v>6172</v>
      </c>
      <c r="J2691" s="12" t="str">
        <f>HYPERLINK("https://www.boe.es/gazeta/dias/1806/06/10/pdfs/GMD-1806-48.pdf#page=5","Abrir facsímil")</f>
        <v>Abrir facsímil</v>
      </c>
      <c r="K2691" s="15" t="s">
        <v>22</v>
      </c>
    </row>
    <row r="2692" spans="1:11" ht="42" customHeight="1">
      <c r="A2692" s="4" t="s">
        <v>6173</v>
      </c>
      <c r="B2692" s="5" t="s">
        <v>6174</v>
      </c>
      <c r="C2692" s="5" t="s">
        <v>17</v>
      </c>
      <c r="D2692" s="5" t="s">
        <v>18</v>
      </c>
      <c r="E2692" s="5" t="s">
        <v>118</v>
      </c>
      <c r="F2692" s="9">
        <v>15</v>
      </c>
      <c r="G2692" s="9">
        <v>131</v>
      </c>
      <c r="H2692" s="5" t="s">
        <v>20</v>
      </c>
      <c r="I2692" s="5" t="s">
        <v>6175</v>
      </c>
      <c r="J2692" s="12" t="str">
        <f>HYPERLINK("https://www.boe.es/gazeta/dias/1806/02/14/pdfs/GMD-1806-15.pdf#page=7","Abrir facsímil")</f>
        <v>Abrir facsímil</v>
      </c>
      <c r="K2692" s="15" t="s">
        <v>22</v>
      </c>
    </row>
    <row r="2693" spans="1:11" ht="42" customHeight="1">
      <c r="A2693" s="4" t="s">
        <v>6173</v>
      </c>
      <c r="B2693" s="5" t="s">
        <v>6174</v>
      </c>
      <c r="C2693" s="5" t="s">
        <v>31</v>
      </c>
      <c r="D2693" s="5" t="s">
        <v>32</v>
      </c>
      <c r="E2693" s="5" t="s">
        <v>1778</v>
      </c>
      <c r="F2693" s="9">
        <v>16</v>
      </c>
      <c r="G2693" s="9">
        <v>140</v>
      </c>
      <c r="H2693" s="5" t="s">
        <v>20</v>
      </c>
      <c r="I2693" s="5" t="s">
        <v>6176</v>
      </c>
      <c r="J2693" s="12" t="str">
        <f>HYPERLINK("https://www.boe.es/gazeta/dias/1806/02/18/pdfs/GMD-1806-16.pdf#page=4","Abrir facsímil")</f>
        <v>Abrir facsímil</v>
      </c>
      <c r="K2693" s="15" t="s">
        <v>22</v>
      </c>
    </row>
    <row r="2694" spans="1:11" ht="42" customHeight="1">
      <c r="A2694" s="4" t="s">
        <v>6173</v>
      </c>
      <c r="B2694" s="5" t="s">
        <v>6174</v>
      </c>
      <c r="C2694" s="5" t="s">
        <v>69</v>
      </c>
      <c r="D2694" s="5" t="s">
        <v>70</v>
      </c>
      <c r="E2694" s="5" t="s">
        <v>202</v>
      </c>
      <c r="F2694" s="9">
        <v>30</v>
      </c>
      <c r="G2694" s="9">
        <v>291</v>
      </c>
      <c r="H2694" s="5" t="s">
        <v>20</v>
      </c>
      <c r="I2694" s="5" t="s">
        <v>6177</v>
      </c>
      <c r="J2694" s="12" t="str">
        <f>HYPERLINK("https://www.boe.es/gazeta/dias/1806/04/08/pdfs/GMD-1806-30.pdf#page=3","Abrir facsímil")</f>
        <v>Abrir facsímil</v>
      </c>
      <c r="K2694" s="15" t="s">
        <v>22</v>
      </c>
    </row>
    <row r="2695" spans="1:11" ht="42" customHeight="1">
      <c r="A2695" s="4" t="s">
        <v>6173</v>
      </c>
      <c r="B2695" s="5" t="s">
        <v>6174</v>
      </c>
      <c r="C2695" s="5" t="s">
        <v>69</v>
      </c>
      <c r="D2695" s="5" t="s">
        <v>70</v>
      </c>
      <c r="E2695" s="5" t="s">
        <v>702</v>
      </c>
      <c r="F2695" s="9">
        <v>43</v>
      </c>
      <c r="G2695" s="9">
        <v>428</v>
      </c>
      <c r="H2695" s="5" t="s">
        <v>20</v>
      </c>
      <c r="I2695" s="5" t="s">
        <v>6178</v>
      </c>
      <c r="J2695" s="12" t="str">
        <f>HYPERLINK("https://www.boe.es/gazeta/dias/1806/05/23/pdfs/GMD-1806-43.pdf#page=4","Abrir facsímil")</f>
        <v>Abrir facsímil</v>
      </c>
      <c r="K2695" s="15" t="s">
        <v>22</v>
      </c>
    </row>
    <row r="2696" spans="1:11" ht="42" customHeight="1">
      <c r="A2696" s="4" t="s">
        <v>6173</v>
      </c>
      <c r="B2696" s="5" t="s">
        <v>6174</v>
      </c>
      <c r="C2696" s="5" t="s">
        <v>69</v>
      </c>
      <c r="D2696" s="5" t="s">
        <v>70</v>
      </c>
      <c r="E2696" s="5" t="s">
        <v>90</v>
      </c>
      <c r="F2696" s="9">
        <v>60</v>
      </c>
      <c r="G2696" s="9">
        <v>621</v>
      </c>
      <c r="H2696" s="5" t="s">
        <v>20</v>
      </c>
      <c r="I2696" s="5" t="s">
        <v>6179</v>
      </c>
      <c r="J2696" s="12" t="str">
        <f>HYPERLINK("https://www.boe.es/gazeta/dias/1806/07/22/pdfs/GMD-1806-60.pdf#page=5","Abrir facsímil")</f>
        <v>Abrir facsímil</v>
      </c>
      <c r="K2696" s="15" t="s">
        <v>22</v>
      </c>
    </row>
    <row r="2697" spans="1:11" ht="42" customHeight="1">
      <c r="A2697" s="4" t="s">
        <v>6180</v>
      </c>
      <c r="B2697" s="5" t="s">
        <v>6181</v>
      </c>
      <c r="C2697" s="5" t="s">
        <v>69</v>
      </c>
      <c r="D2697" s="5" t="s">
        <v>70</v>
      </c>
      <c r="E2697" s="5" t="s">
        <v>51</v>
      </c>
      <c r="F2697" s="9">
        <v>44</v>
      </c>
      <c r="G2697" s="9">
        <v>441</v>
      </c>
      <c r="H2697" s="5" t="s">
        <v>20</v>
      </c>
      <c r="I2697" s="5" t="s">
        <v>6182</v>
      </c>
      <c r="J2697" s="12" t="str">
        <f>HYPERLINK("https://www.boe.es/gazeta/dias/1806/05/27/pdfs/GMD-1806-44.pdf#page=5","Abrir facsímil")</f>
        <v>Abrir facsímil</v>
      </c>
      <c r="K2697" s="15" t="s">
        <v>22</v>
      </c>
    </row>
    <row r="2698" spans="1:11" ht="42" customHeight="1">
      <c r="A2698" s="4" t="s">
        <v>6183</v>
      </c>
      <c r="B2698" s="5" t="s">
        <v>6184</v>
      </c>
      <c r="C2698" s="5" t="s">
        <v>69</v>
      </c>
      <c r="D2698" s="5" t="s">
        <v>70</v>
      </c>
      <c r="E2698" s="5" t="s">
        <v>178</v>
      </c>
      <c r="F2698" s="9">
        <v>36</v>
      </c>
      <c r="G2698" s="9">
        <v>346</v>
      </c>
      <c r="H2698" s="5" t="s">
        <v>20</v>
      </c>
      <c r="I2698" s="5" t="s">
        <v>6185</v>
      </c>
      <c r="J2698" s="12" t="str">
        <f>HYPERLINK("https://www.boe.es/gazeta/dias/1806/04/29/pdfs/GMD-1806-36.pdf#page=2","Abrir facsímil")</f>
        <v>Abrir facsímil</v>
      </c>
      <c r="K2698" s="15" t="s">
        <v>22</v>
      </c>
    </row>
    <row r="2699" spans="1:11" ht="42" customHeight="1">
      <c r="A2699" s="4" t="s">
        <v>6186</v>
      </c>
      <c r="B2699" s="5" t="s">
        <v>6187</v>
      </c>
      <c r="C2699" s="5" t="s">
        <v>31</v>
      </c>
      <c r="D2699" s="5" t="s">
        <v>32</v>
      </c>
      <c r="E2699" s="5" t="s">
        <v>367</v>
      </c>
      <c r="F2699" s="9">
        <v>87</v>
      </c>
      <c r="G2699" s="9">
        <v>901</v>
      </c>
      <c r="H2699" s="5" t="s">
        <v>20</v>
      </c>
      <c r="I2699" s="5" t="s">
        <v>6188</v>
      </c>
      <c r="J2699" s="12" t="str">
        <f>HYPERLINK("https://www.boe.es/gazeta/dias/1806/10/24/pdfs/GMD-1806-87.pdf#page=9","Abrir facsímil")</f>
        <v>Abrir facsímil</v>
      </c>
      <c r="K2699" s="15" t="s">
        <v>22</v>
      </c>
    </row>
    <row r="2700" spans="1:11" ht="42" customHeight="1">
      <c r="A2700" s="4" t="s">
        <v>6189</v>
      </c>
      <c r="B2700" s="5" t="s">
        <v>6189</v>
      </c>
      <c r="C2700" s="5" t="s">
        <v>69</v>
      </c>
      <c r="D2700" s="5" t="s">
        <v>70</v>
      </c>
      <c r="E2700" s="5" t="s">
        <v>363</v>
      </c>
      <c r="F2700" s="9">
        <v>8</v>
      </c>
      <c r="G2700" s="9">
        <v>69</v>
      </c>
      <c r="H2700" s="5" t="s">
        <v>20</v>
      </c>
      <c r="I2700" s="5" t="s">
        <v>6190</v>
      </c>
      <c r="J2700" s="12" t="str">
        <f>HYPERLINK("https://www.boe.es/gazeta/dias/1806/01/24/pdfs/GMD-1806-8.pdf#page=1","Abrir facsímil")</f>
        <v>Abrir facsímil</v>
      </c>
      <c r="K2700" s="15" t="s">
        <v>22</v>
      </c>
    </row>
    <row r="2701" spans="1:11" ht="42" customHeight="1">
      <c r="A2701" s="4" t="s">
        <v>6191</v>
      </c>
      <c r="B2701" s="5" t="s">
        <v>6192</v>
      </c>
      <c r="C2701" s="5" t="s">
        <v>75</v>
      </c>
      <c r="D2701" s="5" t="s">
        <v>43</v>
      </c>
      <c r="E2701" s="5" t="s">
        <v>165</v>
      </c>
      <c r="F2701" s="9">
        <v>101</v>
      </c>
      <c r="G2701" s="9">
        <v>1070</v>
      </c>
      <c r="H2701" s="5" t="s">
        <v>20</v>
      </c>
      <c r="I2701" s="5" t="s">
        <v>6193</v>
      </c>
      <c r="J2701" s="12" t="str">
        <f>HYPERLINK("https://www.boe.es/gazeta/dias/1806/12/12/pdfs/GMD-1806-101.pdf#page=2","Abrir facsímil")</f>
        <v>Abrir facsímil</v>
      </c>
      <c r="K2701" s="15" t="s">
        <v>22</v>
      </c>
    </row>
    <row r="2702" spans="1:11" ht="42" customHeight="1">
      <c r="A2702" s="4" t="s">
        <v>6194</v>
      </c>
      <c r="B2702" s="5" t="s">
        <v>6194</v>
      </c>
      <c r="C2702" s="5" t="s">
        <v>69</v>
      </c>
      <c r="D2702" s="5" t="s">
        <v>70</v>
      </c>
      <c r="E2702" s="5" t="s">
        <v>90</v>
      </c>
      <c r="F2702" s="9">
        <v>60</v>
      </c>
      <c r="G2702" s="9">
        <v>620</v>
      </c>
      <c r="H2702" s="5" t="s">
        <v>20</v>
      </c>
      <c r="I2702" s="5" t="s">
        <v>6195</v>
      </c>
      <c r="J2702" s="12" t="str">
        <f>HYPERLINK("https://www.boe.es/gazeta/dias/1806/07/22/pdfs/GMD-1806-60.pdf#page=4","Abrir facsímil")</f>
        <v>Abrir facsímil</v>
      </c>
      <c r="K2702" s="15" t="s">
        <v>22</v>
      </c>
    </row>
    <row r="2703" spans="1:11" ht="42" customHeight="1">
      <c r="A2703" s="4" t="s">
        <v>6196</v>
      </c>
      <c r="B2703" s="5" t="s">
        <v>6196</v>
      </c>
      <c r="C2703" s="5" t="s">
        <v>75</v>
      </c>
      <c r="D2703" s="5" t="s">
        <v>43</v>
      </c>
      <c r="E2703" s="5" t="s">
        <v>19</v>
      </c>
      <c r="F2703" s="9">
        <v>3</v>
      </c>
      <c r="G2703" s="9">
        <v>26</v>
      </c>
      <c r="H2703" s="5" t="s">
        <v>20</v>
      </c>
      <c r="I2703" s="5" t="s">
        <v>6197</v>
      </c>
      <c r="J2703" s="12" t="str">
        <f>HYPERLINK("https://www.boe.es/gazeta/dias/1806/01/10/pdfs/GMD-1806-3.pdf#page=6","Abrir facsímil")</f>
        <v>Abrir facsímil</v>
      </c>
      <c r="K2703" s="15" t="s">
        <v>22</v>
      </c>
    </row>
    <row r="2704" spans="1:11" ht="42" customHeight="1">
      <c r="A2704" s="4" t="s">
        <v>6198</v>
      </c>
      <c r="B2704" s="5" t="s">
        <v>6199</v>
      </c>
      <c r="C2704" s="5" t="s">
        <v>31</v>
      </c>
      <c r="D2704" s="5" t="s">
        <v>32</v>
      </c>
      <c r="E2704" s="5" t="s">
        <v>716</v>
      </c>
      <c r="F2704" s="9">
        <v>56</v>
      </c>
      <c r="G2704" s="9">
        <v>583</v>
      </c>
      <c r="H2704" s="5" t="s">
        <v>20</v>
      </c>
      <c r="I2704" s="5" t="s">
        <v>6200</v>
      </c>
      <c r="J2704" s="12" t="str">
        <f>HYPERLINK("https://www.boe.es/gazeta/dias/1806/07/08/pdfs/GMD-1806-56.pdf#page=7","Abrir facsímil")</f>
        <v>Abrir facsímil</v>
      </c>
      <c r="K2704" s="15" t="s">
        <v>22</v>
      </c>
    </row>
    <row r="2705" spans="1:11" ht="42" customHeight="1">
      <c r="A2705" s="4" t="s">
        <v>6201</v>
      </c>
      <c r="B2705" s="5" t="s">
        <v>6202</v>
      </c>
      <c r="C2705" s="5" t="s">
        <v>69</v>
      </c>
      <c r="D2705" s="5" t="s">
        <v>70</v>
      </c>
      <c r="E2705" s="5" t="s">
        <v>220</v>
      </c>
      <c r="F2705" s="9">
        <v>24</v>
      </c>
      <c r="G2705" s="9">
        <v>226</v>
      </c>
      <c r="H2705" s="5" t="s">
        <v>20</v>
      </c>
      <c r="I2705" s="5" t="s">
        <v>6203</v>
      </c>
      <c r="J2705" s="12" t="str">
        <f>HYPERLINK("https://www.boe.es/gazeta/dias/1806/03/18/pdfs/GMD-1806-24.pdf#page=2","Abrir facsímil")</f>
        <v>Abrir facsímil</v>
      </c>
      <c r="K2705" s="15" t="s">
        <v>22</v>
      </c>
    </row>
    <row r="2706" spans="1:11" ht="42" customHeight="1">
      <c r="A2706" s="4" t="s">
        <v>6201</v>
      </c>
      <c r="B2706" s="5" t="s">
        <v>6202</v>
      </c>
      <c r="C2706" s="5" t="s">
        <v>31</v>
      </c>
      <c r="D2706" s="5" t="s">
        <v>32</v>
      </c>
      <c r="E2706" s="5" t="s">
        <v>185</v>
      </c>
      <c r="F2706" s="9">
        <v>46</v>
      </c>
      <c r="G2706" s="9">
        <v>461</v>
      </c>
      <c r="H2706" s="5" t="s">
        <v>20</v>
      </c>
      <c r="I2706" s="5" t="s">
        <v>6204</v>
      </c>
      <c r="J2706" s="12" t="str">
        <f>HYPERLINK("https://www.boe.es/gazeta/dias/1806/06/03/pdfs/GMD-1806-46.pdf#page=1","Abrir facsímil")</f>
        <v>Abrir facsímil</v>
      </c>
      <c r="K2706" s="15" t="s">
        <v>22</v>
      </c>
    </row>
    <row r="2707" spans="1:11" ht="42" customHeight="1">
      <c r="A2707" s="4" t="s">
        <v>6201</v>
      </c>
      <c r="B2707" s="5" t="s">
        <v>6202</v>
      </c>
      <c r="C2707" s="5" t="s">
        <v>69</v>
      </c>
      <c r="D2707" s="5" t="s">
        <v>70</v>
      </c>
      <c r="E2707" s="5" t="s">
        <v>140</v>
      </c>
      <c r="F2707" s="9">
        <v>83</v>
      </c>
      <c r="G2707" s="9">
        <v>853</v>
      </c>
      <c r="H2707" s="5" t="s">
        <v>20</v>
      </c>
      <c r="I2707" s="5" t="s">
        <v>6205</v>
      </c>
      <c r="J2707" s="12" t="str">
        <f>HYPERLINK("https://www.boe.es/gazeta/dias/1806/10/10/pdfs/GMD-1806-83.pdf#page=1","Abrir facsímil")</f>
        <v>Abrir facsímil</v>
      </c>
      <c r="K2707" s="15" t="s">
        <v>22</v>
      </c>
    </row>
    <row r="2708" spans="1:11" ht="42" customHeight="1">
      <c r="A2708" s="4" t="s">
        <v>6201</v>
      </c>
      <c r="B2708" s="5" t="s">
        <v>6202</v>
      </c>
      <c r="C2708" s="5" t="s">
        <v>17</v>
      </c>
      <c r="D2708" s="5" t="s">
        <v>18</v>
      </c>
      <c r="E2708" s="5" t="s">
        <v>209</v>
      </c>
      <c r="F2708" s="9">
        <v>95</v>
      </c>
      <c r="G2708" s="9">
        <v>997</v>
      </c>
      <c r="H2708" s="5" t="s">
        <v>20</v>
      </c>
      <c r="I2708" s="5" t="s">
        <v>6206</v>
      </c>
      <c r="J2708" s="12" t="str">
        <f>HYPERLINK("https://www.boe.es/gazeta/dias/1806/11/21/pdfs/GMD-1806-95.pdf#page=5","Abrir facsímil")</f>
        <v>Abrir facsímil</v>
      </c>
      <c r="K2708" s="15" t="s">
        <v>22</v>
      </c>
    </row>
    <row r="2709" spans="1:11" ht="42" customHeight="1">
      <c r="A2709" s="4" t="s">
        <v>6207</v>
      </c>
      <c r="B2709" s="5" t="s">
        <v>6208</v>
      </c>
      <c r="C2709" s="5" t="s">
        <v>17</v>
      </c>
      <c r="D2709" s="5" t="s">
        <v>18</v>
      </c>
      <c r="E2709" s="5" t="s">
        <v>140</v>
      </c>
      <c r="F2709" s="9">
        <v>83</v>
      </c>
      <c r="G2709" s="9">
        <v>861</v>
      </c>
      <c r="H2709" s="5" t="s">
        <v>20</v>
      </c>
      <c r="I2709" s="5" t="s">
        <v>6209</v>
      </c>
      <c r="J2709" s="12" t="str">
        <f>HYPERLINK("https://www.boe.es/gazeta/dias/1806/10/10/pdfs/GMD-1806-83.pdf#page=9","Abrir facsímil")</f>
        <v>Abrir facsímil</v>
      </c>
      <c r="K2709" s="15" t="s">
        <v>22</v>
      </c>
    </row>
    <row r="2710" spans="1:11" ht="42" customHeight="1">
      <c r="A2710" s="4" t="s">
        <v>6210</v>
      </c>
      <c r="B2710" s="5" t="s">
        <v>6211</v>
      </c>
      <c r="C2710" s="5" t="s">
        <v>69</v>
      </c>
      <c r="D2710" s="5" t="s">
        <v>70</v>
      </c>
      <c r="E2710" s="5" t="s">
        <v>238</v>
      </c>
      <c r="F2710" s="9">
        <v>18</v>
      </c>
      <c r="G2710" s="9">
        <v>157</v>
      </c>
      <c r="H2710" s="5" t="s">
        <v>20</v>
      </c>
      <c r="I2710" s="5" t="s">
        <v>6212</v>
      </c>
      <c r="J2710" s="12" t="str">
        <f>HYPERLINK("https://www.boe.es/gazeta/dias/1806/02/25/pdfs/GMD-1806-18.pdf#page=5","Abrir facsímil")</f>
        <v>Abrir facsímil</v>
      </c>
      <c r="K2710" s="15" t="s">
        <v>22</v>
      </c>
    </row>
    <row r="2711" spans="1:11" ht="42" customHeight="1">
      <c r="A2711" s="4" t="s">
        <v>6210</v>
      </c>
      <c r="B2711" s="5" t="s">
        <v>6211</v>
      </c>
      <c r="C2711" s="5" t="s">
        <v>69</v>
      </c>
      <c r="D2711" s="5" t="s">
        <v>70</v>
      </c>
      <c r="E2711" s="5" t="s">
        <v>306</v>
      </c>
      <c r="F2711" s="9">
        <v>59</v>
      </c>
      <c r="G2711" s="9">
        <v>609</v>
      </c>
      <c r="H2711" s="5" t="s">
        <v>20</v>
      </c>
      <c r="I2711" s="5" t="s">
        <v>6213</v>
      </c>
      <c r="J2711" s="12" t="str">
        <f>HYPERLINK("https://www.boe.es/gazeta/dias/1806/07/18/pdfs/GMD-1806-59.pdf#page=5","Abrir facsímil")</f>
        <v>Abrir facsímil</v>
      </c>
      <c r="K2711" s="15" t="s">
        <v>22</v>
      </c>
    </row>
    <row r="2712" spans="1:11" ht="42" customHeight="1">
      <c r="A2712" s="4" t="s">
        <v>6214</v>
      </c>
      <c r="B2712" s="5" t="s">
        <v>6214</v>
      </c>
      <c r="C2712" s="5" t="s">
        <v>31</v>
      </c>
      <c r="D2712" s="5" t="s">
        <v>32</v>
      </c>
      <c r="E2712" s="5" t="s">
        <v>540</v>
      </c>
      <c r="F2712" s="9">
        <v>51</v>
      </c>
      <c r="G2712" s="9">
        <v>530</v>
      </c>
      <c r="H2712" s="5" t="s">
        <v>20</v>
      </c>
      <c r="I2712" s="5" t="s">
        <v>6215</v>
      </c>
      <c r="J2712" s="12" t="str">
        <f>HYPERLINK("https://www.boe.es/gazeta/dias/1806/06/20/pdfs/GMD-1806-51.pdf#page=10","Abrir facsímil")</f>
        <v>Abrir facsímil</v>
      </c>
      <c r="K2712" s="15" t="s">
        <v>22</v>
      </c>
    </row>
    <row r="2713" spans="1:11" ht="42" customHeight="1">
      <c r="A2713" s="4" t="s">
        <v>6216</v>
      </c>
      <c r="B2713" s="5" t="s">
        <v>6216</v>
      </c>
      <c r="C2713" s="5" t="s">
        <v>31</v>
      </c>
      <c r="D2713" s="5" t="s">
        <v>32</v>
      </c>
      <c r="E2713" s="5" t="s">
        <v>340</v>
      </c>
      <c r="F2713" s="9">
        <v>31</v>
      </c>
      <c r="G2713" s="9">
        <v>304</v>
      </c>
      <c r="H2713" s="5" t="s">
        <v>20</v>
      </c>
      <c r="I2713" s="5" t="s">
        <v>6217</v>
      </c>
      <c r="J2713" s="12" t="str">
        <f>HYPERLINK("https://www.boe.es/gazeta/dias/1806/04/11/pdfs/GMD-1806-31.pdf#page=8","Abrir facsímil")</f>
        <v>Abrir facsímil</v>
      </c>
      <c r="K2713" s="15" t="s">
        <v>22</v>
      </c>
    </row>
    <row r="2714" spans="1:11" ht="42" customHeight="1">
      <c r="A2714" s="4" t="s">
        <v>6218</v>
      </c>
      <c r="B2714" s="5" t="s">
        <v>6218</v>
      </c>
      <c r="C2714" s="5" t="s">
        <v>36</v>
      </c>
      <c r="D2714" s="5" t="s">
        <v>37</v>
      </c>
      <c r="E2714" s="5" t="s">
        <v>580</v>
      </c>
      <c r="F2714" s="9">
        <v>23</v>
      </c>
      <c r="G2714" s="9">
        <v>223</v>
      </c>
      <c r="H2714" s="5" t="s">
        <v>20</v>
      </c>
      <c r="I2714" s="5" t="s">
        <v>6219</v>
      </c>
      <c r="J2714" s="12" t="str">
        <f>HYPERLINK("https://www.boe.es/gazeta/dias/1806/03/14/pdfs/GMD-1806-23.pdf#page=11","Abrir facsímil")</f>
        <v>Abrir facsímil</v>
      </c>
      <c r="K2714" s="15" t="s">
        <v>22</v>
      </c>
    </row>
    <row r="2715" spans="1:11" ht="42" customHeight="1">
      <c r="A2715" s="4" t="s">
        <v>6220</v>
      </c>
      <c r="B2715" s="5" t="s">
        <v>6220</v>
      </c>
      <c r="C2715" s="5" t="s">
        <v>69</v>
      </c>
      <c r="D2715" s="5" t="s">
        <v>70</v>
      </c>
      <c r="E2715" s="5" t="s">
        <v>494</v>
      </c>
      <c r="F2715" s="9">
        <v>69</v>
      </c>
      <c r="G2715" s="9">
        <v>715</v>
      </c>
      <c r="H2715" s="5" t="s">
        <v>20</v>
      </c>
      <c r="I2715" s="5" t="s">
        <v>6221</v>
      </c>
      <c r="J2715" s="12" t="str">
        <f>HYPERLINK("https://www.boe.es/gazeta/dias/1806/08/22/pdfs/GMD-1806-69.pdf#page=3","Abrir facsímil")</f>
        <v>Abrir facsímil</v>
      </c>
      <c r="K2715" s="15" t="s">
        <v>22</v>
      </c>
    </row>
    <row r="2716" spans="1:11" ht="42" customHeight="1">
      <c r="A2716" s="4" t="s">
        <v>6222</v>
      </c>
      <c r="B2716" s="5" t="s">
        <v>6222</v>
      </c>
      <c r="C2716" s="5" t="s">
        <v>31</v>
      </c>
      <c r="D2716" s="5" t="s">
        <v>32</v>
      </c>
      <c r="E2716" s="5" t="s">
        <v>121</v>
      </c>
      <c r="F2716" s="9">
        <v>19</v>
      </c>
      <c r="G2716" s="9">
        <v>172</v>
      </c>
      <c r="H2716" s="5" t="s">
        <v>20</v>
      </c>
      <c r="I2716" s="5" t="s">
        <v>6223</v>
      </c>
      <c r="J2716" s="12" t="str">
        <f>HYPERLINK("https://www.boe.es/gazeta/dias/1806/02/28/pdfs/GMD-1806-19.pdf#page=8","Abrir facsímil")</f>
        <v>Abrir facsímil</v>
      </c>
      <c r="K2716" s="15" t="s">
        <v>22</v>
      </c>
    </row>
    <row r="2717" spans="1:11" ht="42" customHeight="1">
      <c r="A2717" s="4" t="s">
        <v>6224</v>
      </c>
      <c r="B2717" s="5" t="s">
        <v>6225</v>
      </c>
      <c r="C2717" s="5" t="s">
        <v>31</v>
      </c>
      <c r="D2717" s="5" t="s">
        <v>32</v>
      </c>
      <c r="E2717" s="5" t="s">
        <v>367</v>
      </c>
      <c r="F2717" s="9">
        <v>87</v>
      </c>
      <c r="G2717" s="9">
        <v>903</v>
      </c>
      <c r="H2717" s="5" t="s">
        <v>20</v>
      </c>
      <c r="I2717" s="5" t="s">
        <v>6226</v>
      </c>
      <c r="J2717" s="12" t="str">
        <f>HYPERLINK("https://www.boe.es/gazeta/dias/1806/10/24/pdfs/GMD-1806-87.pdf#page=11","Abrir facsímil")</f>
        <v>Abrir facsímil</v>
      </c>
      <c r="K2717" s="15" t="s">
        <v>22</v>
      </c>
    </row>
    <row r="2718" spans="1:11" ht="42" customHeight="1">
      <c r="A2718" s="4" t="s">
        <v>6227</v>
      </c>
      <c r="B2718" s="5" t="s">
        <v>6227</v>
      </c>
      <c r="C2718" s="5" t="s">
        <v>75</v>
      </c>
      <c r="D2718" s="5" t="s">
        <v>43</v>
      </c>
      <c r="E2718" s="5" t="s">
        <v>383</v>
      </c>
      <c r="F2718" s="9">
        <v>54</v>
      </c>
      <c r="G2718" s="9">
        <v>560</v>
      </c>
      <c r="H2718" s="5" t="s">
        <v>20</v>
      </c>
      <c r="I2718" s="5" t="s">
        <v>6228</v>
      </c>
      <c r="J2718" s="12" t="str">
        <f>HYPERLINK("https://www.boe.es/gazeta/dias/1806/07/01/pdfs/GMD-1806-54.pdf#page=4","Abrir facsímil")</f>
        <v>Abrir facsímil</v>
      </c>
      <c r="K2718" s="15" t="s">
        <v>22</v>
      </c>
    </row>
    <row r="2719" spans="1:11" ht="42" customHeight="1">
      <c r="A2719" s="4" t="s">
        <v>6229</v>
      </c>
      <c r="B2719" s="5" t="s">
        <v>6229</v>
      </c>
      <c r="C2719" s="5" t="s">
        <v>69</v>
      </c>
      <c r="D2719" s="5" t="s">
        <v>70</v>
      </c>
      <c r="E2719" s="5" t="s">
        <v>383</v>
      </c>
      <c r="F2719" s="9">
        <v>54</v>
      </c>
      <c r="G2719" s="9">
        <v>561</v>
      </c>
      <c r="H2719" s="5" t="s">
        <v>20</v>
      </c>
      <c r="I2719" s="5" t="s">
        <v>6230</v>
      </c>
      <c r="J2719" s="12" t="str">
        <f>HYPERLINK("https://www.boe.es/gazeta/dias/1806/07/01/pdfs/GMD-1806-54.pdf#page=5","Abrir facsímil")</f>
        <v>Abrir facsímil</v>
      </c>
      <c r="K2719" s="15" t="s">
        <v>22</v>
      </c>
    </row>
    <row r="2720" spans="1:11" ht="42" customHeight="1">
      <c r="A2720" s="4" t="s">
        <v>6231</v>
      </c>
      <c r="B2720" s="5" t="s">
        <v>6232</v>
      </c>
      <c r="C2720" s="5" t="s">
        <v>42</v>
      </c>
      <c r="D2720" s="5" t="s">
        <v>43</v>
      </c>
      <c r="E2720" s="5" t="s">
        <v>383</v>
      </c>
      <c r="F2720" s="9">
        <v>54</v>
      </c>
      <c r="G2720" s="9">
        <v>561</v>
      </c>
      <c r="H2720" s="5" t="s">
        <v>20</v>
      </c>
      <c r="I2720" s="5" t="s">
        <v>6233</v>
      </c>
      <c r="J2720" s="12" t="str">
        <f>HYPERLINK("https://www.boe.es/gazeta/dias/1806/07/01/pdfs/GMD-1806-54.pdf#page=5","Abrir facsímil")</f>
        <v>Abrir facsímil</v>
      </c>
      <c r="K2720" s="15" t="s">
        <v>22</v>
      </c>
    </row>
    <row r="2721" spans="1:11" ht="42" customHeight="1">
      <c r="A2721" s="4" t="s">
        <v>6234</v>
      </c>
      <c r="B2721" s="5" t="s">
        <v>6234</v>
      </c>
      <c r="C2721" s="5" t="s">
        <v>75</v>
      </c>
      <c r="D2721" s="5" t="s">
        <v>43</v>
      </c>
      <c r="E2721" s="5" t="s">
        <v>121</v>
      </c>
      <c r="F2721" s="9">
        <v>19</v>
      </c>
      <c r="G2721" s="9">
        <v>174</v>
      </c>
      <c r="H2721" s="5" t="s">
        <v>20</v>
      </c>
      <c r="I2721" s="5" t="s">
        <v>6235</v>
      </c>
      <c r="J2721" s="12" t="str">
        <f>HYPERLINK("https://www.boe.es/gazeta/dias/1806/02/28/pdfs/GMD-1806-19.pdf#page=10","Abrir facsímil")</f>
        <v>Abrir facsímil</v>
      </c>
      <c r="K2721" s="15" t="s">
        <v>22</v>
      </c>
    </row>
    <row r="2722" spans="1:11" ht="42" customHeight="1">
      <c r="A2722" s="4" t="s">
        <v>6236</v>
      </c>
      <c r="B2722" s="5" t="s">
        <v>6237</v>
      </c>
      <c r="C2722" s="5" t="s">
        <v>31</v>
      </c>
      <c r="D2722" s="5" t="s">
        <v>32</v>
      </c>
      <c r="E2722" s="5" t="s">
        <v>96</v>
      </c>
      <c r="F2722" s="9">
        <v>62</v>
      </c>
      <c r="G2722" s="9">
        <v>649</v>
      </c>
      <c r="H2722" s="5" t="s">
        <v>20</v>
      </c>
      <c r="I2722" s="5" t="s">
        <v>6238</v>
      </c>
      <c r="J2722" s="12" t="str">
        <f>HYPERLINK("https://www.boe.es/gazeta/dias/1806/07/29/pdfs/GMD-1806-62.pdf#page=9","Abrir facsímil")</f>
        <v>Abrir facsímil</v>
      </c>
      <c r="K2722" s="15" t="s">
        <v>22</v>
      </c>
    </row>
    <row r="2723" spans="1:11" ht="42" customHeight="1">
      <c r="A2723" s="4" t="s">
        <v>6239</v>
      </c>
      <c r="B2723" s="5" t="s">
        <v>6240</v>
      </c>
      <c r="C2723" s="5" t="s">
        <v>42</v>
      </c>
      <c r="D2723" s="5" t="s">
        <v>43</v>
      </c>
      <c r="E2723" s="5" t="s">
        <v>140</v>
      </c>
      <c r="F2723" s="9">
        <v>83</v>
      </c>
      <c r="G2723" s="9">
        <v>860</v>
      </c>
      <c r="H2723" s="5" t="s">
        <v>20</v>
      </c>
      <c r="I2723" s="5" t="s">
        <v>6241</v>
      </c>
      <c r="J2723" s="12" t="str">
        <f>HYPERLINK("https://www.boe.es/gazeta/dias/1806/10/10/pdfs/GMD-1806-83.pdf#page=8","Abrir facsímil")</f>
        <v>Abrir facsímil</v>
      </c>
      <c r="K2723" s="15" t="s">
        <v>22</v>
      </c>
    </row>
    <row r="2724" spans="1:11" ht="42" customHeight="1">
      <c r="A2724" s="4" t="s">
        <v>6242</v>
      </c>
      <c r="B2724" s="5" t="s">
        <v>6243</v>
      </c>
      <c r="C2724" s="5" t="s">
        <v>17</v>
      </c>
      <c r="D2724" s="5" t="s">
        <v>18</v>
      </c>
      <c r="E2724" s="5" t="s">
        <v>161</v>
      </c>
      <c r="F2724" s="9">
        <v>11</v>
      </c>
      <c r="G2724" s="9">
        <v>98</v>
      </c>
      <c r="H2724" s="5" t="s">
        <v>20</v>
      </c>
      <c r="I2724" s="5" t="s">
        <v>6244</v>
      </c>
      <c r="J2724" s="12" t="str">
        <f>HYPERLINK("https://www.boe.es/gazeta/dias/1806/01/31/pdfs/GMD-1806-11.pdf#page=6","Abrir facsímil")</f>
        <v>Abrir facsímil</v>
      </c>
      <c r="K2724" s="15" t="s">
        <v>22</v>
      </c>
    </row>
    <row r="2725" spans="1:11" ht="42" customHeight="1">
      <c r="A2725" s="4" t="s">
        <v>6245</v>
      </c>
      <c r="B2725" s="5" t="s">
        <v>6246</v>
      </c>
      <c r="C2725" s="5" t="s">
        <v>31</v>
      </c>
      <c r="D2725" s="5" t="s">
        <v>32</v>
      </c>
      <c r="E2725" s="5" t="s">
        <v>148</v>
      </c>
      <c r="F2725" s="9">
        <v>78</v>
      </c>
      <c r="G2725" s="9">
        <v>804</v>
      </c>
      <c r="H2725" s="5" t="s">
        <v>20</v>
      </c>
      <c r="I2725" s="5" t="s">
        <v>6247</v>
      </c>
      <c r="J2725" s="12" t="str">
        <f>HYPERLINK("https://www.boe.es/gazeta/dias/1806/09/23/pdfs/GMD-1806-78.pdf#page=8","Abrir facsímil")</f>
        <v>Abrir facsímil</v>
      </c>
      <c r="K2725" s="15" t="s">
        <v>22</v>
      </c>
    </row>
    <row r="2726" spans="1:11" ht="42" customHeight="1">
      <c r="A2726" s="4" t="s">
        <v>6248</v>
      </c>
      <c r="B2726" s="5" t="s">
        <v>6249</v>
      </c>
      <c r="C2726" s="5" t="s">
        <v>31</v>
      </c>
      <c r="D2726" s="5" t="s">
        <v>32</v>
      </c>
      <c r="E2726" s="5" t="s">
        <v>178</v>
      </c>
      <c r="F2726" s="9">
        <v>36</v>
      </c>
      <c r="G2726" s="9">
        <v>350</v>
      </c>
      <c r="H2726" s="5" t="s">
        <v>20</v>
      </c>
      <c r="I2726" s="5" t="s">
        <v>6250</v>
      </c>
      <c r="J2726" s="12" t="str">
        <f>HYPERLINK("https://www.boe.es/gazeta/dias/1806/04/29/pdfs/GMD-1806-36.pdf#page=6","Abrir facsímil")</f>
        <v>Abrir facsímil</v>
      </c>
      <c r="K2726" s="15" t="s">
        <v>22</v>
      </c>
    </row>
    <row r="2727" spans="1:11" ht="42" customHeight="1">
      <c r="A2727" s="4" t="s">
        <v>6251</v>
      </c>
      <c r="B2727" s="5" t="s">
        <v>6251</v>
      </c>
      <c r="C2727" s="5" t="s">
        <v>17</v>
      </c>
      <c r="D2727" s="5" t="s">
        <v>18</v>
      </c>
      <c r="E2727" s="5" t="s">
        <v>103</v>
      </c>
      <c r="F2727" s="9">
        <v>61</v>
      </c>
      <c r="G2727" s="9">
        <v>639</v>
      </c>
      <c r="H2727" s="5" t="s">
        <v>20</v>
      </c>
      <c r="I2727" s="5" t="s">
        <v>6252</v>
      </c>
      <c r="J2727" s="12" t="str">
        <f>HYPERLINK("https://www.boe.es/gazeta/dias/1806/07/25/pdfs/GMD-1806-61.pdf#page=11","Abrir facsímil")</f>
        <v>Abrir facsímil</v>
      </c>
      <c r="K2727" s="15" t="s">
        <v>22</v>
      </c>
    </row>
    <row r="2728" spans="1:11" ht="42" customHeight="1">
      <c r="A2728" s="4" t="s">
        <v>6253</v>
      </c>
      <c r="B2728" s="5" t="s">
        <v>6254</v>
      </c>
      <c r="C2728" s="5" t="s">
        <v>17</v>
      </c>
      <c r="D2728" s="5" t="s">
        <v>18</v>
      </c>
      <c r="E2728" s="5" t="s">
        <v>103</v>
      </c>
      <c r="F2728" s="9">
        <v>61</v>
      </c>
      <c r="G2728" s="9">
        <v>639</v>
      </c>
      <c r="H2728" s="5" t="s">
        <v>20</v>
      </c>
      <c r="I2728" s="5" t="s">
        <v>6255</v>
      </c>
      <c r="J2728" s="12" t="str">
        <f>HYPERLINK("https://www.boe.es/gazeta/dias/1806/07/25/pdfs/GMD-1806-61.pdf#page=11","Abrir facsímil")</f>
        <v>Abrir facsímil</v>
      </c>
      <c r="K2728" s="15" t="s">
        <v>22</v>
      </c>
    </row>
    <row r="2729" spans="1:11" ht="42" customHeight="1">
      <c r="A2729" s="4" t="s">
        <v>6256</v>
      </c>
      <c r="B2729" s="5" t="s">
        <v>6257</v>
      </c>
      <c r="C2729" s="5" t="s">
        <v>31</v>
      </c>
      <c r="D2729" s="5" t="s">
        <v>32</v>
      </c>
      <c r="E2729" s="5" t="s">
        <v>400</v>
      </c>
      <c r="F2729" s="9">
        <v>22</v>
      </c>
      <c r="G2729" s="9">
        <v>208</v>
      </c>
      <c r="H2729" s="5" t="s">
        <v>20</v>
      </c>
      <c r="I2729" s="5" t="s">
        <v>6258</v>
      </c>
      <c r="J2729" s="12" t="str">
        <f>HYPERLINK("https://www.boe.es/gazeta/dias/1806/03/11/pdfs/GMD-1806-22.pdf#page=8","Abrir facsímil")</f>
        <v>Abrir facsímil</v>
      </c>
      <c r="K2729" s="15" t="s">
        <v>22</v>
      </c>
    </row>
    <row r="2730" spans="1:11" ht="42" customHeight="1">
      <c r="A2730" s="4" t="s">
        <v>6259</v>
      </c>
      <c r="B2730" s="5" t="s">
        <v>6260</v>
      </c>
      <c r="C2730" s="5" t="s">
        <v>31</v>
      </c>
      <c r="D2730" s="5" t="s">
        <v>32</v>
      </c>
      <c r="E2730" s="5" t="s">
        <v>195</v>
      </c>
      <c r="F2730" s="9">
        <v>4</v>
      </c>
      <c r="G2730" s="9">
        <v>35</v>
      </c>
      <c r="H2730" s="5" t="s">
        <v>20</v>
      </c>
      <c r="I2730" s="5" t="s">
        <v>6261</v>
      </c>
      <c r="J2730" s="12" t="str">
        <f>HYPERLINK("https://www.boe.es/gazeta/dias/1806/01/14/pdfs/GMD-1806-4.pdf#page=7","Abrir facsímil")</f>
        <v>Abrir facsímil</v>
      </c>
      <c r="K2730" s="15" t="s">
        <v>22</v>
      </c>
    </row>
    <row r="2731" spans="1:11" ht="42" customHeight="1">
      <c r="A2731" s="4" t="s">
        <v>6262</v>
      </c>
      <c r="B2731" s="5" t="s">
        <v>6263</v>
      </c>
      <c r="C2731" s="5" t="s">
        <v>42</v>
      </c>
      <c r="D2731" s="5" t="s">
        <v>43</v>
      </c>
      <c r="E2731" s="5" t="s">
        <v>82</v>
      </c>
      <c r="F2731" s="9">
        <v>48</v>
      </c>
      <c r="G2731" s="9">
        <v>497</v>
      </c>
      <c r="H2731" s="5" t="s">
        <v>20</v>
      </c>
      <c r="I2731" s="5" t="s">
        <v>6264</v>
      </c>
      <c r="J2731" s="12" t="str">
        <f>HYPERLINK("https://www.boe.es/gazeta/dias/1806/06/10/pdfs/GMD-1806-48.pdf#page=9","Abrir facsímil")</f>
        <v>Abrir facsímil</v>
      </c>
      <c r="K2731" s="15" t="s">
        <v>22</v>
      </c>
    </row>
    <row r="2732" spans="1:11" ht="42" customHeight="1">
      <c r="A2732" s="4" t="s">
        <v>6265</v>
      </c>
      <c r="B2732" s="5" t="s">
        <v>6266</v>
      </c>
      <c r="C2732" s="5" t="s">
        <v>36</v>
      </c>
      <c r="D2732" s="5" t="s">
        <v>37</v>
      </c>
      <c r="E2732" s="5" t="s">
        <v>1080</v>
      </c>
      <c r="F2732" s="9">
        <v>49</v>
      </c>
      <c r="G2732" s="9">
        <v>507</v>
      </c>
      <c r="H2732" s="5" t="s">
        <v>20</v>
      </c>
      <c r="I2732" s="5" t="s">
        <v>6267</v>
      </c>
      <c r="J2732" s="12" t="str">
        <f>HYPERLINK("https://www.boe.es/gazeta/dias/1806/06/13/pdfs/GMD-1806-49.pdf#page=7","Abrir facsímil")</f>
        <v>Abrir facsímil</v>
      </c>
      <c r="K2732" s="15" t="s">
        <v>22</v>
      </c>
    </row>
    <row r="2733" spans="1:11" ht="42" customHeight="1">
      <c r="A2733" s="4" t="s">
        <v>6268</v>
      </c>
      <c r="B2733" s="5" t="s">
        <v>6269</v>
      </c>
      <c r="C2733" s="5" t="s">
        <v>31</v>
      </c>
      <c r="D2733" s="5" t="s">
        <v>32</v>
      </c>
      <c r="E2733" s="5" t="s">
        <v>130</v>
      </c>
      <c r="F2733" s="9">
        <v>66</v>
      </c>
      <c r="G2733" s="9">
        <v>690</v>
      </c>
      <c r="H2733" s="5" t="s">
        <v>20</v>
      </c>
      <c r="I2733" s="5" t="s">
        <v>6270</v>
      </c>
      <c r="J2733" s="12" t="str">
        <f>HYPERLINK("https://www.boe.es/gazeta/dias/1806/08/12/pdfs/GMD-1806-66.pdf#page=6","Abrir facsímil")</f>
        <v>Abrir facsímil</v>
      </c>
      <c r="K2733" s="15" t="s">
        <v>22</v>
      </c>
    </row>
    <row r="2734" spans="1:11" ht="42" customHeight="1">
      <c r="A2734" s="4" t="s">
        <v>6271</v>
      </c>
      <c r="B2734" s="5" t="s">
        <v>6272</v>
      </c>
      <c r="C2734" s="5" t="s">
        <v>31</v>
      </c>
      <c r="D2734" s="5" t="s">
        <v>32</v>
      </c>
      <c r="E2734" s="5" t="s">
        <v>130</v>
      </c>
      <c r="F2734" s="9">
        <v>66</v>
      </c>
      <c r="G2734" s="9">
        <v>690</v>
      </c>
      <c r="H2734" s="5" t="s">
        <v>20</v>
      </c>
      <c r="I2734" s="5" t="s">
        <v>6273</v>
      </c>
      <c r="J2734" s="12" t="str">
        <f>HYPERLINK("https://www.boe.es/gazeta/dias/1806/08/12/pdfs/GMD-1806-66.pdf#page=6","Abrir facsímil")</f>
        <v>Abrir facsímil</v>
      </c>
      <c r="K2734" s="15" t="s">
        <v>22</v>
      </c>
    </row>
    <row r="2735" spans="1:11" ht="42" customHeight="1">
      <c r="A2735" s="4" t="s">
        <v>6274</v>
      </c>
      <c r="B2735" s="5" t="s">
        <v>6275</v>
      </c>
      <c r="C2735" s="5" t="s">
        <v>31</v>
      </c>
      <c r="D2735" s="5" t="s">
        <v>32</v>
      </c>
      <c r="E2735" s="5" t="s">
        <v>669</v>
      </c>
      <c r="F2735" s="9">
        <v>14</v>
      </c>
      <c r="G2735" s="9">
        <v>123</v>
      </c>
      <c r="H2735" s="5" t="s">
        <v>20</v>
      </c>
      <c r="I2735" s="5" t="s">
        <v>6276</v>
      </c>
      <c r="J2735" s="12" t="str">
        <f>HYPERLINK("https://www.boe.es/gazeta/dias/1806/02/11/pdfs/GMD-1806-14.pdf#page=7","Abrir facsímil")</f>
        <v>Abrir facsímil</v>
      </c>
      <c r="K2735" s="15" t="s">
        <v>22</v>
      </c>
    </row>
    <row r="2736" spans="1:11" ht="42" customHeight="1">
      <c r="A2736" s="4" t="s">
        <v>6277</v>
      </c>
      <c r="B2736" s="5" t="s">
        <v>6278</v>
      </c>
      <c r="C2736" s="5" t="s">
        <v>31</v>
      </c>
      <c r="D2736" s="5" t="s">
        <v>32</v>
      </c>
      <c r="E2736" s="5" t="s">
        <v>86</v>
      </c>
      <c r="F2736" s="9">
        <v>53</v>
      </c>
      <c r="G2736" s="9">
        <v>552</v>
      </c>
      <c r="H2736" s="5" t="s">
        <v>20</v>
      </c>
      <c r="I2736" s="5" t="s">
        <v>6279</v>
      </c>
      <c r="J2736" s="12" t="str">
        <f>HYPERLINK("https://www.boe.es/gazeta/dias/1806/06/27/pdfs/GMD-1806-53.pdf#page=8","Abrir facsímil")</f>
        <v>Abrir facsímil</v>
      </c>
      <c r="K2736" s="15" t="s">
        <v>22</v>
      </c>
    </row>
    <row r="2737" spans="1:11" ht="42" customHeight="1">
      <c r="A2737" s="4" t="s">
        <v>6280</v>
      </c>
      <c r="B2737" s="5" t="s">
        <v>6280</v>
      </c>
      <c r="C2737" s="5" t="s">
        <v>17</v>
      </c>
      <c r="D2737" s="5" t="s">
        <v>18</v>
      </c>
      <c r="E2737" s="5" t="s">
        <v>103</v>
      </c>
      <c r="F2737" s="9">
        <v>61</v>
      </c>
      <c r="G2737" s="9">
        <v>632</v>
      </c>
      <c r="H2737" s="5" t="s">
        <v>20</v>
      </c>
      <c r="I2737" s="5" t="s">
        <v>6281</v>
      </c>
      <c r="J2737" s="12" t="str">
        <f>HYPERLINK("https://www.boe.es/gazeta/dias/1806/07/25/pdfs/GMD-1806-61.pdf#page=4","Abrir facsímil")</f>
        <v>Abrir facsímil</v>
      </c>
      <c r="K2737" s="15" t="s">
        <v>22</v>
      </c>
    </row>
    <row r="2738" spans="1:11" ht="42" customHeight="1">
      <c r="A2738" s="4" t="s">
        <v>6282</v>
      </c>
      <c r="B2738" s="5" t="s">
        <v>6283</v>
      </c>
      <c r="C2738" s="5" t="s">
        <v>17</v>
      </c>
      <c r="D2738" s="5" t="s">
        <v>18</v>
      </c>
      <c r="E2738" s="5" t="s">
        <v>93</v>
      </c>
      <c r="F2738" s="9">
        <v>72</v>
      </c>
      <c r="G2738" s="9">
        <v>748</v>
      </c>
      <c r="H2738" s="5" t="s">
        <v>20</v>
      </c>
      <c r="I2738" s="5" t="s">
        <v>6284</v>
      </c>
      <c r="J2738" s="12" t="str">
        <f>HYPERLINK("https://www.boe.es/gazeta/dias/1806/09/02/pdfs/GMD-1806-72.pdf#page=8","Abrir facsímil")</f>
        <v>Abrir facsímil</v>
      </c>
      <c r="K2738" s="15" t="s">
        <v>22</v>
      </c>
    </row>
    <row r="2739" spans="1:11" ht="42" customHeight="1">
      <c r="A2739" s="4" t="s">
        <v>6285</v>
      </c>
      <c r="B2739" s="5" t="s">
        <v>6286</v>
      </c>
      <c r="C2739" s="5" t="s">
        <v>42</v>
      </c>
      <c r="D2739" s="5" t="s">
        <v>43</v>
      </c>
      <c r="E2739" s="5" t="s">
        <v>213</v>
      </c>
      <c r="F2739" s="9">
        <v>73</v>
      </c>
      <c r="G2739" s="9">
        <v>758</v>
      </c>
      <c r="H2739" s="5" t="s">
        <v>20</v>
      </c>
      <c r="I2739" s="5" t="s">
        <v>6287</v>
      </c>
      <c r="J2739" s="12" t="str">
        <f>HYPERLINK("https://www.boe.es/gazeta/dias/1806/09/05/pdfs/GMD-1806-73.pdf#page=6","Abrir facsímil")</f>
        <v>Abrir facsímil</v>
      </c>
      <c r="K2739" s="15" t="s">
        <v>22</v>
      </c>
    </row>
    <row r="2740" spans="1:11" ht="42" customHeight="1">
      <c r="A2740" s="4" t="s">
        <v>6288</v>
      </c>
      <c r="B2740" s="5" t="s">
        <v>6288</v>
      </c>
      <c r="C2740" s="5" t="s">
        <v>69</v>
      </c>
      <c r="D2740" s="5" t="s">
        <v>70</v>
      </c>
      <c r="E2740" s="5" t="s">
        <v>306</v>
      </c>
      <c r="F2740" s="9">
        <v>59</v>
      </c>
      <c r="G2740" s="9">
        <v>606</v>
      </c>
      <c r="H2740" s="5" t="s">
        <v>20</v>
      </c>
      <c r="I2740" s="5" t="s">
        <v>6289</v>
      </c>
      <c r="J2740" s="12" t="str">
        <f>HYPERLINK("https://www.boe.es/gazeta/dias/1806/07/18/pdfs/GMD-1806-59.pdf#page=2","Abrir facsímil")</f>
        <v>Abrir facsímil</v>
      </c>
      <c r="K2740" s="15" t="s">
        <v>22</v>
      </c>
    </row>
    <row r="2741" spans="1:11" ht="42" customHeight="1">
      <c r="A2741" s="4" t="s">
        <v>6290</v>
      </c>
      <c r="B2741" s="5" t="s">
        <v>6290</v>
      </c>
      <c r="C2741" s="5" t="s">
        <v>31</v>
      </c>
      <c r="D2741" s="5" t="s">
        <v>32</v>
      </c>
      <c r="E2741" s="5" t="s">
        <v>669</v>
      </c>
      <c r="F2741" s="9">
        <v>14</v>
      </c>
      <c r="G2741" s="9">
        <v>123</v>
      </c>
      <c r="H2741" s="5" t="s">
        <v>20</v>
      </c>
      <c r="I2741" s="5" t="s">
        <v>6291</v>
      </c>
      <c r="J2741" s="12" t="str">
        <f>HYPERLINK("https://www.boe.es/gazeta/dias/1806/02/11/pdfs/GMD-1806-14.pdf#page=7","Abrir facsímil")</f>
        <v>Abrir facsímil</v>
      </c>
      <c r="K2741" s="15" t="s">
        <v>22</v>
      </c>
    </row>
    <row r="2742" spans="1:11" ht="42" customHeight="1">
      <c r="A2742" s="4" t="s">
        <v>6292</v>
      </c>
      <c r="B2742" s="5" t="s">
        <v>6292</v>
      </c>
      <c r="C2742" s="5" t="s">
        <v>17</v>
      </c>
      <c r="D2742" s="5" t="s">
        <v>18</v>
      </c>
      <c r="E2742" s="5" t="s">
        <v>48</v>
      </c>
      <c r="F2742" s="9">
        <v>67</v>
      </c>
      <c r="G2742" s="9">
        <v>700</v>
      </c>
      <c r="H2742" s="5" t="s">
        <v>20</v>
      </c>
      <c r="I2742" s="5" t="s">
        <v>6293</v>
      </c>
      <c r="J2742" s="12" t="str">
        <f>HYPERLINK("https://www.boe.es/gazeta/dias/1806/08/15/pdfs/GMD-1806-67.pdf#page=8","Abrir facsímil")</f>
        <v>Abrir facsímil</v>
      </c>
      <c r="K2742" s="15" t="s">
        <v>22</v>
      </c>
    </row>
    <row r="2743" spans="1:11" ht="42" customHeight="1">
      <c r="A2743" s="4" t="s">
        <v>6294</v>
      </c>
      <c r="B2743" s="5" t="s">
        <v>6295</v>
      </c>
      <c r="C2743" s="5" t="s">
        <v>69</v>
      </c>
      <c r="D2743" s="5" t="s">
        <v>70</v>
      </c>
      <c r="E2743" s="5" t="s">
        <v>367</v>
      </c>
      <c r="F2743" s="9">
        <v>87</v>
      </c>
      <c r="G2743" s="9">
        <v>895</v>
      </c>
      <c r="H2743" s="5" t="s">
        <v>20</v>
      </c>
      <c r="I2743" s="5" t="s">
        <v>6296</v>
      </c>
      <c r="J2743" s="12" t="str">
        <f>HYPERLINK("https://www.boe.es/gazeta/dias/1806/10/24/pdfs/GMD-1806-87.pdf#page=3","Abrir facsímil")</f>
        <v>Abrir facsímil</v>
      </c>
      <c r="K2743" s="15" t="s">
        <v>22</v>
      </c>
    </row>
    <row r="2744" spans="1:11" ht="42" customHeight="1">
      <c r="A2744" s="4" t="s">
        <v>6297</v>
      </c>
      <c r="B2744" s="5" t="s">
        <v>6298</v>
      </c>
      <c r="C2744" s="5" t="s">
        <v>31</v>
      </c>
      <c r="D2744" s="5" t="s">
        <v>32</v>
      </c>
      <c r="E2744" s="5" t="s">
        <v>110</v>
      </c>
      <c r="F2744" s="9">
        <v>55</v>
      </c>
      <c r="G2744" s="9">
        <v>567</v>
      </c>
      <c r="H2744" s="5" t="s">
        <v>20</v>
      </c>
      <c r="I2744" s="5" t="s">
        <v>6299</v>
      </c>
      <c r="J2744" s="12" t="str">
        <f>HYPERLINK("https://www.boe.es/gazeta/dias/1806/07/04/pdfs/GMD-1806-55.pdf#page=3","Abrir facsímil")</f>
        <v>Abrir facsímil</v>
      </c>
      <c r="K2744" s="15" t="s">
        <v>22</v>
      </c>
    </row>
    <row r="2745" spans="1:11" ht="42" customHeight="1">
      <c r="A2745" s="4" t="s">
        <v>6300</v>
      </c>
      <c r="B2745" s="5" t="s">
        <v>6301</v>
      </c>
      <c r="C2745" s="5" t="s">
        <v>69</v>
      </c>
      <c r="D2745" s="5" t="s">
        <v>70</v>
      </c>
      <c r="E2745" s="5" t="s">
        <v>570</v>
      </c>
      <c r="F2745" s="9">
        <v>93</v>
      </c>
      <c r="G2745" s="9">
        <v>969</v>
      </c>
      <c r="H2745" s="5" t="s">
        <v>20</v>
      </c>
      <c r="I2745" s="5" t="s">
        <v>6302</v>
      </c>
      <c r="J2745" s="12" t="str">
        <f>HYPERLINK("https://www.boe.es/gazeta/dias/1806/11/14/pdfs/GMD-1806-93.pdf#page=5","Abrir facsímil")</f>
        <v>Abrir facsímil</v>
      </c>
      <c r="K2745" s="15" t="s">
        <v>22</v>
      </c>
    </row>
    <row r="2746" spans="1:11" ht="42" customHeight="1">
      <c r="A2746" s="4" t="s">
        <v>6303</v>
      </c>
      <c r="B2746" s="5" t="s">
        <v>6304</v>
      </c>
      <c r="C2746" s="5" t="s">
        <v>31</v>
      </c>
      <c r="D2746" s="5" t="s">
        <v>32</v>
      </c>
      <c r="E2746" s="5" t="s">
        <v>554</v>
      </c>
      <c r="F2746" s="9">
        <v>90</v>
      </c>
      <c r="G2746" s="9">
        <v>930</v>
      </c>
      <c r="H2746" s="5" t="s">
        <v>20</v>
      </c>
      <c r="I2746" s="5" t="s">
        <v>6305</v>
      </c>
      <c r="J2746" s="12" t="str">
        <f>HYPERLINK("https://www.boe.es/gazeta/dias/1806/11/04/pdfs/GMD-1806-90.pdf#page=6","Abrir facsímil")</f>
        <v>Abrir facsímil</v>
      </c>
      <c r="K2746" s="15" t="s">
        <v>22</v>
      </c>
    </row>
    <row r="2747" spans="1:11" ht="42" customHeight="1">
      <c r="A2747" s="4" t="s">
        <v>6306</v>
      </c>
      <c r="B2747" s="5" t="s">
        <v>6306</v>
      </c>
      <c r="C2747" s="5" t="s">
        <v>31</v>
      </c>
      <c r="D2747" s="5" t="s">
        <v>32</v>
      </c>
      <c r="E2747" s="5" t="s">
        <v>870</v>
      </c>
      <c r="F2747" s="9">
        <v>35</v>
      </c>
      <c r="G2747" s="9">
        <v>338</v>
      </c>
      <c r="H2747" s="5" t="s">
        <v>20</v>
      </c>
      <c r="I2747" s="5" t="s">
        <v>6307</v>
      </c>
      <c r="J2747" s="12" t="str">
        <f>HYPERLINK("https://www.boe.es/gazeta/dias/1806/04/25/pdfs/GMD-1806-35.pdf#page=2","Abrir facsímil")</f>
        <v>Abrir facsímil</v>
      </c>
      <c r="K2747" s="15" t="s">
        <v>22</v>
      </c>
    </row>
    <row r="2748" spans="1:11" ht="42" customHeight="1">
      <c r="A2748" s="4" t="s">
        <v>6308</v>
      </c>
      <c r="B2748" s="5" t="s">
        <v>6309</v>
      </c>
      <c r="C2748" s="5" t="s">
        <v>17</v>
      </c>
      <c r="D2748" s="5" t="s">
        <v>18</v>
      </c>
      <c r="E2748" s="5" t="s">
        <v>689</v>
      </c>
      <c r="F2748" s="9">
        <v>37</v>
      </c>
      <c r="G2748" s="9">
        <v>358</v>
      </c>
      <c r="H2748" s="5" t="s">
        <v>20</v>
      </c>
      <c r="I2748" s="5" t="s">
        <v>6310</v>
      </c>
      <c r="J2748" s="12" t="str">
        <f>HYPERLINK("https://www.boe.es/gazeta/dias/1806/05/02/pdfs/GMD-1806-37.pdf#page=6","Abrir facsímil")</f>
        <v>Abrir facsímil</v>
      </c>
      <c r="K2748" s="15" t="s">
        <v>22</v>
      </c>
    </row>
    <row r="2749" spans="1:11" ht="42" customHeight="1">
      <c r="A2749" s="4" t="s">
        <v>6311</v>
      </c>
      <c r="B2749" s="5" t="s">
        <v>6312</v>
      </c>
      <c r="C2749" s="5" t="s">
        <v>69</v>
      </c>
      <c r="D2749" s="5" t="s">
        <v>70</v>
      </c>
      <c r="E2749" s="5" t="s">
        <v>28</v>
      </c>
      <c r="F2749" s="9">
        <v>102</v>
      </c>
      <c r="G2749" s="9">
        <v>1082</v>
      </c>
      <c r="H2749" s="5" t="s">
        <v>20</v>
      </c>
      <c r="I2749" s="5" t="s">
        <v>6313</v>
      </c>
      <c r="J2749" s="12" t="str">
        <f>HYPERLINK("https://www.boe.es/gazeta/dias/1806/12/16/pdfs/GMD-1806-102.pdf#page=6","Abrir facsímil")</f>
        <v>Abrir facsímil</v>
      </c>
      <c r="K2749" s="15" t="s">
        <v>22</v>
      </c>
    </row>
    <row r="2750" spans="1:11" ht="42" customHeight="1">
      <c r="A2750" s="4" t="s">
        <v>6314</v>
      </c>
      <c r="B2750" s="5" t="s">
        <v>6315</v>
      </c>
      <c r="C2750" s="5" t="s">
        <v>17</v>
      </c>
      <c r="D2750" s="5" t="s">
        <v>18</v>
      </c>
      <c r="E2750" s="5" t="s">
        <v>79</v>
      </c>
      <c r="F2750" s="9">
        <v>68</v>
      </c>
      <c r="G2750" s="9">
        <v>710</v>
      </c>
      <c r="H2750" s="5" t="s">
        <v>20</v>
      </c>
      <c r="I2750" s="5" t="s">
        <v>6316</v>
      </c>
      <c r="J2750" s="12" t="str">
        <f>HYPERLINK("https://www.boe.es/gazeta/dias/1806/08/19/pdfs/GMD-1806-68.pdf#page=6","Abrir facsímil")</f>
        <v>Abrir facsímil</v>
      </c>
      <c r="K2750" s="15" t="s">
        <v>22</v>
      </c>
    </row>
    <row r="2751" spans="1:11" ht="42" customHeight="1">
      <c r="A2751" s="4" t="s">
        <v>6317</v>
      </c>
      <c r="B2751" s="5" t="s">
        <v>6318</v>
      </c>
      <c r="C2751" s="5" t="s">
        <v>69</v>
      </c>
      <c r="D2751" s="5" t="s">
        <v>70</v>
      </c>
      <c r="E2751" s="5" t="s">
        <v>383</v>
      </c>
      <c r="F2751" s="9">
        <v>54</v>
      </c>
      <c r="G2751" s="9">
        <v>560</v>
      </c>
      <c r="H2751" s="5" t="s">
        <v>20</v>
      </c>
      <c r="I2751" s="5" t="s">
        <v>6319</v>
      </c>
      <c r="J2751" s="12" t="str">
        <f>HYPERLINK("https://www.boe.es/gazeta/dias/1806/07/01/pdfs/GMD-1806-54.pdf#page=4","Abrir facsímil")</f>
        <v>Abrir facsímil</v>
      </c>
      <c r="K2751" s="15" t="s">
        <v>22</v>
      </c>
    </row>
    <row r="2752" spans="1:11" ht="42" customHeight="1">
      <c r="A2752" s="4" t="s">
        <v>6320</v>
      </c>
      <c r="B2752" s="5" t="s">
        <v>6321</v>
      </c>
      <c r="C2752" s="5" t="s">
        <v>17</v>
      </c>
      <c r="D2752" s="5" t="s">
        <v>18</v>
      </c>
      <c r="E2752" s="5" t="s">
        <v>367</v>
      </c>
      <c r="F2752" s="9">
        <v>87</v>
      </c>
      <c r="G2752" s="9">
        <v>901</v>
      </c>
      <c r="H2752" s="5" t="s">
        <v>20</v>
      </c>
      <c r="I2752" s="5" t="s">
        <v>6322</v>
      </c>
      <c r="J2752" s="12" t="str">
        <f>HYPERLINK("https://www.boe.es/gazeta/dias/1806/10/24/pdfs/GMD-1806-87.pdf#page=9","Abrir facsímil")</f>
        <v>Abrir facsímil</v>
      </c>
      <c r="K2752" s="15" t="s">
        <v>22</v>
      </c>
    </row>
    <row r="2753" spans="1:11" ht="42" customHeight="1">
      <c r="A2753" s="4" t="s">
        <v>6323</v>
      </c>
      <c r="B2753" s="5" t="s">
        <v>6324</v>
      </c>
      <c r="C2753" s="5" t="s">
        <v>69</v>
      </c>
      <c r="D2753" s="5" t="s">
        <v>70</v>
      </c>
      <c r="E2753" s="5" t="s">
        <v>90</v>
      </c>
      <c r="F2753" s="9">
        <v>60</v>
      </c>
      <c r="G2753" s="9">
        <v>622</v>
      </c>
      <c r="H2753" s="5" t="s">
        <v>20</v>
      </c>
      <c r="I2753" s="5" t="s">
        <v>6325</v>
      </c>
      <c r="J2753" s="12" t="str">
        <f>HYPERLINK("https://www.boe.es/gazeta/dias/1806/07/22/pdfs/GMD-1806-60.pdf#page=6","Abrir facsímil")</f>
        <v>Abrir facsímil</v>
      </c>
      <c r="K2753" s="15" t="s">
        <v>22</v>
      </c>
    </row>
    <row r="2754" spans="1:11" ht="42" customHeight="1">
      <c r="A2754" s="4" t="s">
        <v>6323</v>
      </c>
      <c r="B2754" s="5" t="s">
        <v>6324</v>
      </c>
      <c r="C2754" s="5" t="s">
        <v>17</v>
      </c>
      <c r="D2754" s="5" t="s">
        <v>18</v>
      </c>
      <c r="E2754" s="5" t="s">
        <v>26</v>
      </c>
      <c r="F2754" s="9">
        <v>65</v>
      </c>
      <c r="G2754" s="9">
        <v>678</v>
      </c>
      <c r="H2754" s="5" t="s">
        <v>20</v>
      </c>
      <c r="I2754" s="5" t="s">
        <v>6326</v>
      </c>
      <c r="J2754" s="12" t="str">
        <f>HYPERLINK("https://www.boe.es/gazeta/dias/1806/08/08/pdfs/GMD-1806-65.pdf#page=6","Abrir facsímil")</f>
        <v>Abrir facsímil</v>
      </c>
      <c r="K2754" s="15" t="s">
        <v>22</v>
      </c>
    </row>
    <row r="2755" spans="1:11" ht="42" customHeight="1">
      <c r="A2755" s="4" t="s">
        <v>6323</v>
      </c>
      <c r="B2755" s="5" t="s">
        <v>6324</v>
      </c>
      <c r="C2755" s="5" t="s">
        <v>31</v>
      </c>
      <c r="D2755" s="5" t="s">
        <v>32</v>
      </c>
      <c r="E2755" s="5" t="s">
        <v>93</v>
      </c>
      <c r="F2755" s="9">
        <v>72</v>
      </c>
      <c r="G2755" s="9">
        <v>745</v>
      </c>
      <c r="H2755" s="5" t="s">
        <v>20</v>
      </c>
      <c r="I2755" s="5" t="s">
        <v>6327</v>
      </c>
      <c r="J2755" s="12" t="str">
        <f>HYPERLINK("https://www.boe.es/gazeta/dias/1806/09/02/pdfs/GMD-1806-72.pdf#page=5","Abrir facsímil")</f>
        <v>Abrir facsímil</v>
      </c>
      <c r="K2755" s="15" t="s">
        <v>22</v>
      </c>
    </row>
    <row r="2756" spans="1:11" ht="42" customHeight="1">
      <c r="A2756" s="4" t="s">
        <v>6323</v>
      </c>
      <c r="B2756" s="5" t="s">
        <v>6324</v>
      </c>
      <c r="C2756" s="5" t="s">
        <v>31</v>
      </c>
      <c r="D2756" s="5" t="s">
        <v>32</v>
      </c>
      <c r="E2756" s="5" t="s">
        <v>434</v>
      </c>
      <c r="F2756" s="9">
        <v>74</v>
      </c>
      <c r="G2756" s="9">
        <v>764</v>
      </c>
      <c r="H2756" s="5" t="s">
        <v>20</v>
      </c>
      <c r="I2756" s="5" t="s">
        <v>6328</v>
      </c>
      <c r="J2756" s="12" t="str">
        <f>HYPERLINK("https://www.boe.es/gazeta/dias/1806/09/09/pdfs/GMD-1806-74.pdf#page=4","Abrir facsímil")</f>
        <v>Abrir facsímil</v>
      </c>
      <c r="K2756" s="15" t="s">
        <v>22</v>
      </c>
    </row>
    <row r="2757" spans="1:11" ht="42" customHeight="1">
      <c r="A2757" s="4" t="s">
        <v>6323</v>
      </c>
      <c r="B2757" s="5" t="s">
        <v>6324</v>
      </c>
      <c r="C2757" s="5" t="s">
        <v>42</v>
      </c>
      <c r="D2757" s="5" t="s">
        <v>43</v>
      </c>
      <c r="E2757" s="5" t="s">
        <v>1568</v>
      </c>
      <c r="F2757" s="9">
        <v>84</v>
      </c>
      <c r="G2757" s="9">
        <v>866</v>
      </c>
      <c r="H2757" s="5" t="s">
        <v>20</v>
      </c>
      <c r="I2757" s="5" t="s">
        <v>6329</v>
      </c>
      <c r="J2757" s="12" t="str">
        <f>HYPERLINK("https://www.boe.es/gazeta/dias/1806/10/14/pdfs/GMD-1806-84.pdf#page=2","Abrir facsímil")</f>
        <v>Abrir facsímil</v>
      </c>
      <c r="K2757" s="15" t="s">
        <v>22</v>
      </c>
    </row>
    <row r="2758" spans="1:11" ht="42" customHeight="1">
      <c r="A2758" s="4" t="s">
        <v>6323</v>
      </c>
      <c r="B2758" s="5" t="s">
        <v>6324</v>
      </c>
      <c r="C2758" s="5" t="s">
        <v>69</v>
      </c>
      <c r="D2758" s="5" t="s">
        <v>70</v>
      </c>
      <c r="E2758" s="5" t="s">
        <v>348</v>
      </c>
      <c r="F2758" s="9">
        <v>88</v>
      </c>
      <c r="G2758" s="9">
        <v>909</v>
      </c>
      <c r="H2758" s="5" t="s">
        <v>20</v>
      </c>
      <c r="I2758" s="5" t="s">
        <v>6330</v>
      </c>
      <c r="J2758" s="12" t="str">
        <f>HYPERLINK("https://www.boe.es/gazeta/dias/1806/10/28/pdfs/GMD-1806-88.pdf#page=5","Abrir facsímil")</f>
        <v>Abrir facsímil</v>
      </c>
      <c r="K2758" s="15" t="s">
        <v>22</v>
      </c>
    </row>
    <row r="2759" spans="1:11" ht="42" customHeight="1">
      <c r="A2759" s="4" t="s">
        <v>6323</v>
      </c>
      <c r="B2759" s="5" t="s">
        <v>6324</v>
      </c>
      <c r="C2759" s="5" t="s">
        <v>69</v>
      </c>
      <c r="D2759" s="5" t="s">
        <v>70</v>
      </c>
      <c r="E2759" s="5" t="s">
        <v>570</v>
      </c>
      <c r="F2759" s="9">
        <v>93</v>
      </c>
      <c r="G2759" s="9">
        <v>966</v>
      </c>
      <c r="H2759" s="5" t="s">
        <v>20</v>
      </c>
      <c r="I2759" s="5" t="s">
        <v>6331</v>
      </c>
      <c r="J2759" s="12" t="str">
        <f>HYPERLINK("https://www.boe.es/gazeta/dias/1806/11/14/pdfs/GMD-1806-93.pdf#page=2","Abrir facsímil")</f>
        <v>Abrir facsímil</v>
      </c>
      <c r="K2759" s="15" t="s">
        <v>22</v>
      </c>
    </row>
    <row r="2760" spans="1:11" ht="42" customHeight="1">
      <c r="A2760" s="4" t="s">
        <v>6323</v>
      </c>
      <c r="B2760" s="5" t="s">
        <v>6324</v>
      </c>
      <c r="C2760" s="5" t="s">
        <v>42</v>
      </c>
      <c r="D2760" s="5" t="s">
        <v>43</v>
      </c>
      <c r="E2760" s="5" t="s">
        <v>680</v>
      </c>
      <c r="F2760" s="9">
        <v>97</v>
      </c>
      <c r="G2760" s="9">
        <v>1022</v>
      </c>
      <c r="H2760" s="5" t="s">
        <v>20</v>
      </c>
      <c r="I2760" s="5" t="s">
        <v>6332</v>
      </c>
      <c r="J2760" s="12" t="str">
        <f>HYPERLINK("https://www.boe.es/gazeta/dias/1806/11/28/pdfs/GMD-1806-97.pdf#page=2","Abrir facsímil")</f>
        <v>Abrir facsímil</v>
      </c>
      <c r="K2760" s="15" t="s">
        <v>22</v>
      </c>
    </row>
    <row r="2761" spans="1:11" ht="42" customHeight="1">
      <c r="A2761" s="4" t="s">
        <v>6333</v>
      </c>
      <c r="B2761" s="5" t="s">
        <v>6334</v>
      </c>
      <c r="C2761" s="5" t="s">
        <v>31</v>
      </c>
      <c r="D2761" s="5" t="s">
        <v>32</v>
      </c>
      <c r="E2761" s="5" t="s">
        <v>434</v>
      </c>
      <c r="F2761" s="9">
        <v>74</v>
      </c>
      <c r="G2761" s="9">
        <v>764</v>
      </c>
      <c r="H2761" s="5" t="s">
        <v>20</v>
      </c>
      <c r="I2761" s="5" t="s">
        <v>6335</v>
      </c>
      <c r="J2761" s="12" t="str">
        <f>HYPERLINK("https://www.boe.es/gazeta/dias/1806/09/09/pdfs/GMD-1806-74.pdf#page=4","Abrir facsímil")</f>
        <v>Abrir facsímil</v>
      </c>
      <c r="K2761" s="15" t="s">
        <v>22</v>
      </c>
    </row>
    <row r="2762" spans="1:11" ht="42" customHeight="1">
      <c r="A2762" s="4" t="s">
        <v>6336</v>
      </c>
      <c r="B2762" s="5" t="s">
        <v>6337</v>
      </c>
      <c r="C2762" s="5" t="s">
        <v>75</v>
      </c>
      <c r="D2762" s="5" t="s">
        <v>43</v>
      </c>
      <c r="E2762" s="5" t="s">
        <v>780</v>
      </c>
      <c r="F2762" s="9">
        <v>33</v>
      </c>
      <c r="G2762" s="9">
        <v>325</v>
      </c>
      <c r="H2762" s="5" t="s">
        <v>20</v>
      </c>
      <c r="I2762" s="5" t="s">
        <v>6338</v>
      </c>
      <c r="J2762" s="12" t="str">
        <f>HYPERLINK("https://www.boe.es/gazeta/dias/1806/04/18/pdfs/GMD-1806-33.pdf#page=5","Abrir facsímil")</f>
        <v>Abrir facsímil</v>
      </c>
      <c r="K2762" s="15" t="s">
        <v>22</v>
      </c>
    </row>
    <row r="2763" spans="1:11" ht="42" customHeight="1">
      <c r="A2763" s="4" t="s">
        <v>6339</v>
      </c>
      <c r="B2763" s="5" t="s">
        <v>6339</v>
      </c>
      <c r="C2763" s="5" t="s">
        <v>69</v>
      </c>
      <c r="D2763" s="5" t="s">
        <v>70</v>
      </c>
      <c r="E2763" s="5" t="s">
        <v>55</v>
      </c>
      <c r="F2763" s="9">
        <v>20</v>
      </c>
      <c r="G2763" s="9">
        <v>180</v>
      </c>
      <c r="H2763" s="5" t="s">
        <v>20</v>
      </c>
      <c r="I2763" s="5" t="s">
        <v>6340</v>
      </c>
      <c r="J2763" s="12" t="str">
        <f>HYPERLINK("https://www.boe.es/gazeta/dias/1806/03/04/pdfs/GMD-1806-20.pdf#page=4","Abrir facsímil")</f>
        <v>Abrir facsímil</v>
      </c>
      <c r="K2763" s="15" t="s">
        <v>22</v>
      </c>
    </row>
    <row r="2764" spans="1:11" ht="42" customHeight="1">
      <c r="A2764" s="4" t="s">
        <v>6339</v>
      </c>
      <c r="B2764" s="5" t="s">
        <v>6339</v>
      </c>
      <c r="C2764" s="5" t="s">
        <v>69</v>
      </c>
      <c r="D2764" s="5" t="s">
        <v>70</v>
      </c>
      <c r="E2764" s="5" t="s">
        <v>837</v>
      </c>
      <c r="F2764" s="9">
        <v>26</v>
      </c>
      <c r="G2764" s="9">
        <v>252</v>
      </c>
      <c r="H2764" s="5" t="s">
        <v>20</v>
      </c>
      <c r="I2764" s="5" t="s">
        <v>6341</v>
      </c>
      <c r="J2764" s="12" t="str">
        <f>HYPERLINK("https://www.boe.es/gazeta/dias/1806/03/25/pdfs/GMD-1806-26.pdf#page=4","Abrir facsímil")</f>
        <v>Abrir facsímil</v>
      </c>
      <c r="K2764" s="15" t="s">
        <v>22</v>
      </c>
    </row>
    <row r="2765" spans="1:11" ht="42" customHeight="1">
      <c r="A2765" s="4" t="s">
        <v>6339</v>
      </c>
      <c r="B2765" s="5" t="s">
        <v>6339</v>
      </c>
      <c r="C2765" s="5" t="s">
        <v>69</v>
      </c>
      <c r="D2765" s="5" t="s">
        <v>70</v>
      </c>
      <c r="E2765" s="5" t="s">
        <v>48</v>
      </c>
      <c r="F2765" s="9">
        <v>67</v>
      </c>
      <c r="G2765" s="9">
        <v>697</v>
      </c>
      <c r="H2765" s="5" t="s">
        <v>20</v>
      </c>
      <c r="I2765" s="5" t="s">
        <v>6342</v>
      </c>
      <c r="J2765" s="12" t="str">
        <f>HYPERLINK("https://www.boe.es/gazeta/dias/1806/08/15/pdfs/GMD-1806-67.pdf#page=5","Abrir facsímil")</f>
        <v>Abrir facsímil</v>
      </c>
      <c r="K2765" s="15" t="s">
        <v>22</v>
      </c>
    </row>
    <row r="2766" spans="1:11" ht="42" customHeight="1">
      <c r="A2766" s="4" t="s">
        <v>6339</v>
      </c>
      <c r="B2766" s="5" t="s">
        <v>6339</v>
      </c>
      <c r="C2766" s="5" t="s">
        <v>69</v>
      </c>
      <c r="D2766" s="5" t="s">
        <v>70</v>
      </c>
      <c r="E2766" s="5" t="s">
        <v>33</v>
      </c>
      <c r="F2766" s="9">
        <v>82</v>
      </c>
      <c r="G2766" s="9">
        <v>846</v>
      </c>
      <c r="H2766" s="5" t="s">
        <v>20</v>
      </c>
      <c r="I2766" s="5" t="s">
        <v>6343</v>
      </c>
      <c r="J2766" s="12" t="str">
        <f>HYPERLINK("https://www.boe.es/gazeta/dias/1806/10/07/pdfs/GMD-1806-82.pdf#page=6","Abrir facsímil")</f>
        <v>Abrir facsímil</v>
      </c>
      <c r="K2766" s="15" t="s">
        <v>22</v>
      </c>
    </row>
    <row r="2767" spans="1:11" ht="42" customHeight="1">
      <c r="A2767" s="4" t="s">
        <v>6344</v>
      </c>
      <c r="B2767" s="5" t="s">
        <v>6344</v>
      </c>
      <c r="C2767" s="5" t="s">
        <v>69</v>
      </c>
      <c r="D2767" s="5" t="s">
        <v>70</v>
      </c>
      <c r="E2767" s="5" t="s">
        <v>28</v>
      </c>
      <c r="F2767" s="9">
        <v>102</v>
      </c>
      <c r="G2767" s="9">
        <v>1082</v>
      </c>
      <c r="H2767" s="5" t="s">
        <v>20</v>
      </c>
      <c r="I2767" s="5" t="s">
        <v>6345</v>
      </c>
      <c r="J2767" s="12" t="str">
        <f>HYPERLINK("https://www.boe.es/gazeta/dias/1806/12/16/pdfs/GMD-1806-102.pdf#page=6","Abrir facsímil")</f>
        <v>Abrir facsímil</v>
      </c>
      <c r="K2767" s="15" t="s">
        <v>22</v>
      </c>
    </row>
    <row r="2768" spans="1:11" ht="42" customHeight="1">
      <c r="A2768" s="4" t="s">
        <v>6346</v>
      </c>
      <c r="B2768" s="5" t="s">
        <v>6347</v>
      </c>
      <c r="C2768" s="5" t="s">
        <v>69</v>
      </c>
      <c r="D2768" s="5" t="s">
        <v>70</v>
      </c>
      <c r="E2768" s="5" t="s">
        <v>181</v>
      </c>
      <c r="F2768" s="9">
        <v>99</v>
      </c>
      <c r="G2768" s="9">
        <v>1047</v>
      </c>
      <c r="H2768" s="5" t="s">
        <v>20</v>
      </c>
      <c r="I2768" s="5" t="s">
        <v>6348</v>
      </c>
      <c r="J2768" s="12" t="str">
        <f>HYPERLINK("https://www.boe.es/gazeta/dias/1806/12/05/pdfs/GMD-1806-99.pdf#page=3","Abrir facsímil")</f>
        <v>Abrir facsímil</v>
      </c>
      <c r="K2768" s="15" t="s">
        <v>22</v>
      </c>
    </row>
    <row r="2769" spans="1:11" ht="42" customHeight="1">
      <c r="A2769" s="4" t="s">
        <v>6349</v>
      </c>
      <c r="B2769" s="5" t="s">
        <v>6350</v>
      </c>
      <c r="C2769" s="5" t="s">
        <v>31</v>
      </c>
      <c r="D2769" s="5" t="s">
        <v>32</v>
      </c>
      <c r="E2769" s="5" t="s">
        <v>178</v>
      </c>
      <c r="F2769" s="9">
        <v>36</v>
      </c>
      <c r="G2769" s="9">
        <v>350</v>
      </c>
      <c r="H2769" s="5" t="s">
        <v>20</v>
      </c>
      <c r="I2769" s="5" t="s">
        <v>6351</v>
      </c>
      <c r="J2769" s="12" t="str">
        <f>HYPERLINK("https://www.boe.es/gazeta/dias/1806/04/29/pdfs/GMD-1806-36.pdf#page=6","Abrir facsímil")</f>
        <v>Abrir facsímil</v>
      </c>
      <c r="K2769" s="15" t="s">
        <v>22</v>
      </c>
    </row>
    <row r="2770" spans="1:11" ht="42" customHeight="1">
      <c r="A2770" s="4" t="s">
        <v>6352</v>
      </c>
      <c r="B2770" s="5" t="s">
        <v>6352</v>
      </c>
      <c r="C2770" s="5" t="s">
        <v>36</v>
      </c>
      <c r="D2770" s="5" t="s">
        <v>37</v>
      </c>
      <c r="E2770" s="5" t="s">
        <v>44</v>
      </c>
      <c r="F2770" s="9">
        <v>42</v>
      </c>
      <c r="G2770" s="9">
        <v>420</v>
      </c>
      <c r="H2770" s="5" t="s">
        <v>20</v>
      </c>
      <c r="I2770" s="5" t="s">
        <v>6353</v>
      </c>
      <c r="J2770" s="12" t="str">
        <f>HYPERLINK("https://www.boe.es/gazeta/dias/1806/05/20/pdfs/GMD-1806-42.pdf#page=8","Abrir facsímil")</f>
        <v>Abrir facsímil</v>
      </c>
      <c r="K2770" s="15" t="s">
        <v>22</v>
      </c>
    </row>
    <row r="2771" spans="1:11" ht="42" customHeight="1">
      <c r="A2771" s="4" t="s">
        <v>6354</v>
      </c>
      <c r="B2771" s="5" t="s">
        <v>6355</v>
      </c>
      <c r="C2771" s="5" t="s">
        <v>31</v>
      </c>
      <c r="D2771" s="5" t="s">
        <v>32</v>
      </c>
      <c r="E2771" s="5" t="s">
        <v>400</v>
      </c>
      <c r="F2771" s="9">
        <v>22</v>
      </c>
      <c r="G2771" s="9">
        <v>208</v>
      </c>
      <c r="H2771" s="5" t="s">
        <v>20</v>
      </c>
      <c r="I2771" s="5" t="s">
        <v>6356</v>
      </c>
      <c r="J2771" s="12" t="str">
        <f>HYPERLINK("https://www.boe.es/gazeta/dias/1806/03/11/pdfs/GMD-1806-22.pdf#page=8","Abrir facsímil")</f>
        <v>Abrir facsímil</v>
      </c>
      <c r="K2771" s="15" t="s">
        <v>22</v>
      </c>
    </row>
    <row r="2772" spans="1:11" ht="42" customHeight="1">
      <c r="A2772" s="4" t="s">
        <v>6357</v>
      </c>
      <c r="B2772" s="5" t="s">
        <v>6358</v>
      </c>
      <c r="C2772" s="5" t="s">
        <v>69</v>
      </c>
      <c r="D2772" s="5" t="s">
        <v>70</v>
      </c>
      <c r="E2772" s="5" t="s">
        <v>405</v>
      </c>
      <c r="F2772" s="9">
        <v>80</v>
      </c>
      <c r="G2772" s="9">
        <v>824</v>
      </c>
      <c r="H2772" s="5" t="s">
        <v>20</v>
      </c>
      <c r="I2772" s="5" t="s">
        <v>6359</v>
      </c>
      <c r="J2772" s="12" t="str">
        <f>HYPERLINK("https://www.boe.es/gazeta/dias/1806/09/30/pdfs/GMD-1806-80.pdf#page=4","Abrir facsímil")</f>
        <v>Abrir facsímil</v>
      </c>
      <c r="K2772" s="15" t="s">
        <v>22</v>
      </c>
    </row>
    <row r="2773" spans="1:11" ht="42" customHeight="1">
      <c r="A2773" s="4" t="s">
        <v>6360</v>
      </c>
      <c r="B2773" s="5" t="s">
        <v>6360</v>
      </c>
      <c r="C2773" s="5" t="s">
        <v>69</v>
      </c>
      <c r="D2773" s="5" t="s">
        <v>70</v>
      </c>
      <c r="E2773" s="5" t="s">
        <v>127</v>
      </c>
      <c r="F2773" s="9">
        <v>81</v>
      </c>
      <c r="G2773" s="9">
        <v>836</v>
      </c>
      <c r="H2773" s="5" t="s">
        <v>20</v>
      </c>
      <c r="I2773" s="5" t="s">
        <v>6361</v>
      </c>
      <c r="J2773" s="12" t="str">
        <f>HYPERLINK("https://www.boe.es/gazeta/dias/1806/10/03/pdfs/GMD-1806-81.pdf#page=4","Abrir facsímil")</f>
        <v>Abrir facsímil</v>
      </c>
      <c r="K2773" s="15" t="s">
        <v>22</v>
      </c>
    </row>
    <row r="2774" spans="1:11" ht="42" customHeight="1">
      <c r="A2774" s="4" t="s">
        <v>6362</v>
      </c>
      <c r="B2774" s="5" t="s">
        <v>6363</v>
      </c>
      <c r="C2774" s="5" t="s">
        <v>31</v>
      </c>
      <c r="D2774" s="5" t="s">
        <v>32</v>
      </c>
      <c r="E2774" s="5" t="s">
        <v>181</v>
      </c>
      <c r="F2774" s="9">
        <v>99</v>
      </c>
      <c r="G2774" s="9">
        <v>1053</v>
      </c>
      <c r="H2774" s="5" t="s">
        <v>20</v>
      </c>
      <c r="I2774" s="5" t="s">
        <v>6364</v>
      </c>
      <c r="J2774" s="12" t="str">
        <f>HYPERLINK("https://www.boe.es/gazeta/dias/1806/12/05/pdfs/GMD-1806-99.pdf#page=9","Abrir facsímil")</f>
        <v>Abrir facsímil</v>
      </c>
      <c r="K2774" s="15" t="s">
        <v>22</v>
      </c>
    </row>
    <row r="2775" spans="1:11" ht="42" customHeight="1">
      <c r="A2775" s="4" t="s">
        <v>6365</v>
      </c>
      <c r="B2775" s="5" t="s">
        <v>6366</v>
      </c>
      <c r="C2775" s="5" t="s">
        <v>69</v>
      </c>
      <c r="D2775" s="5" t="s">
        <v>70</v>
      </c>
      <c r="E2775" s="5" t="s">
        <v>51</v>
      </c>
      <c r="F2775" s="9">
        <v>44</v>
      </c>
      <c r="G2775" s="9">
        <v>441</v>
      </c>
      <c r="H2775" s="5" t="s">
        <v>20</v>
      </c>
      <c r="I2775" s="5" t="s">
        <v>6367</v>
      </c>
      <c r="J2775" s="12" t="str">
        <f>HYPERLINK("https://www.boe.es/gazeta/dias/1806/05/27/pdfs/GMD-1806-44.pdf#page=5","Abrir facsímil")</f>
        <v>Abrir facsímil</v>
      </c>
      <c r="K2775" s="15" t="s">
        <v>22</v>
      </c>
    </row>
    <row r="2776" spans="1:11" ht="42" customHeight="1">
      <c r="A2776" s="4" t="s">
        <v>6365</v>
      </c>
      <c r="B2776" s="5" t="s">
        <v>6366</v>
      </c>
      <c r="C2776" s="5" t="s">
        <v>69</v>
      </c>
      <c r="D2776" s="5" t="s">
        <v>70</v>
      </c>
      <c r="E2776" s="5" t="s">
        <v>93</v>
      </c>
      <c r="F2776" s="9">
        <v>72</v>
      </c>
      <c r="G2776" s="9">
        <v>745</v>
      </c>
      <c r="H2776" s="5" t="s">
        <v>20</v>
      </c>
      <c r="I2776" s="5" t="s">
        <v>6368</v>
      </c>
      <c r="J2776" s="12" t="str">
        <f>HYPERLINK("https://www.boe.es/gazeta/dias/1806/09/02/pdfs/GMD-1806-72.pdf#page=5","Abrir facsímil")</f>
        <v>Abrir facsímil</v>
      </c>
      <c r="K2776" s="15" t="s">
        <v>22</v>
      </c>
    </row>
    <row r="2777" spans="1:11" ht="42" customHeight="1">
      <c r="A2777" s="4" t="s">
        <v>6365</v>
      </c>
      <c r="B2777" s="5" t="s">
        <v>6366</v>
      </c>
      <c r="C2777" s="5" t="s">
        <v>69</v>
      </c>
      <c r="D2777" s="5" t="s">
        <v>70</v>
      </c>
      <c r="E2777" s="5" t="s">
        <v>434</v>
      </c>
      <c r="F2777" s="9">
        <v>74</v>
      </c>
      <c r="G2777" s="9">
        <v>763</v>
      </c>
      <c r="H2777" s="5" t="s">
        <v>20</v>
      </c>
      <c r="I2777" s="5" t="s">
        <v>6369</v>
      </c>
      <c r="J2777" s="12" t="str">
        <f>HYPERLINK("https://www.boe.es/gazeta/dias/1806/09/09/pdfs/GMD-1806-74.pdf#page=3","Abrir facsímil")</f>
        <v>Abrir facsímil</v>
      </c>
      <c r="K2777" s="15" t="s">
        <v>22</v>
      </c>
    </row>
    <row r="2778" spans="1:11" ht="42" customHeight="1">
      <c r="A2778" s="4" t="s">
        <v>6365</v>
      </c>
      <c r="B2778" s="5" t="s">
        <v>6366</v>
      </c>
      <c r="C2778" s="5" t="s">
        <v>31</v>
      </c>
      <c r="D2778" s="5" t="s">
        <v>32</v>
      </c>
      <c r="E2778" s="5" t="s">
        <v>455</v>
      </c>
      <c r="F2778" s="9">
        <v>85</v>
      </c>
      <c r="G2778" s="9">
        <v>878</v>
      </c>
      <c r="H2778" s="5" t="s">
        <v>20</v>
      </c>
      <c r="I2778" s="5" t="s">
        <v>6370</v>
      </c>
      <c r="J2778" s="12" t="str">
        <f>HYPERLINK("https://www.boe.es/gazeta/dias/1806/10/17/pdfs/GMD-1806-85.pdf#page=6","Abrir facsímil")</f>
        <v>Abrir facsímil</v>
      </c>
      <c r="K2778" s="15" t="s">
        <v>22</v>
      </c>
    </row>
    <row r="2779" spans="1:11" ht="42" customHeight="1">
      <c r="A2779" s="4" t="s">
        <v>6365</v>
      </c>
      <c r="B2779" s="5" t="s">
        <v>6366</v>
      </c>
      <c r="C2779" s="5" t="s">
        <v>69</v>
      </c>
      <c r="D2779" s="5" t="s">
        <v>70</v>
      </c>
      <c r="E2779" s="5" t="s">
        <v>816</v>
      </c>
      <c r="F2779" s="9">
        <v>86</v>
      </c>
      <c r="G2779" s="9">
        <v>888</v>
      </c>
      <c r="H2779" s="5" t="s">
        <v>20</v>
      </c>
      <c r="I2779" s="5" t="s">
        <v>6371</v>
      </c>
      <c r="J2779" s="12" t="str">
        <f>HYPERLINK("https://www.boe.es/gazeta/dias/1806/10/21/pdfs/GMD-1806-86.pdf#page=4","Abrir facsímil")</f>
        <v>Abrir facsímil</v>
      </c>
      <c r="K2779" s="15" t="s">
        <v>22</v>
      </c>
    </row>
    <row r="2780" spans="1:11" ht="42" customHeight="1">
      <c r="A2780" s="4" t="s">
        <v>6365</v>
      </c>
      <c r="B2780" s="5" t="s">
        <v>6366</v>
      </c>
      <c r="C2780" s="5" t="s">
        <v>31</v>
      </c>
      <c r="D2780" s="5" t="s">
        <v>32</v>
      </c>
      <c r="E2780" s="5" t="s">
        <v>348</v>
      </c>
      <c r="F2780" s="9">
        <v>88</v>
      </c>
      <c r="G2780" s="9">
        <v>908</v>
      </c>
      <c r="H2780" s="5" t="s">
        <v>20</v>
      </c>
      <c r="I2780" s="5" t="s">
        <v>6372</v>
      </c>
      <c r="J2780" s="12" t="str">
        <f>HYPERLINK("https://www.boe.es/gazeta/dias/1806/10/28/pdfs/GMD-1806-88.pdf#page=4","Abrir facsímil")</f>
        <v>Abrir facsímil</v>
      </c>
      <c r="K2780" s="15" t="s">
        <v>22</v>
      </c>
    </row>
    <row r="2781" spans="1:11" ht="42" customHeight="1">
      <c r="A2781" s="4" t="s">
        <v>6365</v>
      </c>
      <c r="B2781" s="5" t="s">
        <v>6366</v>
      </c>
      <c r="C2781" s="5" t="s">
        <v>75</v>
      </c>
      <c r="D2781" s="5" t="s">
        <v>43</v>
      </c>
      <c r="E2781" s="5" t="s">
        <v>396</v>
      </c>
      <c r="F2781" s="9">
        <v>91</v>
      </c>
      <c r="G2781" s="9">
        <v>941</v>
      </c>
      <c r="H2781" s="5" t="s">
        <v>20</v>
      </c>
      <c r="I2781" s="5" t="s">
        <v>6373</v>
      </c>
      <c r="J2781" s="12" t="str">
        <f>HYPERLINK("https://www.boe.es/gazeta/dias/1806/11/07/pdfs/GMD-1806-91.pdf#page=5","Abrir facsímil")</f>
        <v>Abrir facsímil</v>
      </c>
      <c r="K2781" s="15" t="s">
        <v>22</v>
      </c>
    </row>
    <row r="2782" spans="1:11" ht="42" customHeight="1">
      <c r="A2782" s="4" t="s">
        <v>6374</v>
      </c>
      <c r="B2782" s="5" t="s">
        <v>6375</v>
      </c>
      <c r="C2782" s="5" t="s">
        <v>31</v>
      </c>
      <c r="D2782" s="5" t="s">
        <v>32</v>
      </c>
      <c r="E2782" s="5" t="s">
        <v>570</v>
      </c>
      <c r="F2782" s="9">
        <v>93</v>
      </c>
      <c r="G2782" s="9">
        <v>966</v>
      </c>
      <c r="H2782" s="5" t="s">
        <v>20</v>
      </c>
      <c r="I2782" s="5" t="s">
        <v>6376</v>
      </c>
      <c r="J2782" s="12" t="str">
        <f>HYPERLINK("https://www.boe.es/gazeta/dias/1806/11/14/pdfs/GMD-1806-93.pdf#page=2","Abrir facsímil")</f>
        <v>Abrir facsímil</v>
      </c>
      <c r="K2782" s="15" t="s">
        <v>22</v>
      </c>
    </row>
    <row r="2783" spans="1:11" ht="42" customHeight="1">
      <c r="A2783" s="4" t="s">
        <v>6377</v>
      </c>
      <c r="B2783" s="5" t="s">
        <v>6378</v>
      </c>
      <c r="C2783" s="5" t="s">
        <v>75</v>
      </c>
      <c r="D2783" s="5" t="s">
        <v>43</v>
      </c>
      <c r="E2783" s="5" t="s">
        <v>79</v>
      </c>
      <c r="F2783" s="9">
        <v>68</v>
      </c>
      <c r="G2783" s="9">
        <v>711</v>
      </c>
      <c r="H2783" s="5" t="s">
        <v>20</v>
      </c>
      <c r="I2783" s="5" t="s">
        <v>6379</v>
      </c>
      <c r="J2783" s="12" t="str">
        <f>HYPERLINK("https://www.boe.es/gazeta/dias/1806/08/19/pdfs/GMD-1806-68.pdf#page=7","Abrir facsímil")</f>
        <v>Abrir facsímil</v>
      </c>
      <c r="K2783" s="15" t="s">
        <v>22</v>
      </c>
    </row>
    <row r="2784" spans="1:11" ht="42" customHeight="1">
      <c r="A2784" s="4" t="s">
        <v>6377</v>
      </c>
      <c r="B2784" s="5" t="s">
        <v>6378</v>
      </c>
      <c r="C2784" s="5" t="s">
        <v>75</v>
      </c>
      <c r="D2784" s="5" t="s">
        <v>43</v>
      </c>
      <c r="E2784" s="5" t="s">
        <v>148</v>
      </c>
      <c r="F2784" s="9">
        <v>78</v>
      </c>
      <c r="G2784" s="9">
        <v>806</v>
      </c>
      <c r="H2784" s="5" t="s">
        <v>20</v>
      </c>
      <c r="I2784" s="5" t="s">
        <v>6380</v>
      </c>
      <c r="J2784" s="12" t="str">
        <f>HYPERLINK("https://www.boe.es/gazeta/dias/1806/09/23/pdfs/GMD-1806-78.pdf#page=10","Abrir facsímil")</f>
        <v>Abrir facsímil</v>
      </c>
      <c r="K2784" s="15" t="s">
        <v>22</v>
      </c>
    </row>
    <row r="2785" spans="1:11" ht="42" customHeight="1">
      <c r="A2785" s="4" t="s">
        <v>6377</v>
      </c>
      <c r="B2785" s="5" t="s">
        <v>6378</v>
      </c>
      <c r="C2785" s="5" t="s">
        <v>75</v>
      </c>
      <c r="D2785" s="5" t="s">
        <v>43</v>
      </c>
      <c r="E2785" s="5" t="s">
        <v>312</v>
      </c>
      <c r="F2785" s="9">
        <v>100</v>
      </c>
      <c r="G2785" s="9">
        <v>1067</v>
      </c>
      <c r="H2785" s="5" t="s">
        <v>20</v>
      </c>
      <c r="I2785" s="5" t="s">
        <v>6381</v>
      </c>
      <c r="J2785" s="12" t="str">
        <f>HYPERLINK("https://www.boe.es/gazeta/dias/1806/12/09/pdfs/GMD-1806-100.pdf#page=11","Abrir facsímil")</f>
        <v>Abrir facsímil</v>
      </c>
      <c r="K2785" s="15" t="s">
        <v>22</v>
      </c>
    </row>
    <row r="2786" spans="1:11" ht="42" customHeight="1">
      <c r="A2786" s="4" t="s">
        <v>6382</v>
      </c>
      <c r="B2786" s="5" t="s">
        <v>6383</v>
      </c>
      <c r="C2786" s="5" t="s">
        <v>75</v>
      </c>
      <c r="D2786" s="5" t="s">
        <v>43</v>
      </c>
      <c r="E2786" s="5" t="s">
        <v>438</v>
      </c>
      <c r="F2786" s="9">
        <v>70</v>
      </c>
      <c r="G2786" s="9">
        <v>732</v>
      </c>
      <c r="H2786" s="5" t="s">
        <v>20</v>
      </c>
      <c r="I2786" s="5" t="s">
        <v>6384</v>
      </c>
      <c r="J2786" s="12" t="str">
        <f>HYPERLINK("https://www.boe.es/gazeta/dias/1806/08/26/pdfs/GMD-1806-70.pdf#page=8","Abrir facsímil")</f>
        <v>Abrir facsímil</v>
      </c>
      <c r="K2786" s="15" t="s">
        <v>22</v>
      </c>
    </row>
    <row r="2787" spans="1:11" ht="42" customHeight="1">
      <c r="A2787" s="4" t="s">
        <v>6385</v>
      </c>
      <c r="B2787" s="5" t="s">
        <v>6386</v>
      </c>
      <c r="C2787" s="5" t="s">
        <v>17</v>
      </c>
      <c r="D2787" s="5" t="s">
        <v>18</v>
      </c>
      <c r="E2787" s="5" t="s">
        <v>209</v>
      </c>
      <c r="F2787" s="9">
        <v>95</v>
      </c>
      <c r="G2787" s="9">
        <v>1004</v>
      </c>
      <c r="H2787" s="5" t="s">
        <v>20</v>
      </c>
      <c r="I2787" s="5" t="s">
        <v>6387</v>
      </c>
      <c r="J2787" s="12" t="str">
        <f>HYPERLINK("https://www.boe.es/gazeta/dias/1806/11/21/pdfs/GMD-1806-95.pdf#page=12","Abrir facsímil")</f>
        <v>Abrir facsímil</v>
      </c>
      <c r="K2787" s="15" t="s">
        <v>22</v>
      </c>
    </row>
    <row r="2788" spans="1:11" ht="42" customHeight="1">
      <c r="A2788" s="4" t="s">
        <v>6388</v>
      </c>
      <c r="B2788" s="5" t="s">
        <v>6389</v>
      </c>
      <c r="C2788" s="5" t="s">
        <v>17</v>
      </c>
      <c r="D2788" s="5" t="s">
        <v>18</v>
      </c>
      <c r="E2788" s="5" t="s">
        <v>657</v>
      </c>
      <c r="F2788" s="9">
        <v>96</v>
      </c>
      <c r="G2788" s="9">
        <v>1020</v>
      </c>
      <c r="H2788" s="5" t="s">
        <v>20</v>
      </c>
      <c r="I2788" s="5" t="s">
        <v>6390</v>
      </c>
      <c r="J2788" s="12" t="str">
        <f>HYPERLINK("https://www.boe.es/gazeta/dias/1806/11/25/pdfs/GMD-1806-96.pdf#page=12","Abrir facsímil")</f>
        <v>Abrir facsímil</v>
      </c>
      <c r="K2788" s="15" t="s">
        <v>22</v>
      </c>
    </row>
    <row r="2789" spans="1:11" ht="42" customHeight="1">
      <c r="A2789" s="4" t="s">
        <v>6391</v>
      </c>
      <c r="B2789" s="5" t="s">
        <v>6391</v>
      </c>
      <c r="C2789" s="5" t="s">
        <v>17</v>
      </c>
      <c r="D2789" s="5" t="s">
        <v>18</v>
      </c>
      <c r="E2789" s="5" t="s">
        <v>82</v>
      </c>
      <c r="F2789" s="9">
        <v>48</v>
      </c>
      <c r="G2789" s="9">
        <v>495</v>
      </c>
      <c r="H2789" s="5" t="s">
        <v>20</v>
      </c>
      <c r="I2789" s="5" t="s">
        <v>6392</v>
      </c>
      <c r="J2789" s="12" t="str">
        <f>HYPERLINK("https://www.boe.es/gazeta/dias/1806/06/10/pdfs/GMD-1806-48.pdf#page=7","Abrir facsímil")</f>
        <v>Abrir facsímil</v>
      </c>
      <c r="K2789" s="15" t="s">
        <v>22</v>
      </c>
    </row>
    <row r="2790" spans="1:11" ht="42" customHeight="1">
      <c r="A2790" s="4" t="s">
        <v>6393</v>
      </c>
      <c r="B2790" s="5" t="s">
        <v>6393</v>
      </c>
      <c r="C2790" s="5" t="s">
        <v>17</v>
      </c>
      <c r="D2790" s="5" t="s">
        <v>18</v>
      </c>
      <c r="E2790" s="5" t="s">
        <v>55</v>
      </c>
      <c r="F2790" s="9">
        <v>20</v>
      </c>
      <c r="G2790" s="9">
        <v>187</v>
      </c>
      <c r="H2790" s="5" t="s">
        <v>20</v>
      </c>
      <c r="I2790" s="5" t="s">
        <v>6394</v>
      </c>
      <c r="J2790" s="12" t="str">
        <f>HYPERLINK("https://www.boe.es/gazeta/dias/1806/03/04/pdfs/GMD-1806-20.pdf#page=11","Abrir facsímil")</f>
        <v>Abrir facsímil</v>
      </c>
      <c r="K2790" s="15" t="s">
        <v>22</v>
      </c>
    </row>
    <row r="2791" spans="1:11" ht="42" customHeight="1">
      <c r="A2791" s="4" t="s">
        <v>6395</v>
      </c>
      <c r="B2791" s="5" t="s">
        <v>6396</v>
      </c>
      <c r="C2791" s="5" t="s">
        <v>31</v>
      </c>
      <c r="D2791" s="5" t="s">
        <v>32</v>
      </c>
      <c r="E2791" s="5" t="s">
        <v>118</v>
      </c>
      <c r="F2791" s="9">
        <v>15</v>
      </c>
      <c r="G2791" s="9">
        <v>134</v>
      </c>
      <c r="H2791" s="5" t="s">
        <v>20</v>
      </c>
      <c r="I2791" s="5" t="s">
        <v>6397</v>
      </c>
      <c r="J2791" s="12" t="str">
        <f>HYPERLINK("https://www.boe.es/gazeta/dias/1806/02/14/pdfs/GMD-1806-15.pdf#page=10","Abrir facsímil")</f>
        <v>Abrir facsímil</v>
      </c>
      <c r="K2791" s="15" t="s">
        <v>22</v>
      </c>
    </row>
    <row r="2792" spans="1:11" ht="42" customHeight="1">
      <c r="A2792" s="4" t="s">
        <v>6398</v>
      </c>
      <c r="B2792" s="5" t="s">
        <v>6399</v>
      </c>
      <c r="C2792" s="5" t="s">
        <v>31</v>
      </c>
      <c r="D2792" s="5" t="s">
        <v>32</v>
      </c>
      <c r="E2792" s="5" t="s">
        <v>136</v>
      </c>
      <c r="F2792" s="9">
        <v>50</v>
      </c>
      <c r="G2792" s="9">
        <v>513</v>
      </c>
      <c r="H2792" s="5" t="s">
        <v>20</v>
      </c>
      <c r="I2792" s="5" t="s">
        <v>6400</v>
      </c>
      <c r="J2792" s="12" t="str">
        <f>HYPERLINK("https://www.boe.es/gazeta/dias/1806/06/17/pdfs/GMD-1806-50.pdf#page=5","Abrir facsímil")</f>
        <v>Abrir facsímil</v>
      </c>
      <c r="K2792" s="15" t="s">
        <v>22</v>
      </c>
    </row>
    <row r="2793" spans="1:11" ht="42" customHeight="1">
      <c r="A2793" s="4" t="s">
        <v>6401</v>
      </c>
      <c r="B2793" s="5" t="s">
        <v>6402</v>
      </c>
      <c r="C2793" s="5" t="s">
        <v>42</v>
      </c>
      <c r="D2793" s="5" t="s">
        <v>43</v>
      </c>
      <c r="E2793" s="5" t="s">
        <v>297</v>
      </c>
      <c r="F2793" s="9">
        <v>94</v>
      </c>
      <c r="G2793" s="9">
        <v>988</v>
      </c>
      <c r="H2793" s="5" t="s">
        <v>20</v>
      </c>
      <c r="I2793" s="5" t="s">
        <v>6403</v>
      </c>
      <c r="J2793" s="12" t="str">
        <f>HYPERLINK("https://www.boe.es/gazeta/dias/1806/11/18/pdfs/GMD-1806-94.pdf#page=8","Abrir facsímil")</f>
        <v>Abrir facsímil</v>
      </c>
      <c r="K2793" s="15" t="s">
        <v>22</v>
      </c>
    </row>
    <row r="2794" spans="1:11" ht="42" customHeight="1">
      <c r="A2794" s="4" t="s">
        <v>6404</v>
      </c>
      <c r="B2794" s="5" t="s">
        <v>6405</v>
      </c>
      <c r="C2794" s="5" t="s">
        <v>31</v>
      </c>
      <c r="D2794" s="5" t="s">
        <v>32</v>
      </c>
      <c r="E2794" s="5" t="s">
        <v>657</v>
      </c>
      <c r="F2794" s="9">
        <v>96</v>
      </c>
      <c r="G2794" s="9">
        <v>1014</v>
      </c>
      <c r="H2794" s="5" t="s">
        <v>20</v>
      </c>
      <c r="I2794" s="5" t="s">
        <v>6406</v>
      </c>
      <c r="J2794" s="12" t="str">
        <f>HYPERLINK("https://www.boe.es/gazeta/dias/1806/11/25/pdfs/GMD-1806-96.pdf#page=6","Abrir facsímil")</f>
        <v>Abrir facsímil</v>
      </c>
      <c r="K2794" s="15" t="s">
        <v>22</v>
      </c>
    </row>
    <row r="2795" spans="1:11" ht="42" customHeight="1">
      <c r="A2795" s="4" t="s">
        <v>6407</v>
      </c>
      <c r="B2795" s="5" t="s">
        <v>6408</v>
      </c>
      <c r="C2795" s="5" t="s">
        <v>31</v>
      </c>
      <c r="D2795" s="5" t="s">
        <v>32</v>
      </c>
      <c r="E2795" s="5" t="s">
        <v>220</v>
      </c>
      <c r="F2795" s="9">
        <v>24</v>
      </c>
      <c r="G2795" s="9">
        <v>235</v>
      </c>
      <c r="H2795" s="5" t="s">
        <v>20</v>
      </c>
      <c r="I2795" s="5" t="s">
        <v>6409</v>
      </c>
      <c r="J2795" s="12" t="str">
        <f>HYPERLINK("https://www.boe.es/gazeta/dias/1806/03/18/pdfs/GMD-1806-24.pdf#page=11","Abrir facsímil")</f>
        <v>Abrir facsímil</v>
      </c>
      <c r="K2795" s="15" t="s">
        <v>22</v>
      </c>
    </row>
    <row r="2796" spans="1:11" ht="42" customHeight="1">
      <c r="A2796" s="4" t="s">
        <v>6407</v>
      </c>
      <c r="B2796" s="5" t="s">
        <v>6408</v>
      </c>
      <c r="C2796" s="5" t="s">
        <v>17</v>
      </c>
      <c r="D2796" s="5" t="s">
        <v>18</v>
      </c>
      <c r="E2796" s="5" t="s">
        <v>90</v>
      </c>
      <c r="F2796" s="9">
        <v>60</v>
      </c>
      <c r="G2796" s="9">
        <v>625</v>
      </c>
      <c r="H2796" s="5" t="s">
        <v>20</v>
      </c>
      <c r="I2796" s="5" t="s">
        <v>6410</v>
      </c>
      <c r="J2796" s="12" t="str">
        <f>HYPERLINK("https://www.boe.es/gazeta/dias/1806/07/22/pdfs/GMD-1806-60.pdf#page=9","Abrir facsímil")</f>
        <v>Abrir facsímil</v>
      </c>
      <c r="K2796" s="15" t="s">
        <v>22</v>
      </c>
    </row>
    <row r="2797" spans="1:11" ht="42" customHeight="1">
      <c r="A2797" s="4" t="s">
        <v>6407</v>
      </c>
      <c r="B2797" s="5" t="s">
        <v>6408</v>
      </c>
      <c r="C2797" s="5" t="s">
        <v>17</v>
      </c>
      <c r="D2797" s="5" t="s">
        <v>18</v>
      </c>
      <c r="E2797" s="5" t="s">
        <v>209</v>
      </c>
      <c r="F2797" s="9">
        <v>95</v>
      </c>
      <c r="G2797" s="9">
        <v>1007</v>
      </c>
      <c r="H2797" s="5" t="s">
        <v>20</v>
      </c>
      <c r="I2797" s="5" t="s">
        <v>6411</v>
      </c>
      <c r="J2797" s="12" t="str">
        <f>HYPERLINK("https://www.boe.es/gazeta/dias/1806/11/21/pdfs/GMD-1806-95.pdf#page=15","Abrir facsímil")</f>
        <v>Abrir facsímil</v>
      </c>
      <c r="K2797" s="15" t="s">
        <v>22</v>
      </c>
    </row>
    <row r="2798" spans="1:11" ht="42" customHeight="1">
      <c r="A2798" s="4" t="s">
        <v>6412</v>
      </c>
      <c r="B2798" s="5" t="s">
        <v>6413</v>
      </c>
      <c r="C2798" s="5" t="s">
        <v>17</v>
      </c>
      <c r="D2798" s="5" t="s">
        <v>18</v>
      </c>
      <c r="E2798" s="5" t="s">
        <v>209</v>
      </c>
      <c r="F2798" s="9">
        <v>95</v>
      </c>
      <c r="G2798" s="9">
        <v>993</v>
      </c>
      <c r="H2798" s="5" t="s">
        <v>20</v>
      </c>
      <c r="I2798" s="5" t="s">
        <v>6414</v>
      </c>
      <c r="J2798" s="12" t="str">
        <f>HYPERLINK("https://www.boe.es/gazeta/dias/1806/11/21/pdfs/GMD-1806-95.pdf#page=1","Abrir facsímil")</f>
        <v>Abrir facsímil</v>
      </c>
      <c r="K2798" s="15" t="s">
        <v>22</v>
      </c>
    </row>
    <row r="2799" spans="1:11" ht="42" customHeight="1">
      <c r="A2799" s="4" t="s">
        <v>6415</v>
      </c>
      <c r="B2799" s="5" t="s">
        <v>6415</v>
      </c>
      <c r="C2799" s="5" t="s">
        <v>17</v>
      </c>
      <c r="D2799" s="5" t="s">
        <v>18</v>
      </c>
      <c r="E2799" s="5" t="s">
        <v>780</v>
      </c>
      <c r="F2799" s="9">
        <v>33</v>
      </c>
      <c r="G2799" s="9">
        <v>325</v>
      </c>
      <c r="H2799" s="5" t="s">
        <v>20</v>
      </c>
      <c r="I2799" s="5" t="s">
        <v>6416</v>
      </c>
      <c r="J2799" s="12" t="str">
        <f>HYPERLINK("https://www.boe.es/gazeta/dias/1806/04/18/pdfs/GMD-1806-33.pdf#page=5","Abrir facsímil")</f>
        <v>Abrir facsímil</v>
      </c>
      <c r="K2799" s="15" t="s">
        <v>22</v>
      </c>
    </row>
    <row r="2800" spans="1:11" ht="42" customHeight="1">
      <c r="A2800" s="4" t="s">
        <v>6417</v>
      </c>
      <c r="B2800" s="5" t="s">
        <v>6418</v>
      </c>
      <c r="C2800" s="5" t="s">
        <v>447</v>
      </c>
      <c r="D2800" s="5" t="s">
        <v>448</v>
      </c>
      <c r="E2800" s="5" t="s">
        <v>304</v>
      </c>
      <c r="F2800" s="9">
        <v>47</v>
      </c>
      <c r="G2800" s="9">
        <v>483</v>
      </c>
      <c r="H2800" s="5" t="s">
        <v>20</v>
      </c>
      <c r="I2800" s="5" t="s">
        <v>6419</v>
      </c>
      <c r="J2800" s="12" t="str">
        <f>HYPERLINK("https://www.boe.es/gazeta/dias/1806/06/06/pdfs/GMD-C-1806-47.pdf#page=3","Abrir facsímil")</f>
        <v>Abrir facsímil</v>
      </c>
      <c r="K2800" s="15" t="s">
        <v>22</v>
      </c>
    </row>
    <row r="2801" spans="1:11" ht="42" customHeight="1">
      <c r="A2801" s="4" t="s">
        <v>6420</v>
      </c>
      <c r="B2801" s="5" t="s">
        <v>6421</v>
      </c>
      <c r="C2801" s="5" t="s">
        <v>42</v>
      </c>
      <c r="D2801" s="5" t="s">
        <v>43</v>
      </c>
      <c r="E2801" s="5" t="s">
        <v>140</v>
      </c>
      <c r="F2801" s="9">
        <v>83</v>
      </c>
      <c r="G2801" s="9">
        <v>860</v>
      </c>
      <c r="H2801" s="5" t="s">
        <v>20</v>
      </c>
      <c r="I2801" s="5" t="s">
        <v>6422</v>
      </c>
      <c r="J2801" s="12" t="str">
        <f>HYPERLINK("https://www.boe.es/gazeta/dias/1806/10/10/pdfs/GMD-1806-83.pdf#page=8","Abrir facsímil")</f>
        <v>Abrir facsímil</v>
      </c>
      <c r="K2801" s="15" t="s">
        <v>22</v>
      </c>
    </row>
    <row r="2802" spans="1:11" ht="42" customHeight="1">
      <c r="A2802" s="4" t="s">
        <v>6423</v>
      </c>
      <c r="B2802" s="5" t="s">
        <v>6424</v>
      </c>
      <c r="C2802" s="5" t="s">
        <v>17</v>
      </c>
      <c r="D2802" s="5" t="s">
        <v>18</v>
      </c>
      <c r="E2802" s="5" t="s">
        <v>76</v>
      </c>
      <c r="F2802" s="9">
        <v>98</v>
      </c>
      <c r="G2802" s="9">
        <v>1038</v>
      </c>
      <c r="H2802" s="5" t="s">
        <v>20</v>
      </c>
      <c r="I2802" s="5" t="s">
        <v>6425</v>
      </c>
      <c r="J2802" s="12" t="str">
        <f>HYPERLINK("https://www.boe.es/gazeta/dias/1806/12/02/pdfs/GMD-1806-98.pdf#page=6","Abrir facsímil")</f>
        <v>Abrir facsímil</v>
      </c>
      <c r="K2802" s="15" t="s">
        <v>22</v>
      </c>
    </row>
    <row r="2803" spans="1:11" ht="42" customHeight="1">
      <c r="A2803" s="4" t="s">
        <v>6426</v>
      </c>
      <c r="B2803" s="5" t="s">
        <v>6427</v>
      </c>
      <c r="C2803" s="5" t="s">
        <v>69</v>
      </c>
      <c r="D2803" s="5" t="s">
        <v>70</v>
      </c>
      <c r="E2803" s="5" t="s">
        <v>227</v>
      </c>
      <c r="F2803" s="9">
        <v>27</v>
      </c>
      <c r="G2803" s="9">
        <v>264</v>
      </c>
      <c r="H2803" s="5" t="s">
        <v>20</v>
      </c>
      <c r="I2803" s="5" t="s">
        <v>6428</v>
      </c>
      <c r="J2803" s="12" t="str">
        <f>HYPERLINK("https://www.boe.es/gazeta/dias/1806/03/28/pdfs/GMD-1806-27.pdf#page=4","Abrir facsímil")</f>
        <v>Abrir facsímil</v>
      </c>
      <c r="K2803" s="15" t="s">
        <v>22</v>
      </c>
    </row>
    <row r="2804" spans="1:11" ht="42" customHeight="1">
      <c r="A2804" s="4" t="s">
        <v>6426</v>
      </c>
      <c r="B2804" s="5" t="s">
        <v>6427</v>
      </c>
      <c r="C2804" s="5" t="s">
        <v>69</v>
      </c>
      <c r="D2804" s="5" t="s">
        <v>70</v>
      </c>
      <c r="E2804" s="5" t="s">
        <v>191</v>
      </c>
      <c r="F2804" s="9">
        <v>103</v>
      </c>
      <c r="G2804" s="9">
        <v>1093</v>
      </c>
      <c r="H2804" s="5" t="s">
        <v>20</v>
      </c>
      <c r="I2804" s="5" t="s">
        <v>6429</v>
      </c>
      <c r="J2804" s="12" t="str">
        <f>HYPERLINK("https://www.boe.es/gazeta/dias/1806/12/19/pdfs/GMD-1806-103.pdf#page=5","Abrir facsímil")</f>
        <v>Abrir facsímil</v>
      </c>
      <c r="K2804" s="15" t="s">
        <v>22</v>
      </c>
    </row>
    <row r="2805" spans="1:11" ht="42" customHeight="1">
      <c r="A2805" s="4" t="s">
        <v>6430</v>
      </c>
      <c r="B2805" s="5" t="s">
        <v>6431</v>
      </c>
      <c r="C2805" s="5" t="s">
        <v>42</v>
      </c>
      <c r="D2805" s="5" t="s">
        <v>43</v>
      </c>
      <c r="E2805" s="5" t="s">
        <v>136</v>
      </c>
      <c r="F2805" s="9">
        <v>50</v>
      </c>
      <c r="G2805" s="9">
        <v>510</v>
      </c>
      <c r="H2805" s="5" t="s">
        <v>20</v>
      </c>
      <c r="I2805" s="5" t="s">
        <v>6432</v>
      </c>
      <c r="J2805" s="12" t="str">
        <f>HYPERLINK("https://www.boe.es/gazeta/dias/1806/06/17/pdfs/GMD-1806-50.pdf#page=2","Abrir facsímil")</f>
        <v>Abrir facsímil</v>
      </c>
      <c r="K2805" s="15" t="s">
        <v>22</v>
      </c>
    </row>
    <row r="2806" spans="1:11" ht="42" customHeight="1">
      <c r="A2806" s="4" t="s">
        <v>6433</v>
      </c>
      <c r="B2806" s="5" t="s">
        <v>6433</v>
      </c>
      <c r="C2806" s="5" t="s">
        <v>69</v>
      </c>
      <c r="D2806" s="5" t="s">
        <v>70</v>
      </c>
      <c r="E2806" s="5" t="s">
        <v>400</v>
      </c>
      <c r="F2806" s="9">
        <v>22</v>
      </c>
      <c r="G2806" s="9">
        <v>201</v>
      </c>
      <c r="H2806" s="5" t="s">
        <v>20</v>
      </c>
      <c r="I2806" s="5" t="s">
        <v>6434</v>
      </c>
      <c r="J2806" s="12" t="str">
        <f>HYPERLINK("https://www.boe.es/gazeta/dias/1806/03/11/pdfs/GMD-1806-22.pdf#page=1","Abrir facsímil")</f>
        <v>Abrir facsímil</v>
      </c>
      <c r="K2806" s="15" t="s">
        <v>22</v>
      </c>
    </row>
    <row r="2807" spans="1:11" ht="42" customHeight="1">
      <c r="A2807" s="4" t="s">
        <v>6435</v>
      </c>
      <c r="B2807" s="5" t="s">
        <v>6436</v>
      </c>
      <c r="C2807" s="5" t="s">
        <v>42</v>
      </c>
      <c r="D2807" s="5" t="s">
        <v>43</v>
      </c>
      <c r="E2807" s="5" t="s">
        <v>103</v>
      </c>
      <c r="F2807" s="9">
        <v>61</v>
      </c>
      <c r="G2807" s="9">
        <v>635</v>
      </c>
      <c r="H2807" s="5" t="s">
        <v>20</v>
      </c>
      <c r="I2807" s="5" t="s">
        <v>6437</v>
      </c>
      <c r="J2807" s="12" t="str">
        <f>HYPERLINK("https://www.boe.es/gazeta/dias/1806/07/25/pdfs/GMD-1806-61.pdf#page=7","Abrir facsímil")</f>
        <v>Abrir facsímil</v>
      </c>
      <c r="K2807" s="15" t="s">
        <v>22</v>
      </c>
    </row>
    <row r="2808" spans="1:11" ht="42" customHeight="1">
      <c r="A2808" s="4" t="s">
        <v>6438</v>
      </c>
      <c r="B2808" s="5" t="s">
        <v>6439</v>
      </c>
      <c r="C2808" s="5" t="s">
        <v>31</v>
      </c>
      <c r="D2808" s="5" t="s">
        <v>32</v>
      </c>
      <c r="E2808" s="5" t="s">
        <v>55</v>
      </c>
      <c r="F2808" s="9">
        <v>20</v>
      </c>
      <c r="G2808" s="9">
        <v>184</v>
      </c>
      <c r="H2808" s="5" t="s">
        <v>20</v>
      </c>
      <c r="I2808" s="5" t="s">
        <v>6440</v>
      </c>
      <c r="J2808" s="12" t="str">
        <f>HYPERLINK("https://www.boe.es/gazeta/dias/1806/03/04/pdfs/GMD-1806-20.pdf#page=8","Abrir facsímil")</f>
        <v>Abrir facsímil</v>
      </c>
      <c r="K2808" s="15" t="s">
        <v>22</v>
      </c>
    </row>
    <row r="2809" spans="1:11" ht="42" customHeight="1">
      <c r="A2809" s="4" t="s">
        <v>6441</v>
      </c>
      <c r="B2809" s="5" t="s">
        <v>6442</v>
      </c>
      <c r="C2809" s="5" t="s">
        <v>42</v>
      </c>
      <c r="D2809" s="5" t="s">
        <v>43</v>
      </c>
      <c r="E2809" s="5" t="s">
        <v>438</v>
      </c>
      <c r="F2809" s="9">
        <v>70</v>
      </c>
      <c r="G2809" s="9">
        <v>730</v>
      </c>
      <c r="H2809" s="5" t="s">
        <v>20</v>
      </c>
      <c r="I2809" s="5" t="s">
        <v>6443</v>
      </c>
      <c r="J2809" s="12" t="str">
        <f>HYPERLINK("https://www.boe.es/gazeta/dias/1806/08/26/pdfs/GMD-1806-70.pdf#page=6","Abrir facsímil")</f>
        <v>Abrir facsímil</v>
      </c>
      <c r="K2809" s="15" t="s">
        <v>22</v>
      </c>
    </row>
    <row r="2810" spans="1:11" ht="42" customHeight="1">
      <c r="A2810" s="4" t="s">
        <v>6444</v>
      </c>
      <c r="B2810" s="5" t="s">
        <v>6444</v>
      </c>
      <c r="C2810" s="5" t="s">
        <v>36</v>
      </c>
      <c r="D2810" s="5" t="s">
        <v>37</v>
      </c>
      <c r="E2810" s="5" t="s">
        <v>455</v>
      </c>
      <c r="F2810" s="9">
        <v>85</v>
      </c>
      <c r="G2810" s="9">
        <v>883</v>
      </c>
      <c r="H2810" s="5" t="s">
        <v>20</v>
      </c>
      <c r="I2810" s="5" t="s">
        <v>6445</v>
      </c>
      <c r="J2810" s="12" t="str">
        <f>HYPERLINK("https://www.boe.es/gazeta/dias/1806/10/17/pdfs/GMD-1806-85.pdf#page=11","Abrir facsímil")</f>
        <v>Abrir facsímil</v>
      </c>
      <c r="K2810" s="15" t="s">
        <v>22</v>
      </c>
    </row>
    <row r="2811" spans="1:11" ht="42" customHeight="1">
      <c r="A2811" s="4" t="s">
        <v>6446</v>
      </c>
      <c r="B2811" s="5" t="s">
        <v>6447</v>
      </c>
      <c r="C2811" s="5" t="s">
        <v>69</v>
      </c>
      <c r="D2811" s="5" t="s">
        <v>70</v>
      </c>
      <c r="E2811" s="5" t="s">
        <v>185</v>
      </c>
      <c r="F2811" s="9">
        <v>46</v>
      </c>
      <c r="G2811" s="9">
        <v>464</v>
      </c>
      <c r="H2811" s="5" t="s">
        <v>20</v>
      </c>
      <c r="I2811" s="5" t="s">
        <v>6448</v>
      </c>
      <c r="J2811" s="12" t="str">
        <f>HYPERLINK("https://www.boe.es/gazeta/dias/1806/06/03/pdfs/GMD-1806-46.pdf#page=4","Abrir facsímil")</f>
        <v>Abrir facsímil</v>
      </c>
      <c r="K2811" s="15" t="s">
        <v>22</v>
      </c>
    </row>
    <row r="2812" spans="1:11" ht="42" customHeight="1">
      <c r="A2812" s="4" t="s">
        <v>6449</v>
      </c>
      <c r="B2812" s="5" t="s">
        <v>6449</v>
      </c>
      <c r="C2812" s="5" t="s">
        <v>69</v>
      </c>
      <c r="D2812" s="5" t="s">
        <v>70</v>
      </c>
      <c r="E2812" s="5" t="s">
        <v>816</v>
      </c>
      <c r="F2812" s="9">
        <v>86</v>
      </c>
      <c r="G2812" s="9">
        <v>888</v>
      </c>
      <c r="H2812" s="5" t="s">
        <v>20</v>
      </c>
      <c r="I2812" s="5" t="s">
        <v>6450</v>
      </c>
      <c r="J2812" s="12" t="str">
        <f>HYPERLINK("https://www.boe.es/gazeta/dias/1806/10/21/pdfs/GMD-1806-86.pdf#page=4","Abrir facsímil")</f>
        <v>Abrir facsímil</v>
      </c>
      <c r="K2812" s="15" t="s">
        <v>22</v>
      </c>
    </row>
    <row r="2813" spans="1:11" ht="42" customHeight="1">
      <c r="A2813" s="4" t="s">
        <v>6451</v>
      </c>
      <c r="B2813" s="5" t="s">
        <v>6452</v>
      </c>
      <c r="C2813" s="5" t="s">
        <v>31</v>
      </c>
      <c r="D2813" s="5" t="s">
        <v>32</v>
      </c>
      <c r="E2813" s="5" t="s">
        <v>301</v>
      </c>
      <c r="F2813" s="9">
        <v>75</v>
      </c>
      <c r="G2813" s="9">
        <v>777</v>
      </c>
      <c r="H2813" s="5" t="s">
        <v>20</v>
      </c>
      <c r="I2813" s="5" t="s">
        <v>6453</v>
      </c>
      <c r="J2813" s="12" t="str">
        <f>HYPERLINK("https://www.boe.es/gazeta/dias/1806/09/12/pdfs/GMD-1806-75.pdf#page=9","Abrir facsímil")</f>
        <v>Abrir facsímil</v>
      </c>
      <c r="K2813" s="15" t="s">
        <v>22</v>
      </c>
    </row>
    <row r="2814" spans="1:11" ht="42" customHeight="1">
      <c r="A2814" s="4" t="s">
        <v>6454</v>
      </c>
      <c r="B2814" s="5" t="s">
        <v>6454</v>
      </c>
      <c r="C2814" s="5" t="s">
        <v>31</v>
      </c>
      <c r="D2814" s="5" t="s">
        <v>32</v>
      </c>
      <c r="E2814" s="5" t="s">
        <v>600</v>
      </c>
      <c r="F2814" s="9">
        <v>77</v>
      </c>
      <c r="G2814" s="9">
        <v>794</v>
      </c>
      <c r="H2814" s="5" t="s">
        <v>20</v>
      </c>
      <c r="I2814" s="5" t="s">
        <v>6455</v>
      </c>
      <c r="J2814" s="12" t="str">
        <f>HYPERLINK("https://www.boe.es/gazeta/dias/1806/09/19/pdfs/GMD-1806-77.pdf#page=6","Abrir facsímil")</f>
        <v>Abrir facsímil</v>
      </c>
      <c r="K2814" s="15" t="s">
        <v>22</v>
      </c>
    </row>
    <row r="2815" spans="1:11" ht="42" customHeight="1">
      <c r="A2815" s="4" t="s">
        <v>6456</v>
      </c>
      <c r="B2815" s="5" t="s">
        <v>6457</v>
      </c>
      <c r="C2815" s="5" t="s">
        <v>31</v>
      </c>
      <c r="D2815" s="5" t="s">
        <v>32</v>
      </c>
      <c r="E2815" s="5" t="s">
        <v>438</v>
      </c>
      <c r="F2815" s="9">
        <v>70</v>
      </c>
      <c r="G2815" s="9">
        <v>731</v>
      </c>
      <c r="H2815" s="5" t="s">
        <v>20</v>
      </c>
      <c r="I2815" s="5" t="s">
        <v>6458</v>
      </c>
      <c r="J2815" s="12" t="str">
        <f>HYPERLINK("https://www.boe.es/gazeta/dias/1806/08/26/pdfs/GMD-1806-70.pdf#page=7","Abrir facsímil")</f>
        <v>Abrir facsímil</v>
      </c>
      <c r="K2815" s="15" t="s">
        <v>22</v>
      </c>
    </row>
    <row r="2816" spans="1:11" ht="42" customHeight="1">
      <c r="A2816" s="4" t="s">
        <v>6459</v>
      </c>
      <c r="B2816" s="5" t="s">
        <v>6460</v>
      </c>
      <c r="C2816" s="5" t="s">
        <v>69</v>
      </c>
      <c r="D2816" s="5" t="s">
        <v>70</v>
      </c>
      <c r="E2816" s="5" t="s">
        <v>430</v>
      </c>
      <c r="F2816" s="9">
        <v>12</v>
      </c>
      <c r="G2816" s="9">
        <v>101</v>
      </c>
      <c r="H2816" s="5" t="s">
        <v>20</v>
      </c>
      <c r="I2816" s="5" t="s">
        <v>6461</v>
      </c>
      <c r="J2816" s="12" t="str">
        <f>HYPERLINK("https://www.boe.es/gazeta/dias/1806/02/04/pdfs/GMD-1806-12.pdf#page=1","Abrir facsímil")</f>
        <v>Abrir facsímil</v>
      </c>
      <c r="K2816" s="15" t="s">
        <v>22</v>
      </c>
    </row>
    <row r="2817" spans="1:11" ht="42" customHeight="1">
      <c r="A2817" s="4" t="s">
        <v>6462</v>
      </c>
      <c r="B2817" s="5" t="s">
        <v>6463</v>
      </c>
      <c r="C2817" s="5" t="s">
        <v>69</v>
      </c>
      <c r="D2817" s="5" t="s">
        <v>70</v>
      </c>
      <c r="E2817" s="5" t="s">
        <v>669</v>
      </c>
      <c r="F2817" s="9">
        <v>14</v>
      </c>
      <c r="G2817" s="9">
        <v>118</v>
      </c>
      <c r="H2817" s="5" t="s">
        <v>20</v>
      </c>
      <c r="I2817" s="5" t="s">
        <v>6464</v>
      </c>
      <c r="J2817" s="12" t="str">
        <f>HYPERLINK("https://www.boe.es/gazeta/dias/1806/02/11/pdfs/GMD-1806-14.pdf#page=2","Abrir facsímil")</f>
        <v>Abrir facsímil</v>
      </c>
      <c r="K2817" s="15" t="s">
        <v>22</v>
      </c>
    </row>
    <row r="2818" spans="1:11" ht="42" customHeight="1">
      <c r="A2818" s="4" t="s">
        <v>6465</v>
      </c>
      <c r="B2818" s="5" t="s">
        <v>6465</v>
      </c>
      <c r="C2818" s="5" t="s">
        <v>31</v>
      </c>
      <c r="D2818" s="5" t="s">
        <v>32</v>
      </c>
      <c r="E2818" s="5" t="s">
        <v>195</v>
      </c>
      <c r="F2818" s="9">
        <v>4</v>
      </c>
      <c r="G2818" s="9">
        <v>35</v>
      </c>
      <c r="H2818" s="5" t="s">
        <v>20</v>
      </c>
      <c r="I2818" s="5" t="s">
        <v>6466</v>
      </c>
      <c r="J2818" s="12" t="str">
        <f>HYPERLINK("https://www.boe.es/gazeta/dias/1806/01/14/pdfs/GMD-1806-4.pdf#page=7","Abrir facsímil")</f>
        <v>Abrir facsímil</v>
      </c>
      <c r="K2818" s="15" t="s">
        <v>22</v>
      </c>
    </row>
    <row r="2819" spans="1:11" ht="42" customHeight="1">
      <c r="A2819" s="4" t="s">
        <v>6467</v>
      </c>
      <c r="B2819" s="5" t="s">
        <v>6467</v>
      </c>
      <c r="C2819" s="5" t="s">
        <v>17</v>
      </c>
      <c r="D2819" s="5" t="s">
        <v>18</v>
      </c>
      <c r="E2819" s="5" t="s">
        <v>306</v>
      </c>
      <c r="F2819" s="9">
        <v>59</v>
      </c>
      <c r="G2819" s="9">
        <v>613</v>
      </c>
      <c r="H2819" s="5" t="s">
        <v>20</v>
      </c>
      <c r="I2819" s="5" t="s">
        <v>6468</v>
      </c>
      <c r="J2819" s="12" t="str">
        <f>HYPERLINK("https://www.boe.es/gazeta/dias/1806/07/18/pdfs/GMD-1806-59.pdf#page=9","Abrir facsímil")</f>
        <v>Abrir facsímil</v>
      </c>
      <c r="K2819" s="15" t="s">
        <v>22</v>
      </c>
    </row>
    <row r="2820" spans="1:11" ht="42" customHeight="1">
      <c r="A2820" s="4" t="s">
        <v>6469</v>
      </c>
      <c r="B2820" s="5" t="s">
        <v>6469</v>
      </c>
      <c r="C2820" s="5" t="s">
        <v>31</v>
      </c>
      <c r="D2820" s="5" t="s">
        <v>32</v>
      </c>
      <c r="E2820" s="5" t="s">
        <v>127</v>
      </c>
      <c r="F2820" s="9">
        <v>81</v>
      </c>
      <c r="G2820" s="9">
        <v>837</v>
      </c>
      <c r="H2820" s="5" t="s">
        <v>20</v>
      </c>
      <c r="I2820" s="5" t="s">
        <v>6470</v>
      </c>
      <c r="J2820" s="12" t="str">
        <f>HYPERLINK("https://www.boe.es/gazeta/dias/1806/10/03/pdfs/GMD-1806-81.pdf#page=5","Abrir facsímil")</f>
        <v>Abrir facsímil</v>
      </c>
      <c r="K2820" s="15" t="s">
        <v>22</v>
      </c>
    </row>
    <row r="2821" spans="1:11" ht="42" customHeight="1">
      <c r="A2821" s="4" t="s">
        <v>6471</v>
      </c>
      <c r="B2821" s="5" t="s">
        <v>6471</v>
      </c>
      <c r="C2821" s="5" t="s">
        <v>75</v>
      </c>
      <c r="D2821" s="5" t="s">
        <v>43</v>
      </c>
      <c r="E2821" s="5" t="s">
        <v>161</v>
      </c>
      <c r="F2821" s="9">
        <v>11</v>
      </c>
      <c r="G2821" s="9">
        <v>98</v>
      </c>
      <c r="H2821" s="5" t="s">
        <v>20</v>
      </c>
      <c r="I2821" s="5" t="s">
        <v>6472</v>
      </c>
      <c r="J2821" s="12" t="str">
        <f>HYPERLINK("https://www.boe.es/gazeta/dias/1806/01/31/pdfs/GMD-1806-11.pdf#page=6","Abrir facsímil")</f>
        <v>Abrir facsímil</v>
      </c>
      <c r="K2821" s="15" t="s">
        <v>22</v>
      </c>
    </row>
    <row r="2822" spans="1:11" ht="42" customHeight="1">
      <c r="A2822" s="4" t="s">
        <v>6473</v>
      </c>
      <c r="B2822" s="5" t="s">
        <v>6474</v>
      </c>
      <c r="C2822" s="5" t="s">
        <v>36</v>
      </c>
      <c r="D2822" s="5" t="s">
        <v>37</v>
      </c>
      <c r="E2822" s="5" t="s">
        <v>455</v>
      </c>
      <c r="F2822" s="9">
        <v>85</v>
      </c>
      <c r="G2822" s="9">
        <v>882</v>
      </c>
      <c r="H2822" s="5" t="s">
        <v>20</v>
      </c>
      <c r="I2822" s="5" t="s">
        <v>6475</v>
      </c>
      <c r="J2822" s="12" t="str">
        <f>HYPERLINK("https://www.boe.es/gazeta/dias/1806/10/17/pdfs/GMD-1806-85.pdf#page=10","Abrir facsímil")</f>
        <v>Abrir facsímil</v>
      </c>
      <c r="K2822" s="15" t="s">
        <v>22</v>
      </c>
    </row>
    <row r="2823" spans="1:11" ht="42" customHeight="1">
      <c r="A2823" s="4" t="s">
        <v>6476</v>
      </c>
      <c r="B2823" s="5" t="s">
        <v>6477</v>
      </c>
      <c r="C2823" s="5" t="s">
        <v>17</v>
      </c>
      <c r="D2823" s="5" t="s">
        <v>18</v>
      </c>
      <c r="E2823" s="5" t="s">
        <v>554</v>
      </c>
      <c r="F2823" s="9">
        <v>90</v>
      </c>
      <c r="G2823" s="9">
        <v>934</v>
      </c>
      <c r="H2823" s="5" t="s">
        <v>20</v>
      </c>
      <c r="I2823" s="5" t="s">
        <v>6478</v>
      </c>
      <c r="J2823" s="12" t="str">
        <f>HYPERLINK("https://www.boe.es/gazeta/dias/1806/11/04/pdfs/GMD-1806-90.pdf#page=10","Abrir facsímil")</f>
        <v>Abrir facsímil</v>
      </c>
      <c r="K2823" s="15" t="s">
        <v>22</v>
      </c>
    </row>
    <row r="2824" spans="1:11" ht="42" customHeight="1">
      <c r="A2824" s="4" t="s">
        <v>6479</v>
      </c>
      <c r="B2824" s="5" t="s">
        <v>6479</v>
      </c>
      <c r="C2824" s="5" t="s">
        <v>42</v>
      </c>
      <c r="D2824" s="5" t="s">
        <v>43</v>
      </c>
      <c r="E2824" s="5" t="s">
        <v>400</v>
      </c>
      <c r="F2824" s="9">
        <v>22</v>
      </c>
      <c r="G2824" s="9">
        <v>207</v>
      </c>
      <c r="H2824" s="5" t="s">
        <v>20</v>
      </c>
      <c r="I2824" s="5" t="s">
        <v>6480</v>
      </c>
      <c r="J2824" s="12" t="str">
        <f>HYPERLINK("https://www.boe.es/gazeta/dias/1806/03/11/pdfs/GMD-1806-22.pdf#page=7","Abrir facsímil")</f>
        <v>Abrir facsímil</v>
      </c>
      <c r="K2824" s="15" t="s">
        <v>22</v>
      </c>
    </row>
    <row r="2825" spans="1:11" ht="42" customHeight="1">
      <c r="A2825" s="4" t="s">
        <v>6481</v>
      </c>
      <c r="B2825" s="5" t="s">
        <v>6482</v>
      </c>
      <c r="C2825" s="5" t="s">
        <v>69</v>
      </c>
      <c r="D2825" s="5" t="s">
        <v>70</v>
      </c>
      <c r="E2825" s="5" t="s">
        <v>220</v>
      </c>
      <c r="F2825" s="9">
        <v>24</v>
      </c>
      <c r="G2825" s="9">
        <v>227</v>
      </c>
      <c r="H2825" s="5" t="s">
        <v>20</v>
      </c>
      <c r="I2825" s="5" t="s">
        <v>6483</v>
      </c>
      <c r="J2825" s="12" t="str">
        <f>HYPERLINK("https://www.boe.es/gazeta/dias/1806/03/18/pdfs/GMD-1806-24.pdf#page=3","Abrir facsímil")</f>
        <v>Abrir facsímil</v>
      </c>
      <c r="K2825" s="15" t="s">
        <v>22</v>
      </c>
    </row>
    <row r="2826" spans="1:11" ht="42" customHeight="1">
      <c r="A2826" s="4" t="s">
        <v>6484</v>
      </c>
      <c r="B2826" s="5" t="s">
        <v>6485</v>
      </c>
      <c r="C2826" s="5" t="s">
        <v>36</v>
      </c>
      <c r="D2826" s="5" t="s">
        <v>37</v>
      </c>
      <c r="E2826" s="5" t="s">
        <v>363</v>
      </c>
      <c r="F2826" s="9">
        <v>8</v>
      </c>
      <c r="G2826" s="9">
        <v>76</v>
      </c>
      <c r="H2826" s="5" t="s">
        <v>20</v>
      </c>
      <c r="I2826" s="5" t="s">
        <v>6486</v>
      </c>
      <c r="J2826" s="12" t="str">
        <f>HYPERLINK("https://www.boe.es/gazeta/dias/1806/01/24/pdfs/GMD-1806-8.pdf#page=8","Abrir facsímil")</f>
        <v>Abrir facsímil</v>
      </c>
      <c r="K2826" s="15" t="s">
        <v>22</v>
      </c>
    </row>
    <row r="2827" spans="1:11" ht="42" customHeight="1">
      <c r="A2827" s="4" t="s">
        <v>6487</v>
      </c>
      <c r="B2827" s="5" t="s">
        <v>6488</v>
      </c>
      <c r="C2827" s="5" t="s">
        <v>17</v>
      </c>
      <c r="D2827" s="5" t="s">
        <v>18</v>
      </c>
      <c r="E2827" s="5" t="s">
        <v>474</v>
      </c>
      <c r="F2827" s="9">
        <v>10</v>
      </c>
      <c r="G2827" s="9">
        <v>90</v>
      </c>
      <c r="H2827" s="5" t="s">
        <v>20</v>
      </c>
      <c r="I2827" s="5" t="s">
        <v>6489</v>
      </c>
      <c r="J2827" s="12" t="str">
        <f>HYPERLINK("https://www.boe.es/gazeta/dias/1806/01/28/pdfs/GMD-1806-10.pdf#page=6","Abrir facsímil")</f>
        <v>Abrir facsímil</v>
      </c>
      <c r="K2827" s="15" t="s">
        <v>22</v>
      </c>
    </row>
    <row r="2828" spans="1:11" ht="42" customHeight="1">
      <c r="A2828" s="4" t="s">
        <v>6490</v>
      </c>
      <c r="B2828" s="5" t="s">
        <v>6491</v>
      </c>
      <c r="C2828" s="5" t="s">
        <v>31</v>
      </c>
      <c r="D2828" s="5" t="s">
        <v>32</v>
      </c>
      <c r="E2828" s="5" t="s">
        <v>33</v>
      </c>
      <c r="F2828" s="9">
        <v>82</v>
      </c>
      <c r="G2828" s="9">
        <v>846</v>
      </c>
      <c r="H2828" s="5" t="s">
        <v>20</v>
      </c>
      <c r="I2828" s="5" t="s">
        <v>6492</v>
      </c>
      <c r="J2828" s="12" t="str">
        <f>HYPERLINK("https://www.boe.es/gazeta/dias/1806/10/07/pdfs/GMD-1806-82.pdf#page=6","Abrir facsímil")</f>
        <v>Abrir facsímil</v>
      </c>
      <c r="K2828" s="15" t="s">
        <v>22</v>
      </c>
    </row>
    <row r="2829" spans="1:11" ht="42" customHeight="1">
      <c r="A2829" s="4" t="s">
        <v>6493</v>
      </c>
      <c r="B2829" s="5" t="s">
        <v>6494</v>
      </c>
      <c r="C2829" s="5" t="s">
        <v>69</v>
      </c>
      <c r="D2829" s="5" t="s">
        <v>70</v>
      </c>
      <c r="E2829" s="5" t="s">
        <v>363</v>
      </c>
      <c r="F2829" s="9">
        <v>8</v>
      </c>
      <c r="G2829" s="9">
        <v>71</v>
      </c>
      <c r="H2829" s="5" t="s">
        <v>20</v>
      </c>
      <c r="I2829" s="5" t="s">
        <v>6495</v>
      </c>
      <c r="J2829" s="12" t="str">
        <f>HYPERLINK("https://www.boe.es/gazeta/dias/1806/01/24/pdfs/GMD-1806-8.pdf#page=3","Abrir facsímil")</f>
        <v>Abrir facsímil</v>
      </c>
      <c r="K2829" s="15" t="s">
        <v>22</v>
      </c>
    </row>
    <row r="2830" spans="1:11" ht="42" customHeight="1">
      <c r="A2830" s="4" t="s">
        <v>6496</v>
      </c>
      <c r="B2830" s="5" t="s">
        <v>6497</v>
      </c>
      <c r="C2830" s="5" t="s">
        <v>42</v>
      </c>
      <c r="D2830" s="5" t="s">
        <v>43</v>
      </c>
      <c r="E2830" s="5" t="s">
        <v>140</v>
      </c>
      <c r="F2830" s="9">
        <v>83</v>
      </c>
      <c r="G2830" s="9">
        <v>863</v>
      </c>
      <c r="H2830" s="5" t="s">
        <v>20</v>
      </c>
      <c r="I2830" s="5" t="s">
        <v>6498</v>
      </c>
      <c r="J2830" s="12" t="str">
        <f>HYPERLINK("https://www.boe.es/gazeta/dias/1806/10/10/pdfs/GMD-1806-83.pdf#page=11","Abrir facsímil")</f>
        <v>Abrir facsímil</v>
      </c>
      <c r="K2830" s="15" t="s">
        <v>22</v>
      </c>
    </row>
    <row r="2831" spans="1:11" ht="42" customHeight="1">
      <c r="A2831" s="4" t="s">
        <v>6499</v>
      </c>
      <c r="B2831" s="5" t="s">
        <v>6499</v>
      </c>
      <c r="C2831" s="5" t="s">
        <v>31</v>
      </c>
      <c r="D2831" s="5" t="s">
        <v>32</v>
      </c>
      <c r="E2831" s="5" t="s">
        <v>209</v>
      </c>
      <c r="F2831" s="9">
        <v>95</v>
      </c>
      <c r="G2831" s="9">
        <v>1005</v>
      </c>
      <c r="H2831" s="5" t="s">
        <v>20</v>
      </c>
      <c r="I2831" s="5" t="s">
        <v>6500</v>
      </c>
      <c r="J2831" s="12" t="str">
        <f>HYPERLINK("https://www.boe.es/gazeta/dias/1806/11/21/pdfs/GMD-1806-95.pdf#page=13","Abrir facsímil")</f>
        <v>Abrir facsímil</v>
      </c>
      <c r="K2831" s="15" t="s">
        <v>22</v>
      </c>
    </row>
    <row r="2832" spans="1:11" ht="42" customHeight="1">
      <c r="A2832" s="4" t="s">
        <v>6501</v>
      </c>
      <c r="B2832" s="5" t="s">
        <v>6501</v>
      </c>
      <c r="C2832" s="5" t="s">
        <v>42</v>
      </c>
      <c r="D2832" s="5" t="s">
        <v>43</v>
      </c>
      <c r="E2832" s="5" t="s">
        <v>400</v>
      </c>
      <c r="F2832" s="9">
        <v>22</v>
      </c>
      <c r="G2832" s="9">
        <v>206</v>
      </c>
      <c r="H2832" s="5" t="s">
        <v>20</v>
      </c>
      <c r="I2832" s="5" t="s">
        <v>6502</v>
      </c>
      <c r="J2832" s="12" t="str">
        <f>HYPERLINK("https://www.boe.es/gazeta/dias/1806/03/11/pdfs/GMD-1806-22.pdf#page=6","Abrir facsímil")</f>
        <v>Abrir facsímil</v>
      </c>
      <c r="K2832" s="15" t="s">
        <v>22</v>
      </c>
    </row>
    <row r="2833" spans="1:11" ht="42" customHeight="1">
      <c r="A2833" s="4" t="s">
        <v>6503</v>
      </c>
      <c r="B2833" s="5" t="s">
        <v>6504</v>
      </c>
      <c r="C2833" s="5" t="s">
        <v>69</v>
      </c>
      <c r="D2833" s="5" t="s">
        <v>70</v>
      </c>
      <c r="E2833" s="5" t="s">
        <v>455</v>
      </c>
      <c r="F2833" s="9">
        <v>85</v>
      </c>
      <c r="G2833" s="9">
        <v>873</v>
      </c>
      <c r="H2833" s="5" t="s">
        <v>20</v>
      </c>
      <c r="I2833" s="5" t="s">
        <v>6505</v>
      </c>
      <c r="J2833" s="12" t="str">
        <f>HYPERLINK("https://www.boe.es/gazeta/dias/1806/10/17/pdfs/GMD-1806-85.pdf#page=1","Abrir facsímil")</f>
        <v>Abrir facsímil</v>
      </c>
      <c r="K2833" s="15" t="s">
        <v>22</v>
      </c>
    </row>
    <row r="2834" spans="1:11" ht="42" customHeight="1">
      <c r="A2834" s="4" t="s">
        <v>6506</v>
      </c>
      <c r="B2834" s="5" t="s">
        <v>6507</v>
      </c>
      <c r="C2834" s="5" t="s">
        <v>17</v>
      </c>
      <c r="D2834" s="5" t="s">
        <v>18</v>
      </c>
      <c r="E2834" s="5" t="s">
        <v>494</v>
      </c>
      <c r="F2834" s="9">
        <v>69</v>
      </c>
      <c r="G2834" s="9">
        <v>721</v>
      </c>
      <c r="H2834" s="5" t="s">
        <v>20</v>
      </c>
      <c r="I2834" s="5" t="s">
        <v>6508</v>
      </c>
      <c r="J2834" s="12" t="str">
        <f>HYPERLINK("https://www.boe.es/gazeta/dias/1806/08/22/pdfs/GMD-1806-69.pdf#page=9","Abrir facsímil")</f>
        <v>Abrir facsímil</v>
      </c>
      <c r="K2834" s="15" t="s">
        <v>22</v>
      </c>
    </row>
    <row r="2835" spans="1:11" ht="42" customHeight="1">
      <c r="A2835" s="4" t="s">
        <v>6509</v>
      </c>
      <c r="B2835" s="5" t="s">
        <v>6509</v>
      </c>
      <c r="C2835" s="5" t="s">
        <v>42</v>
      </c>
      <c r="D2835" s="5" t="s">
        <v>43</v>
      </c>
      <c r="E2835" s="5" t="s">
        <v>689</v>
      </c>
      <c r="F2835" s="9">
        <v>37</v>
      </c>
      <c r="G2835" s="9">
        <v>362</v>
      </c>
      <c r="H2835" s="5" t="s">
        <v>20</v>
      </c>
      <c r="I2835" s="5" t="s">
        <v>6510</v>
      </c>
      <c r="J2835" s="12" t="str">
        <f>HYPERLINK("https://www.boe.es/gazeta/dias/1806/05/02/pdfs/GMD-1806-37.pdf#page=10","Abrir facsímil")</f>
        <v>Abrir facsímil</v>
      </c>
      <c r="K2835" s="15" t="s">
        <v>22</v>
      </c>
    </row>
    <row r="2836" spans="1:11" ht="42" customHeight="1">
      <c r="A2836" s="4" t="s">
        <v>6511</v>
      </c>
      <c r="B2836" s="5" t="s">
        <v>6512</v>
      </c>
      <c r="C2836" s="5" t="s">
        <v>31</v>
      </c>
      <c r="D2836" s="5" t="s">
        <v>32</v>
      </c>
      <c r="E2836" s="5" t="s">
        <v>780</v>
      </c>
      <c r="F2836" s="9">
        <v>33</v>
      </c>
      <c r="G2836" s="9">
        <v>323</v>
      </c>
      <c r="H2836" s="5" t="s">
        <v>20</v>
      </c>
      <c r="I2836" s="5" t="s">
        <v>6513</v>
      </c>
      <c r="J2836" s="12" t="str">
        <f>HYPERLINK("https://www.boe.es/gazeta/dias/1806/04/18/pdfs/GMD-1806-33.pdf#page=3","Abrir facsímil")</f>
        <v>Abrir facsímil</v>
      </c>
      <c r="K2836" s="15" t="s">
        <v>22</v>
      </c>
    </row>
    <row r="2837" spans="1:11" ht="42" customHeight="1">
      <c r="A2837" s="4" t="s">
        <v>6514</v>
      </c>
      <c r="B2837" s="5" t="s">
        <v>6514</v>
      </c>
      <c r="C2837" s="5" t="s">
        <v>17</v>
      </c>
      <c r="D2837" s="5" t="s">
        <v>18</v>
      </c>
      <c r="E2837" s="5" t="s">
        <v>301</v>
      </c>
      <c r="F2837" s="9">
        <v>75</v>
      </c>
      <c r="G2837" s="9">
        <v>778</v>
      </c>
      <c r="H2837" s="5" t="s">
        <v>20</v>
      </c>
      <c r="I2837" s="5" t="s">
        <v>6515</v>
      </c>
      <c r="J2837" s="12" t="str">
        <f>HYPERLINK("https://www.boe.es/gazeta/dias/1806/09/12/pdfs/GMD-1806-75.pdf#page=10","Abrir facsímil")</f>
        <v>Abrir facsímil</v>
      </c>
      <c r="K2837" s="15" t="s">
        <v>22</v>
      </c>
    </row>
    <row r="2838" spans="1:11" ht="42" customHeight="1">
      <c r="A2838" s="4" t="s">
        <v>6516</v>
      </c>
      <c r="B2838" s="5" t="s">
        <v>6517</v>
      </c>
      <c r="C2838" s="5" t="s">
        <v>31</v>
      </c>
      <c r="D2838" s="5" t="s">
        <v>32</v>
      </c>
      <c r="E2838" s="5" t="s">
        <v>209</v>
      </c>
      <c r="F2838" s="9">
        <v>95</v>
      </c>
      <c r="G2838" s="9">
        <v>1005</v>
      </c>
      <c r="H2838" s="5" t="s">
        <v>20</v>
      </c>
      <c r="I2838" s="5" t="s">
        <v>6518</v>
      </c>
      <c r="J2838" s="12" t="str">
        <f>HYPERLINK("https://www.boe.es/gazeta/dias/1806/11/21/pdfs/GMD-1806-95.pdf#page=13","Abrir facsímil")</f>
        <v>Abrir facsímil</v>
      </c>
      <c r="K2838" s="15" t="s">
        <v>22</v>
      </c>
    </row>
    <row r="2839" spans="1:11" ht="42" customHeight="1">
      <c r="A2839" s="4" t="s">
        <v>6519</v>
      </c>
      <c r="B2839" s="5" t="s">
        <v>6519</v>
      </c>
      <c r="C2839" s="5" t="s">
        <v>42</v>
      </c>
      <c r="D2839" s="5" t="s">
        <v>43</v>
      </c>
      <c r="E2839" s="5" t="s">
        <v>185</v>
      </c>
      <c r="F2839" s="9">
        <v>46</v>
      </c>
      <c r="G2839" s="9">
        <v>468</v>
      </c>
      <c r="H2839" s="5" t="s">
        <v>20</v>
      </c>
      <c r="I2839" s="5" t="s">
        <v>6520</v>
      </c>
      <c r="J2839" s="12" t="str">
        <f>HYPERLINK("https://www.boe.es/gazeta/dias/1806/06/03/pdfs/GMD-1806-46.pdf#page=8","Abrir facsímil")</f>
        <v>Abrir facsímil</v>
      </c>
      <c r="K2839" s="15" t="s">
        <v>22</v>
      </c>
    </row>
    <row r="2840" spans="1:11" ht="42" customHeight="1">
      <c r="A2840" s="4" t="s">
        <v>6521</v>
      </c>
      <c r="B2840" s="5" t="s">
        <v>6521</v>
      </c>
      <c r="C2840" s="5" t="s">
        <v>42</v>
      </c>
      <c r="D2840" s="5" t="s">
        <v>43</v>
      </c>
      <c r="E2840" s="5" t="s">
        <v>33</v>
      </c>
      <c r="F2840" s="9">
        <v>82</v>
      </c>
      <c r="G2840" s="9">
        <v>850</v>
      </c>
      <c r="H2840" s="5" t="s">
        <v>20</v>
      </c>
      <c r="I2840" s="5" t="s">
        <v>6522</v>
      </c>
      <c r="J2840" s="12" t="str">
        <f>HYPERLINK("https://www.boe.es/gazeta/dias/1806/10/07/pdfs/GMD-1806-82.pdf#page=10","Abrir facsímil")</f>
        <v>Abrir facsímil</v>
      </c>
      <c r="K2840" s="15" t="s">
        <v>22</v>
      </c>
    </row>
    <row r="2841" spans="1:11" ht="42" customHeight="1">
      <c r="A2841" s="4" t="s">
        <v>6523</v>
      </c>
      <c r="B2841" s="5" t="s">
        <v>6523</v>
      </c>
      <c r="C2841" s="5" t="s">
        <v>42</v>
      </c>
      <c r="D2841" s="5" t="s">
        <v>43</v>
      </c>
      <c r="E2841" s="5" t="s">
        <v>279</v>
      </c>
      <c r="F2841" s="9">
        <v>52</v>
      </c>
      <c r="G2841" s="9">
        <v>541</v>
      </c>
      <c r="H2841" s="5" t="s">
        <v>20</v>
      </c>
      <c r="I2841" s="5" t="s">
        <v>6524</v>
      </c>
      <c r="J2841" s="12" t="str">
        <f>HYPERLINK("https://www.boe.es/gazeta/dias/1806/06/24/pdfs/GMD-1806-52.pdf#page=9","Abrir facsímil")</f>
        <v>Abrir facsímil</v>
      </c>
      <c r="K2841" s="15" t="s">
        <v>22</v>
      </c>
    </row>
    <row r="2842" spans="1:11" ht="42" customHeight="1">
      <c r="A2842" s="4" t="s">
        <v>6525</v>
      </c>
      <c r="B2842" s="5" t="s">
        <v>6525</v>
      </c>
      <c r="C2842" s="5" t="s">
        <v>31</v>
      </c>
      <c r="D2842" s="5" t="s">
        <v>32</v>
      </c>
      <c r="E2842" s="5" t="s">
        <v>570</v>
      </c>
      <c r="F2842" s="9">
        <v>93</v>
      </c>
      <c r="G2842" s="9">
        <v>978</v>
      </c>
      <c r="H2842" s="5" t="s">
        <v>20</v>
      </c>
      <c r="I2842" s="5" t="s">
        <v>6526</v>
      </c>
      <c r="J2842" s="12" t="str">
        <f>HYPERLINK("https://www.boe.es/gazeta/dias/1806/11/14/pdfs/GMD-1806-93.pdf#page=14","Abrir facsímil")</f>
        <v>Abrir facsímil</v>
      </c>
      <c r="K2842" s="15" t="s">
        <v>22</v>
      </c>
    </row>
    <row r="2843" spans="1:11" ht="42" customHeight="1">
      <c r="A2843" s="4" t="s">
        <v>6527</v>
      </c>
      <c r="B2843" s="5" t="s">
        <v>6528</v>
      </c>
      <c r="C2843" s="5" t="s">
        <v>36</v>
      </c>
      <c r="D2843" s="5" t="s">
        <v>37</v>
      </c>
      <c r="E2843" s="5" t="s">
        <v>24</v>
      </c>
      <c r="F2843" s="9">
        <v>32</v>
      </c>
      <c r="G2843" s="9">
        <v>319</v>
      </c>
      <c r="H2843" s="5" t="s">
        <v>20</v>
      </c>
      <c r="I2843" s="5" t="s">
        <v>6529</v>
      </c>
      <c r="J2843" s="12" t="str">
        <f>HYPERLINK("https://www.boe.es/gazeta/dias/1806/04/15/pdfs/GMD-1806-32.pdf#page=11","Abrir facsímil")</f>
        <v>Abrir facsímil</v>
      </c>
      <c r="K2843" s="15" t="s">
        <v>22</v>
      </c>
    </row>
    <row r="2844" spans="1:11" ht="42" customHeight="1">
      <c r="A2844" s="4" t="s">
        <v>6530</v>
      </c>
      <c r="B2844" s="5" t="s">
        <v>6530</v>
      </c>
      <c r="C2844" s="5" t="s">
        <v>31</v>
      </c>
      <c r="D2844" s="5" t="s">
        <v>32</v>
      </c>
      <c r="E2844" s="5" t="s">
        <v>327</v>
      </c>
      <c r="F2844" s="9">
        <v>104</v>
      </c>
      <c r="G2844" s="9">
        <v>1110</v>
      </c>
      <c r="H2844" s="5" t="s">
        <v>20</v>
      </c>
      <c r="I2844" s="5" t="s">
        <v>6531</v>
      </c>
      <c r="J2844" s="12" t="str">
        <f>HYPERLINK("https://www.boe.es/gazeta/dias/1806/12/23/pdfs/GMD-1806-104.pdf#page=10","Abrir facsímil")</f>
        <v>Abrir facsímil</v>
      </c>
      <c r="K2844" s="15" t="s">
        <v>22</v>
      </c>
    </row>
    <row r="2845" spans="1:11" ht="42" customHeight="1">
      <c r="A2845" s="4" t="s">
        <v>6532</v>
      </c>
      <c r="B2845" s="5" t="s">
        <v>6532</v>
      </c>
      <c r="C2845" s="5" t="s">
        <v>31</v>
      </c>
      <c r="D2845" s="5" t="s">
        <v>32</v>
      </c>
      <c r="E2845" s="5" t="s">
        <v>124</v>
      </c>
      <c r="F2845" s="9">
        <v>25</v>
      </c>
      <c r="G2845" s="9">
        <v>245</v>
      </c>
      <c r="H2845" s="5" t="s">
        <v>20</v>
      </c>
      <c r="I2845" s="5" t="s">
        <v>6533</v>
      </c>
      <c r="J2845" s="12" t="str">
        <f>HYPERLINK("https://www.boe.es/gazeta/dias/1806/03/21/pdfs/GMD-1806-25.pdf#page=9","Abrir facsímil")</f>
        <v>Abrir facsímil</v>
      </c>
      <c r="K2845" s="15" t="s">
        <v>22</v>
      </c>
    </row>
    <row r="2846" spans="1:11" ht="42" customHeight="1">
      <c r="A2846" s="4" t="s">
        <v>6534</v>
      </c>
      <c r="B2846" s="5" t="s">
        <v>6534</v>
      </c>
      <c r="C2846" s="5" t="s">
        <v>69</v>
      </c>
      <c r="D2846" s="5" t="s">
        <v>70</v>
      </c>
      <c r="E2846" s="5" t="s">
        <v>175</v>
      </c>
      <c r="F2846" s="9">
        <v>40</v>
      </c>
      <c r="G2846" s="9">
        <v>389</v>
      </c>
      <c r="H2846" s="5" t="s">
        <v>20</v>
      </c>
      <c r="I2846" s="5" t="s">
        <v>6535</v>
      </c>
      <c r="J2846" s="12" t="str">
        <f>HYPERLINK("https://www.boe.es/gazeta/dias/1806/05/13/pdfs/GMD-1806-40.pdf#page=1","Abrir facsímil")</f>
        <v>Abrir facsímil</v>
      </c>
      <c r="K2846" s="15" t="s">
        <v>22</v>
      </c>
    </row>
    <row r="2847" spans="1:11" ht="42" customHeight="1">
      <c r="A2847" s="4" t="s">
        <v>6536</v>
      </c>
      <c r="B2847" s="5" t="s">
        <v>6536</v>
      </c>
      <c r="C2847" s="5" t="s">
        <v>69</v>
      </c>
      <c r="D2847" s="5" t="s">
        <v>70</v>
      </c>
      <c r="E2847" s="5" t="s">
        <v>837</v>
      </c>
      <c r="F2847" s="9">
        <v>26</v>
      </c>
      <c r="G2847" s="9">
        <v>253</v>
      </c>
      <c r="H2847" s="5" t="s">
        <v>20</v>
      </c>
      <c r="I2847" s="5" t="s">
        <v>6537</v>
      </c>
      <c r="J2847" s="12" t="str">
        <f>HYPERLINK("https://www.boe.es/gazeta/dias/1806/03/25/pdfs/GMD-1806-26.pdf#page=5","Abrir facsímil")</f>
        <v>Abrir facsímil</v>
      </c>
      <c r="K2847" s="15" t="s">
        <v>22</v>
      </c>
    </row>
    <row r="2848" spans="1:11" ht="42" customHeight="1">
      <c r="A2848" s="4" t="s">
        <v>6538</v>
      </c>
      <c r="B2848" s="5" t="s">
        <v>6538</v>
      </c>
      <c r="C2848" s="5" t="s">
        <v>69</v>
      </c>
      <c r="D2848" s="5" t="s">
        <v>70</v>
      </c>
      <c r="E2848" s="5" t="s">
        <v>837</v>
      </c>
      <c r="F2848" s="9">
        <v>26</v>
      </c>
      <c r="G2848" s="9">
        <v>253</v>
      </c>
      <c r="H2848" s="5" t="s">
        <v>20</v>
      </c>
      <c r="I2848" s="5" t="s">
        <v>6539</v>
      </c>
      <c r="J2848" s="12" t="str">
        <f>HYPERLINK("https://www.boe.es/gazeta/dias/1806/03/25/pdfs/GMD-1806-26.pdf#page=5","Abrir facsímil")</f>
        <v>Abrir facsímil</v>
      </c>
      <c r="K2848" s="15" t="s">
        <v>22</v>
      </c>
    </row>
    <row r="2849" spans="1:11" ht="42" customHeight="1">
      <c r="A2849" s="4" t="s">
        <v>6540</v>
      </c>
      <c r="B2849" s="5" t="s">
        <v>6540</v>
      </c>
      <c r="C2849" s="5" t="s">
        <v>69</v>
      </c>
      <c r="D2849" s="5" t="s">
        <v>70</v>
      </c>
      <c r="E2849" s="5" t="s">
        <v>702</v>
      </c>
      <c r="F2849" s="9">
        <v>43</v>
      </c>
      <c r="G2849" s="9">
        <v>425</v>
      </c>
      <c r="H2849" s="5" t="s">
        <v>20</v>
      </c>
      <c r="I2849" s="5" t="s">
        <v>6541</v>
      </c>
      <c r="J2849" s="12" t="str">
        <f>HYPERLINK("https://www.boe.es/gazeta/dias/1806/05/23/pdfs/GMD-1806-43.pdf#page=1","Abrir facsímil")</f>
        <v>Abrir facsímil</v>
      </c>
      <c r="K2849" s="15" t="s">
        <v>22</v>
      </c>
    </row>
    <row r="2850" spans="1:11" ht="42" customHeight="1">
      <c r="A2850" s="4" t="s">
        <v>6542</v>
      </c>
      <c r="B2850" s="5" t="s">
        <v>6542</v>
      </c>
      <c r="C2850" s="5" t="s">
        <v>36</v>
      </c>
      <c r="D2850" s="5" t="s">
        <v>37</v>
      </c>
      <c r="E2850" s="5" t="s">
        <v>483</v>
      </c>
      <c r="F2850" s="9">
        <v>58</v>
      </c>
      <c r="G2850" s="9">
        <v>597</v>
      </c>
      <c r="H2850" s="5" t="s">
        <v>20</v>
      </c>
      <c r="I2850" s="5" t="s">
        <v>6543</v>
      </c>
      <c r="J2850" s="12" t="str">
        <f>HYPERLINK("https://www.boe.es/gazeta/dias/1806/07/15/pdfs/GMD-1806-58.pdf#page=1","Abrir facsímil")</f>
        <v>Abrir facsímil</v>
      </c>
      <c r="K2850" s="15" t="s">
        <v>22</v>
      </c>
    </row>
    <row r="2851" spans="1:11" ht="42" customHeight="1">
      <c r="A2851" s="4" t="s">
        <v>6544</v>
      </c>
      <c r="B2851" s="5" t="s">
        <v>6544</v>
      </c>
      <c r="C2851" s="5" t="s">
        <v>17</v>
      </c>
      <c r="D2851" s="5" t="s">
        <v>18</v>
      </c>
      <c r="E2851" s="5" t="s">
        <v>363</v>
      </c>
      <c r="F2851" s="9">
        <v>8</v>
      </c>
      <c r="G2851" s="9">
        <v>75</v>
      </c>
      <c r="H2851" s="5" t="s">
        <v>20</v>
      </c>
      <c r="I2851" s="5" t="s">
        <v>6545</v>
      </c>
      <c r="J2851" s="12" t="str">
        <f>HYPERLINK("https://www.boe.es/gazeta/dias/1806/01/24/pdfs/GMD-1806-8.pdf#page=7","Abrir facsímil")</f>
        <v>Abrir facsímil</v>
      </c>
      <c r="K2851" s="15" t="s">
        <v>22</v>
      </c>
    </row>
    <row r="2852" spans="1:11" ht="42" customHeight="1">
      <c r="A2852" s="4" t="s">
        <v>6546</v>
      </c>
      <c r="B2852" s="5" t="s">
        <v>6547</v>
      </c>
      <c r="C2852" s="5" t="s">
        <v>75</v>
      </c>
      <c r="D2852" s="5" t="s">
        <v>43</v>
      </c>
      <c r="E2852" s="5" t="s">
        <v>279</v>
      </c>
      <c r="F2852" s="9">
        <v>52</v>
      </c>
      <c r="G2852" s="9">
        <v>543</v>
      </c>
      <c r="H2852" s="5" t="s">
        <v>20</v>
      </c>
      <c r="I2852" s="5" t="s">
        <v>6548</v>
      </c>
      <c r="J2852" s="12" t="str">
        <f>HYPERLINK("https://www.boe.es/gazeta/dias/1806/06/24/pdfs/GMD-1806-52.pdf#page=11","Abrir facsímil")</f>
        <v>Abrir facsímil</v>
      </c>
      <c r="K2852" s="15" t="s">
        <v>22</v>
      </c>
    </row>
    <row r="2853" spans="1:11" ht="42" customHeight="1">
      <c r="A2853" s="4" t="s">
        <v>6549</v>
      </c>
      <c r="B2853" s="5" t="s">
        <v>6550</v>
      </c>
      <c r="C2853" s="5" t="s">
        <v>75</v>
      </c>
      <c r="D2853" s="5" t="s">
        <v>43</v>
      </c>
      <c r="E2853" s="5" t="s">
        <v>48</v>
      </c>
      <c r="F2853" s="9">
        <v>67</v>
      </c>
      <c r="G2853" s="9">
        <v>703</v>
      </c>
      <c r="H2853" s="5" t="s">
        <v>20</v>
      </c>
      <c r="I2853" s="5" t="s">
        <v>6551</v>
      </c>
      <c r="J2853" s="12" t="str">
        <f>HYPERLINK("https://www.boe.es/gazeta/dias/1806/08/15/pdfs/GMD-1806-67.pdf#page=11","Abrir facsímil")</f>
        <v>Abrir facsímil</v>
      </c>
      <c r="K2853" s="15" t="s">
        <v>22</v>
      </c>
    </row>
    <row r="2854" spans="1:11" ht="42" customHeight="1">
      <c r="A2854" s="4" t="s">
        <v>6552</v>
      </c>
      <c r="B2854" s="5" t="s">
        <v>6552</v>
      </c>
      <c r="C2854" s="5" t="s">
        <v>69</v>
      </c>
      <c r="D2854" s="5" t="s">
        <v>70</v>
      </c>
      <c r="E2854" s="5" t="s">
        <v>161</v>
      </c>
      <c r="F2854" s="9">
        <v>11</v>
      </c>
      <c r="G2854" s="9">
        <v>93</v>
      </c>
      <c r="H2854" s="5" t="s">
        <v>20</v>
      </c>
      <c r="I2854" s="5" t="s">
        <v>6553</v>
      </c>
      <c r="J2854" s="12" t="str">
        <f>HYPERLINK("https://www.boe.es/gazeta/dias/1806/01/31/pdfs/GMD-1806-11.pdf#page=1","Abrir facsímil")</f>
        <v>Abrir facsímil</v>
      </c>
      <c r="K2854" s="15" t="s">
        <v>22</v>
      </c>
    </row>
    <row r="2855" spans="1:11" ht="42" customHeight="1">
      <c r="A2855" s="4" t="s">
        <v>6554</v>
      </c>
      <c r="B2855" s="5" t="s">
        <v>6554</v>
      </c>
      <c r="C2855" s="5" t="s">
        <v>17</v>
      </c>
      <c r="D2855" s="5" t="s">
        <v>18</v>
      </c>
      <c r="E2855" s="5" t="s">
        <v>702</v>
      </c>
      <c r="F2855" s="9">
        <v>43</v>
      </c>
      <c r="G2855" s="9">
        <v>430</v>
      </c>
      <c r="H2855" s="5" t="s">
        <v>20</v>
      </c>
      <c r="I2855" s="5" t="s">
        <v>6555</v>
      </c>
      <c r="J2855" s="12" t="str">
        <f>HYPERLINK("https://www.boe.es/gazeta/dias/1806/05/23/pdfs/GMD-1806-43.pdf#page=6","Abrir facsímil")</f>
        <v>Abrir facsímil</v>
      </c>
      <c r="K2855" s="15" t="s">
        <v>22</v>
      </c>
    </row>
    <row r="2856" spans="1:11" ht="42" customHeight="1">
      <c r="A2856" s="4" t="s">
        <v>6554</v>
      </c>
      <c r="B2856" s="5" t="s">
        <v>6554</v>
      </c>
      <c r="C2856" s="5" t="s">
        <v>75</v>
      </c>
      <c r="D2856" s="5" t="s">
        <v>43</v>
      </c>
      <c r="E2856" s="5" t="s">
        <v>304</v>
      </c>
      <c r="F2856" s="9">
        <v>47</v>
      </c>
      <c r="G2856" s="9">
        <v>473</v>
      </c>
      <c r="H2856" s="5" t="s">
        <v>20</v>
      </c>
      <c r="I2856" s="5" t="s">
        <v>6556</v>
      </c>
      <c r="J2856" s="12" t="str">
        <f>HYPERLINK("https://www.boe.es/gazeta/dias/1806/06/06/pdfs/GMD-1806-47.pdf#page=1","Abrir facsímil")</f>
        <v>Abrir facsímil</v>
      </c>
      <c r="K2856" s="15" t="s">
        <v>22</v>
      </c>
    </row>
    <row r="2857" spans="1:11" ht="42" customHeight="1">
      <c r="A2857" s="4" t="s">
        <v>6554</v>
      </c>
      <c r="B2857" s="5" t="s">
        <v>6554</v>
      </c>
      <c r="C2857" s="5" t="s">
        <v>69</v>
      </c>
      <c r="D2857" s="5" t="s">
        <v>70</v>
      </c>
      <c r="E2857" s="5" t="s">
        <v>82</v>
      </c>
      <c r="F2857" s="9">
        <v>48</v>
      </c>
      <c r="G2857" s="9">
        <v>490</v>
      </c>
      <c r="H2857" s="5" t="s">
        <v>20</v>
      </c>
      <c r="I2857" s="5" t="s">
        <v>6557</v>
      </c>
      <c r="J2857" s="12" t="str">
        <f>HYPERLINK("https://www.boe.es/gazeta/dias/1806/06/10/pdfs/GMD-1806-48.pdf#page=2","Abrir facsímil")</f>
        <v>Abrir facsímil</v>
      </c>
      <c r="K2857" s="15" t="s">
        <v>22</v>
      </c>
    </row>
    <row r="2858" spans="1:11" ht="42" customHeight="1">
      <c r="A2858" s="4" t="s">
        <v>6554</v>
      </c>
      <c r="B2858" s="5" t="s">
        <v>6554</v>
      </c>
      <c r="C2858" s="5" t="s">
        <v>17</v>
      </c>
      <c r="D2858" s="5" t="s">
        <v>18</v>
      </c>
      <c r="E2858" s="5" t="s">
        <v>816</v>
      </c>
      <c r="F2858" s="9">
        <v>86</v>
      </c>
      <c r="G2858" s="9">
        <v>889</v>
      </c>
      <c r="H2858" s="5" t="s">
        <v>20</v>
      </c>
      <c r="I2858" s="5" t="s">
        <v>6558</v>
      </c>
      <c r="J2858" s="12" t="str">
        <f>HYPERLINK("https://www.boe.es/gazeta/dias/1806/10/21/pdfs/GMD-1806-86.pdf#page=5","Abrir facsímil")</f>
        <v>Abrir facsímil</v>
      </c>
      <c r="K2858" s="15" t="s">
        <v>22</v>
      </c>
    </row>
    <row r="2859" spans="1:11" ht="42" customHeight="1">
      <c r="A2859" s="4" t="s">
        <v>6559</v>
      </c>
      <c r="B2859" s="5" t="s">
        <v>6559</v>
      </c>
      <c r="C2859" s="5" t="s">
        <v>69</v>
      </c>
      <c r="D2859" s="5" t="s">
        <v>70</v>
      </c>
      <c r="E2859" s="5" t="s">
        <v>483</v>
      </c>
      <c r="F2859" s="9">
        <v>58</v>
      </c>
      <c r="G2859" s="9">
        <v>598</v>
      </c>
      <c r="H2859" s="5" t="s">
        <v>20</v>
      </c>
      <c r="I2859" s="5" t="s">
        <v>6560</v>
      </c>
      <c r="J2859" s="12" t="str">
        <f>HYPERLINK("https://www.boe.es/gazeta/dias/1806/07/15/pdfs/GMD-1806-58.pdf#page=2","Abrir facsímil")</f>
        <v>Abrir facsímil</v>
      </c>
      <c r="K2859" s="15" t="s">
        <v>22</v>
      </c>
    </row>
    <row r="2860" spans="1:11" ht="42" customHeight="1">
      <c r="A2860" s="4" t="s">
        <v>6561</v>
      </c>
      <c r="B2860" s="5" t="s">
        <v>6561</v>
      </c>
      <c r="C2860" s="5" t="s">
        <v>69</v>
      </c>
      <c r="D2860" s="5" t="s">
        <v>70</v>
      </c>
      <c r="E2860" s="5" t="s">
        <v>367</v>
      </c>
      <c r="F2860" s="9">
        <v>87</v>
      </c>
      <c r="G2860" s="9">
        <v>896</v>
      </c>
      <c r="H2860" s="5" t="s">
        <v>20</v>
      </c>
      <c r="I2860" s="5" t="s">
        <v>6562</v>
      </c>
      <c r="J2860" s="12" t="str">
        <f>HYPERLINK("https://www.boe.es/gazeta/dias/1806/10/24/pdfs/GMD-1806-87.pdf#page=4","Abrir facsímil")</f>
        <v>Abrir facsímil</v>
      </c>
      <c r="K2860" s="15" t="s">
        <v>22</v>
      </c>
    </row>
    <row r="2861" spans="1:11" ht="42" customHeight="1">
      <c r="A2861" s="4" t="s">
        <v>6563</v>
      </c>
      <c r="B2861" s="5" t="s">
        <v>6563</v>
      </c>
      <c r="C2861" s="5" t="s">
        <v>31</v>
      </c>
      <c r="D2861" s="5" t="s">
        <v>32</v>
      </c>
      <c r="E2861" s="5" t="s">
        <v>103</v>
      </c>
      <c r="F2861" s="9">
        <v>61</v>
      </c>
      <c r="G2861" s="9">
        <v>639</v>
      </c>
      <c r="H2861" s="5" t="s">
        <v>20</v>
      </c>
      <c r="I2861" s="5" t="s">
        <v>6564</v>
      </c>
      <c r="J2861" s="12" t="str">
        <f>HYPERLINK("https://www.boe.es/gazeta/dias/1806/07/25/pdfs/GMD-1806-61.pdf#page=11","Abrir facsímil")</f>
        <v>Abrir facsímil</v>
      </c>
      <c r="K2861" s="15" t="s">
        <v>22</v>
      </c>
    </row>
    <row r="2862" spans="1:11" ht="42" customHeight="1">
      <c r="A2862" s="4" t="s">
        <v>6563</v>
      </c>
      <c r="B2862" s="5" t="s">
        <v>6563</v>
      </c>
      <c r="C2862" s="5" t="s">
        <v>31</v>
      </c>
      <c r="D2862" s="5" t="s">
        <v>32</v>
      </c>
      <c r="E2862" s="5" t="s">
        <v>93</v>
      </c>
      <c r="F2862" s="9">
        <v>72</v>
      </c>
      <c r="G2862" s="9">
        <v>750</v>
      </c>
      <c r="H2862" s="5" t="s">
        <v>20</v>
      </c>
      <c r="I2862" s="5" t="s">
        <v>6565</v>
      </c>
      <c r="J2862" s="12" t="str">
        <f>HYPERLINK("https://www.boe.es/gazeta/dias/1806/09/02/pdfs/GMD-1806-72.pdf#page=10","Abrir facsímil")</f>
        <v>Abrir facsímil</v>
      </c>
      <c r="K2862" s="15" t="s">
        <v>22</v>
      </c>
    </row>
    <row r="2863" spans="1:11" ht="42" customHeight="1">
      <c r="A2863" s="4" t="s">
        <v>6563</v>
      </c>
      <c r="B2863" s="5" t="s">
        <v>6563</v>
      </c>
      <c r="C2863" s="5" t="s">
        <v>31</v>
      </c>
      <c r="D2863" s="5" t="s">
        <v>32</v>
      </c>
      <c r="E2863" s="5" t="s">
        <v>348</v>
      </c>
      <c r="F2863" s="9">
        <v>88</v>
      </c>
      <c r="G2863" s="9">
        <v>911</v>
      </c>
      <c r="H2863" s="5" t="s">
        <v>20</v>
      </c>
      <c r="I2863" s="5" t="s">
        <v>6566</v>
      </c>
      <c r="J2863" s="12" t="str">
        <f>HYPERLINK("https://www.boe.es/gazeta/dias/1806/10/28/pdfs/GMD-1806-88.pdf#page=7","Abrir facsímil")</f>
        <v>Abrir facsímil</v>
      </c>
      <c r="K2863" s="15" t="s">
        <v>22</v>
      </c>
    </row>
    <row r="2864" spans="1:11" ht="42" customHeight="1">
      <c r="A2864" s="4" t="s">
        <v>6567</v>
      </c>
      <c r="B2864" s="5" t="s">
        <v>6568</v>
      </c>
      <c r="C2864" s="5" t="s">
        <v>31</v>
      </c>
      <c r="D2864" s="5" t="s">
        <v>32</v>
      </c>
      <c r="E2864" s="5" t="s">
        <v>438</v>
      </c>
      <c r="F2864" s="9">
        <v>70</v>
      </c>
      <c r="G2864" s="9">
        <v>730</v>
      </c>
      <c r="H2864" s="5" t="s">
        <v>20</v>
      </c>
      <c r="I2864" s="5" t="s">
        <v>6569</v>
      </c>
      <c r="J2864" s="12" t="str">
        <f>HYPERLINK("https://www.boe.es/gazeta/dias/1806/08/26/pdfs/GMD-1806-70.pdf#page=6","Abrir facsímil")</f>
        <v>Abrir facsímil</v>
      </c>
      <c r="K2864" s="15" t="s">
        <v>22</v>
      </c>
    </row>
    <row r="2865" spans="1:11" ht="42" customHeight="1">
      <c r="A2865" s="4" t="s">
        <v>6570</v>
      </c>
      <c r="B2865" s="5" t="s">
        <v>6570</v>
      </c>
      <c r="C2865" s="5" t="s">
        <v>69</v>
      </c>
      <c r="D2865" s="5" t="s">
        <v>70</v>
      </c>
      <c r="E2865" s="5" t="s">
        <v>483</v>
      </c>
      <c r="F2865" s="9">
        <v>58</v>
      </c>
      <c r="G2865" s="9">
        <v>599</v>
      </c>
      <c r="H2865" s="5" t="s">
        <v>20</v>
      </c>
      <c r="I2865" s="5" t="s">
        <v>6571</v>
      </c>
      <c r="J2865" s="12" t="str">
        <f>HYPERLINK("https://www.boe.es/gazeta/dias/1806/07/15/pdfs/GMD-1806-58.pdf#page=3","Abrir facsímil")</f>
        <v>Abrir facsímil</v>
      </c>
      <c r="K2865" s="15" t="s">
        <v>22</v>
      </c>
    </row>
    <row r="2866" spans="1:11" ht="42" customHeight="1">
      <c r="A2866" s="4" t="s">
        <v>6572</v>
      </c>
      <c r="B2866" s="5" t="s">
        <v>6572</v>
      </c>
      <c r="C2866" s="5" t="s">
        <v>69</v>
      </c>
      <c r="D2866" s="5" t="s">
        <v>70</v>
      </c>
      <c r="E2866" s="5" t="s">
        <v>44</v>
      </c>
      <c r="F2866" s="9">
        <v>42</v>
      </c>
      <c r="G2866" s="9">
        <v>414</v>
      </c>
      <c r="H2866" s="5" t="s">
        <v>20</v>
      </c>
      <c r="I2866" s="5" t="s">
        <v>6573</v>
      </c>
      <c r="J2866" s="12" t="str">
        <f>HYPERLINK("https://www.boe.es/gazeta/dias/1806/05/20/pdfs/GMD-1806-42.pdf#page=2","Abrir facsímil")</f>
        <v>Abrir facsímil</v>
      </c>
      <c r="K2866" s="15" t="s">
        <v>22</v>
      </c>
    </row>
    <row r="2867" spans="1:11" ht="42" customHeight="1">
      <c r="A2867" s="4" t="s">
        <v>6574</v>
      </c>
      <c r="B2867" s="5" t="s">
        <v>6574</v>
      </c>
      <c r="C2867" s="5" t="s">
        <v>69</v>
      </c>
      <c r="D2867" s="5" t="s">
        <v>70</v>
      </c>
      <c r="E2867" s="5" t="s">
        <v>279</v>
      </c>
      <c r="F2867" s="9">
        <v>52</v>
      </c>
      <c r="G2867" s="9">
        <v>537</v>
      </c>
      <c r="H2867" s="5" t="s">
        <v>20</v>
      </c>
      <c r="I2867" s="5" t="s">
        <v>6575</v>
      </c>
      <c r="J2867" s="12" t="str">
        <f>HYPERLINK("https://www.boe.es/gazeta/dias/1806/06/24/pdfs/GMD-1806-52.pdf#page=5","Abrir facsímil")</f>
        <v>Abrir facsímil</v>
      </c>
      <c r="K2867" s="15" t="s">
        <v>22</v>
      </c>
    </row>
    <row r="2868" spans="1:11" ht="42" customHeight="1">
      <c r="A2868" s="4" t="s">
        <v>6576</v>
      </c>
      <c r="B2868" s="5" t="s">
        <v>6577</v>
      </c>
      <c r="C2868" s="5" t="s">
        <v>31</v>
      </c>
      <c r="D2868" s="5" t="s">
        <v>32</v>
      </c>
      <c r="E2868" s="5" t="s">
        <v>661</v>
      </c>
      <c r="F2868" s="9">
        <v>38</v>
      </c>
      <c r="G2868" s="9">
        <v>367</v>
      </c>
      <c r="H2868" s="5" t="s">
        <v>20</v>
      </c>
      <c r="I2868" s="5" t="s">
        <v>6578</v>
      </c>
      <c r="J2868" s="12" t="str">
        <f>HYPERLINK("https://www.boe.es/gazeta/dias/1806/05/06/pdfs/GMD-1806-38.pdf#page=3","Abrir facsímil")</f>
        <v>Abrir facsímil</v>
      </c>
      <c r="K2868" s="15" t="s">
        <v>22</v>
      </c>
    </row>
    <row r="2869" spans="1:11" ht="42" customHeight="1">
      <c r="A2869" s="4" t="s">
        <v>6579</v>
      </c>
      <c r="B2869" s="5" t="s">
        <v>6580</v>
      </c>
      <c r="C2869" s="5" t="s">
        <v>69</v>
      </c>
      <c r="D2869" s="5" t="s">
        <v>70</v>
      </c>
      <c r="E2869" s="5" t="s">
        <v>837</v>
      </c>
      <c r="F2869" s="9">
        <v>26</v>
      </c>
      <c r="G2869" s="9">
        <v>252</v>
      </c>
      <c r="H2869" s="5" t="s">
        <v>20</v>
      </c>
      <c r="I2869" s="5" t="s">
        <v>6581</v>
      </c>
      <c r="J2869" s="12" t="str">
        <f>HYPERLINK("https://www.boe.es/gazeta/dias/1806/03/25/pdfs/GMD-1806-26.pdf#page=4","Abrir facsímil")</f>
        <v>Abrir facsímil</v>
      </c>
      <c r="K2869" s="15" t="s">
        <v>22</v>
      </c>
    </row>
    <row r="2870" spans="1:11" ht="42" customHeight="1">
      <c r="A2870" s="4" t="s">
        <v>6582</v>
      </c>
      <c r="B2870" s="5" t="s">
        <v>6582</v>
      </c>
      <c r="C2870" s="5" t="s">
        <v>31</v>
      </c>
      <c r="D2870" s="5" t="s">
        <v>32</v>
      </c>
      <c r="E2870" s="5" t="s">
        <v>474</v>
      </c>
      <c r="F2870" s="9">
        <v>10</v>
      </c>
      <c r="G2870" s="9">
        <v>90</v>
      </c>
      <c r="H2870" s="5" t="s">
        <v>20</v>
      </c>
      <c r="I2870" s="5" t="s">
        <v>6583</v>
      </c>
      <c r="J2870" s="12" t="str">
        <f>HYPERLINK("https://www.boe.es/gazeta/dias/1806/01/28/pdfs/GMD-1806-10.pdf#page=6","Abrir facsímil")</f>
        <v>Abrir facsímil</v>
      </c>
      <c r="K2870" s="15" t="s">
        <v>22</v>
      </c>
    </row>
    <row r="2871" spans="1:11" ht="42" customHeight="1">
      <c r="A2871" s="4" t="s">
        <v>6584</v>
      </c>
      <c r="B2871" s="5" t="s">
        <v>6584</v>
      </c>
      <c r="C2871" s="5" t="s">
        <v>17</v>
      </c>
      <c r="D2871" s="5" t="s">
        <v>18</v>
      </c>
      <c r="E2871" s="5" t="s">
        <v>62</v>
      </c>
      <c r="F2871" s="9">
        <v>45</v>
      </c>
      <c r="G2871" s="9">
        <v>456</v>
      </c>
      <c r="H2871" s="5" t="s">
        <v>20</v>
      </c>
      <c r="I2871" s="5" t="s">
        <v>6585</v>
      </c>
      <c r="J2871" s="12" t="str">
        <f>HYPERLINK("https://www.boe.es/gazeta/dias/1806/05/30/pdfs/GMD-1806-45.pdf#page=8","Abrir facsímil")</f>
        <v>Abrir facsímil</v>
      </c>
      <c r="K2871" s="15" t="s">
        <v>22</v>
      </c>
    </row>
    <row r="2872" spans="1:11" ht="42" customHeight="1">
      <c r="A2872" s="4" t="s">
        <v>6584</v>
      </c>
      <c r="B2872" s="5" t="s">
        <v>6584</v>
      </c>
      <c r="C2872" s="5" t="s">
        <v>69</v>
      </c>
      <c r="D2872" s="5" t="s">
        <v>70</v>
      </c>
      <c r="E2872" s="5" t="s">
        <v>82</v>
      </c>
      <c r="F2872" s="9">
        <v>48</v>
      </c>
      <c r="G2872" s="9">
        <v>489</v>
      </c>
      <c r="H2872" s="5" t="s">
        <v>20</v>
      </c>
      <c r="I2872" s="5" t="s">
        <v>6586</v>
      </c>
      <c r="J2872" s="12" t="str">
        <f>HYPERLINK("https://www.boe.es/gazeta/dias/1806/06/10/pdfs/GMD-1806-48.pdf#page=1","Abrir facsímil")</f>
        <v>Abrir facsímil</v>
      </c>
      <c r="K2872" s="15" t="s">
        <v>22</v>
      </c>
    </row>
    <row r="2873" spans="1:11" ht="42" customHeight="1">
      <c r="A2873" s="4" t="s">
        <v>6584</v>
      </c>
      <c r="B2873" s="5" t="s">
        <v>6584</v>
      </c>
      <c r="C2873" s="5" t="s">
        <v>17</v>
      </c>
      <c r="D2873" s="5" t="s">
        <v>18</v>
      </c>
      <c r="E2873" s="5" t="s">
        <v>213</v>
      </c>
      <c r="F2873" s="9">
        <v>73</v>
      </c>
      <c r="G2873" s="9">
        <v>759</v>
      </c>
      <c r="H2873" s="5" t="s">
        <v>20</v>
      </c>
      <c r="I2873" s="5" t="s">
        <v>6587</v>
      </c>
      <c r="J2873" s="12" t="str">
        <f>HYPERLINK("https://www.boe.es/gazeta/dias/1806/09/05/pdfs/GMD-1806-73.pdf#page=7","Abrir facsímil")</f>
        <v>Abrir facsímil</v>
      </c>
      <c r="K2873" s="15" t="s">
        <v>22</v>
      </c>
    </row>
    <row r="2874" spans="1:11" ht="42" customHeight="1">
      <c r="A2874" s="4" t="s">
        <v>6588</v>
      </c>
      <c r="B2874" s="5" t="s">
        <v>6588</v>
      </c>
      <c r="C2874" s="5" t="s">
        <v>42</v>
      </c>
      <c r="D2874" s="5" t="s">
        <v>43</v>
      </c>
      <c r="E2874" s="5" t="s">
        <v>1031</v>
      </c>
      <c r="F2874" s="9">
        <v>107</v>
      </c>
      <c r="G2874" s="9">
        <v>1132</v>
      </c>
      <c r="H2874" s="5" t="s">
        <v>20</v>
      </c>
      <c r="I2874" s="5" t="s">
        <v>6589</v>
      </c>
      <c r="J2874" s="12" t="str">
        <f>HYPERLINK("https://www.boe.es/gazeta/dias/1806/12/30/pdfs/GMD-1806-107.pdf#page=8","Abrir facsímil")</f>
        <v>Abrir facsímil</v>
      </c>
      <c r="K2874" s="15" t="s">
        <v>22</v>
      </c>
    </row>
    <row r="2875" spans="1:11" ht="42" customHeight="1">
      <c r="A2875" s="4" t="s">
        <v>6590</v>
      </c>
      <c r="B2875" s="5" t="s">
        <v>6590</v>
      </c>
      <c r="C2875" s="5" t="s">
        <v>75</v>
      </c>
      <c r="D2875" s="5" t="s">
        <v>43</v>
      </c>
      <c r="E2875" s="5" t="s">
        <v>113</v>
      </c>
      <c r="F2875" s="9">
        <v>28</v>
      </c>
      <c r="G2875" s="9">
        <v>277</v>
      </c>
      <c r="H2875" s="5" t="s">
        <v>20</v>
      </c>
      <c r="I2875" s="5" t="s">
        <v>6591</v>
      </c>
      <c r="J2875" s="12" t="str">
        <f>HYPERLINK("https://www.boe.es/gazeta/dias/1806/04/01/pdfs/GMD-1806-28.pdf#page=5","Abrir facsímil")</f>
        <v>Abrir facsímil</v>
      </c>
      <c r="K2875" s="15" t="s">
        <v>22</v>
      </c>
    </row>
    <row r="2876" spans="1:11" ht="42" customHeight="1">
      <c r="A2876" s="4" t="s">
        <v>6592</v>
      </c>
      <c r="B2876" s="5" t="s">
        <v>6592</v>
      </c>
      <c r="C2876" s="5" t="s">
        <v>31</v>
      </c>
      <c r="D2876" s="5" t="s">
        <v>32</v>
      </c>
      <c r="E2876" s="5" t="s">
        <v>1031</v>
      </c>
      <c r="F2876" s="9">
        <v>107</v>
      </c>
      <c r="G2876" s="9">
        <v>1132</v>
      </c>
      <c r="H2876" s="5" t="s">
        <v>20</v>
      </c>
      <c r="I2876" s="5" t="s">
        <v>6593</v>
      </c>
      <c r="J2876" s="12" t="str">
        <f>HYPERLINK("https://www.boe.es/gazeta/dias/1806/12/30/pdfs/GMD-1806-107.pdf#page=8","Abrir facsímil")</f>
        <v>Abrir facsímil</v>
      </c>
      <c r="K2876" s="15" t="s">
        <v>22</v>
      </c>
    </row>
    <row r="2877" spans="1:11" ht="42" customHeight="1">
      <c r="A2877" s="4" t="s">
        <v>6594</v>
      </c>
      <c r="B2877" s="5" t="s">
        <v>6594</v>
      </c>
      <c r="C2877" s="5" t="s">
        <v>17</v>
      </c>
      <c r="D2877" s="5" t="s">
        <v>18</v>
      </c>
      <c r="E2877" s="5" t="s">
        <v>657</v>
      </c>
      <c r="F2877" s="9">
        <v>96</v>
      </c>
      <c r="G2877" s="9">
        <v>1018</v>
      </c>
      <c r="H2877" s="5" t="s">
        <v>20</v>
      </c>
      <c r="I2877" s="5" t="s">
        <v>6595</v>
      </c>
      <c r="J2877" s="12" t="str">
        <f>HYPERLINK("https://www.boe.es/gazeta/dias/1806/11/25/pdfs/GMD-1806-96.pdf#page=10","Abrir facsímil")</f>
        <v>Abrir facsímil</v>
      </c>
      <c r="K2877" s="15" t="s">
        <v>22</v>
      </c>
    </row>
    <row r="2878" spans="1:11" ht="42" customHeight="1">
      <c r="A2878" s="4" t="s">
        <v>6596</v>
      </c>
      <c r="B2878" s="5" t="s">
        <v>6596</v>
      </c>
      <c r="C2878" s="5" t="s">
        <v>17</v>
      </c>
      <c r="D2878" s="5" t="s">
        <v>18</v>
      </c>
      <c r="E2878" s="5" t="s">
        <v>86</v>
      </c>
      <c r="F2878" s="9">
        <v>53</v>
      </c>
      <c r="G2878" s="9">
        <v>553</v>
      </c>
      <c r="H2878" s="5" t="s">
        <v>20</v>
      </c>
      <c r="I2878" s="5" t="s">
        <v>6597</v>
      </c>
      <c r="J2878" s="12" t="str">
        <f>HYPERLINK("https://www.boe.es/gazeta/dias/1806/06/27/pdfs/GMD-1806-53.pdf#page=9","Abrir facsímil")</f>
        <v>Abrir facsímil</v>
      </c>
      <c r="K2878" s="15" t="s">
        <v>22</v>
      </c>
    </row>
    <row r="2879" spans="1:11" ht="42" customHeight="1">
      <c r="A2879" s="4" t="s">
        <v>6598</v>
      </c>
      <c r="B2879" s="5" t="s">
        <v>6598</v>
      </c>
      <c r="C2879" s="5" t="s">
        <v>31</v>
      </c>
      <c r="D2879" s="5" t="s">
        <v>32</v>
      </c>
      <c r="E2879" s="5" t="s">
        <v>554</v>
      </c>
      <c r="F2879" s="9">
        <v>90</v>
      </c>
      <c r="G2879" s="9">
        <v>933</v>
      </c>
      <c r="H2879" s="5" t="s">
        <v>20</v>
      </c>
      <c r="I2879" s="5" t="s">
        <v>6599</v>
      </c>
      <c r="J2879" s="12" t="str">
        <f>HYPERLINK("https://www.boe.es/gazeta/dias/1806/11/04/pdfs/GMD-1806-90.pdf#page=9","Abrir facsímil")</f>
        <v>Abrir facsímil</v>
      </c>
      <c r="K2879" s="15" t="s">
        <v>22</v>
      </c>
    </row>
    <row r="2880" spans="1:11" ht="42" customHeight="1">
      <c r="A2880" s="4" t="s">
        <v>6600</v>
      </c>
      <c r="B2880" s="5" t="s">
        <v>6600</v>
      </c>
      <c r="C2880" s="5" t="s">
        <v>42</v>
      </c>
      <c r="D2880" s="5" t="s">
        <v>43</v>
      </c>
      <c r="E2880" s="5" t="s">
        <v>570</v>
      </c>
      <c r="F2880" s="9">
        <v>93</v>
      </c>
      <c r="G2880" s="9">
        <v>978</v>
      </c>
      <c r="H2880" s="5" t="s">
        <v>20</v>
      </c>
      <c r="I2880" s="5" t="s">
        <v>6601</v>
      </c>
      <c r="J2880" s="12" t="str">
        <f>HYPERLINK("https://www.boe.es/gazeta/dias/1806/11/14/pdfs/GMD-1806-93.pdf#page=14","Abrir facsímil")</f>
        <v>Abrir facsímil</v>
      </c>
      <c r="K2880" s="15" t="s">
        <v>22</v>
      </c>
    </row>
    <row r="2881" spans="1:11" ht="42" customHeight="1">
      <c r="A2881" s="4" t="s">
        <v>6602</v>
      </c>
      <c r="B2881" s="5" t="s">
        <v>6602</v>
      </c>
      <c r="C2881" s="5" t="s">
        <v>447</v>
      </c>
      <c r="D2881" s="5" t="s">
        <v>448</v>
      </c>
      <c r="E2881" s="5" t="s">
        <v>434</v>
      </c>
      <c r="F2881" s="9">
        <v>74</v>
      </c>
      <c r="G2881" s="9" t="s">
        <v>1084</v>
      </c>
      <c r="H2881" s="5" t="s">
        <v>20</v>
      </c>
      <c r="I2881" s="5" t="s">
        <v>6603</v>
      </c>
      <c r="J2881" s="12" t="str">
        <f>HYPERLINK("https://www.boe.es/gazeta/dias/1806/09/09/pdfs/GMD-C-1806-74.pdf#page=4","Abrir facsímil")</f>
        <v>Abrir facsímil</v>
      </c>
      <c r="K2881" s="15" t="s">
        <v>22</v>
      </c>
    </row>
    <row r="2882" spans="1:11" ht="42" customHeight="1">
      <c r="A2882" s="4" t="s">
        <v>6604</v>
      </c>
      <c r="B2882" s="5" t="s">
        <v>6604</v>
      </c>
      <c r="C2882" s="5" t="s">
        <v>31</v>
      </c>
      <c r="D2882" s="5" t="s">
        <v>32</v>
      </c>
      <c r="E2882" s="5" t="s">
        <v>175</v>
      </c>
      <c r="F2882" s="9">
        <v>40</v>
      </c>
      <c r="G2882" s="9">
        <v>394</v>
      </c>
      <c r="H2882" s="5" t="s">
        <v>20</v>
      </c>
      <c r="I2882" s="5" t="s">
        <v>6605</v>
      </c>
      <c r="J2882" s="12" t="str">
        <f>HYPERLINK("https://www.boe.es/gazeta/dias/1806/05/13/pdfs/GMD-1806-40.pdf#page=6","Abrir facsímil")</f>
        <v>Abrir facsímil</v>
      </c>
      <c r="K2882" s="15" t="s">
        <v>22</v>
      </c>
    </row>
    <row r="2883" spans="1:11" ht="42" customHeight="1">
      <c r="A2883" s="4" t="s">
        <v>6606</v>
      </c>
      <c r="B2883" s="5" t="s">
        <v>6606</v>
      </c>
      <c r="C2883" s="5" t="s">
        <v>31</v>
      </c>
      <c r="D2883" s="5" t="s">
        <v>32</v>
      </c>
      <c r="E2883" s="5" t="s">
        <v>661</v>
      </c>
      <c r="F2883" s="9">
        <v>38</v>
      </c>
      <c r="G2883" s="9">
        <v>373</v>
      </c>
      <c r="H2883" s="5" t="s">
        <v>20</v>
      </c>
      <c r="I2883" s="5" t="s">
        <v>6607</v>
      </c>
      <c r="J2883" s="12" t="str">
        <f>HYPERLINK("https://www.boe.es/gazeta/dias/1806/05/06/pdfs/GMD-1806-38.pdf#page=9","Abrir facsímil")</f>
        <v>Abrir facsímil</v>
      </c>
      <c r="K2883" s="15" t="s">
        <v>22</v>
      </c>
    </row>
    <row r="2884" spans="1:11" ht="42" customHeight="1">
      <c r="A2884" s="4" t="s">
        <v>6608</v>
      </c>
      <c r="B2884" s="5" t="s">
        <v>6608</v>
      </c>
      <c r="C2884" s="5" t="s">
        <v>69</v>
      </c>
      <c r="D2884" s="5" t="s">
        <v>70</v>
      </c>
      <c r="E2884" s="5" t="s">
        <v>100</v>
      </c>
      <c r="F2884" s="9">
        <v>7</v>
      </c>
      <c r="G2884" s="9">
        <v>61</v>
      </c>
      <c r="H2884" s="5" t="s">
        <v>20</v>
      </c>
      <c r="I2884" s="5" t="s">
        <v>6609</v>
      </c>
      <c r="J2884" s="12" t="str">
        <f>HYPERLINK("https://www.boe.es/gazeta/dias/1806/01/21/pdfs/GMD-1806-7.pdf#page=5","Abrir facsímil")</f>
        <v>Abrir facsímil</v>
      </c>
      <c r="K2884" s="15" t="s">
        <v>22</v>
      </c>
    </row>
    <row r="2885" spans="1:11" ht="42" customHeight="1">
      <c r="A2885" s="4" t="s">
        <v>6608</v>
      </c>
      <c r="B2885" s="5" t="s">
        <v>6608</v>
      </c>
      <c r="C2885" s="5" t="s">
        <v>31</v>
      </c>
      <c r="D2885" s="5" t="s">
        <v>32</v>
      </c>
      <c r="E2885" s="5" t="s">
        <v>96</v>
      </c>
      <c r="F2885" s="9">
        <v>62</v>
      </c>
      <c r="G2885" s="9">
        <v>646</v>
      </c>
      <c r="H2885" s="5" t="s">
        <v>20</v>
      </c>
      <c r="I2885" s="5" t="s">
        <v>6610</v>
      </c>
      <c r="J2885" s="12" t="str">
        <f>HYPERLINK("https://www.boe.es/gazeta/dias/1806/07/29/pdfs/GMD-1806-62.pdf#page=6","Abrir facsímil")</f>
        <v>Abrir facsímil</v>
      </c>
      <c r="K2885" s="15" t="s">
        <v>22</v>
      </c>
    </row>
    <row r="2886" spans="1:11" ht="42" customHeight="1">
      <c r="A2886" s="4" t="s">
        <v>6608</v>
      </c>
      <c r="B2886" s="5" t="s">
        <v>6608</v>
      </c>
      <c r="C2886" s="5" t="s">
        <v>31</v>
      </c>
      <c r="D2886" s="5" t="s">
        <v>32</v>
      </c>
      <c r="E2886" s="5" t="s">
        <v>911</v>
      </c>
      <c r="F2886" s="9">
        <v>64</v>
      </c>
      <c r="G2886" s="9">
        <v>670</v>
      </c>
      <c r="H2886" s="5" t="s">
        <v>20</v>
      </c>
      <c r="I2886" s="5" t="s">
        <v>6611</v>
      </c>
      <c r="J2886" s="12" t="str">
        <f>HYPERLINK("https://www.boe.es/gazeta/dias/1806/08/05/pdfs/GMD-1806-64.pdf#page=6","Abrir facsímil")</f>
        <v>Abrir facsímil</v>
      </c>
      <c r="K2886" s="15" t="s">
        <v>22</v>
      </c>
    </row>
    <row r="2887" spans="1:11" ht="42" customHeight="1">
      <c r="A2887" s="4" t="s">
        <v>6612</v>
      </c>
      <c r="B2887" s="5" t="s">
        <v>6612</v>
      </c>
      <c r="C2887" s="5" t="s">
        <v>31</v>
      </c>
      <c r="D2887" s="5" t="s">
        <v>32</v>
      </c>
      <c r="E2887" s="5" t="s">
        <v>209</v>
      </c>
      <c r="F2887" s="9">
        <v>95</v>
      </c>
      <c r="G2887" s="9">
        <v>1005</v>
      </c>
      <c r="H2887" s="5" t="s">
        <v>20</v>
      </c>
      <c r="I2887" s="5" t="s">
        <v>6613</v>
      </c>
      <c r="J2887" s="12" t="str">
        <f>HYPERLINK("https://www.boe.es/gazeta/dias/1806/11/21/pdfs/GMD-1806-95.pdf#page=13","Abrir facsímil")</f>
        <v>Abrir facsímil</v>
      </c>
      <c r="K2887" s="15" t="s">
        <v>22</v>
      </c>
    </row>
    <row r="2888" spans="1:11" ht="42" customHeight="1">
      <c r="A2888" s="4" t="s">
        <v>6614</v>
      </c>
      <c r="B2888" s="5" t="s">
        <v>6615</v>
      </c>
      <c r="C2888" s="5" t="s">
        <v>17</v>
      </c>
      <c r="D2888" s="5" t="s">
        <v>18</v>
      </c>
      <c r="E2888" s="5" t="s">
        <v>188</v>
      </c>
      <c r="F2888" s="9">
        <v>2</v>
      </c>
      <c r="G2888" s="9">
        <v>17</v>
      </c>
      <c r="H2888" s="5" t="s">
        <v>20</v>
      </c>
      <c r="I2888" s="5" t="s">
        <v>6616</v>
      </c>
      <c r="J2888" s="12" t="str">
        <f>HYPERLINK("https://www.boe.es/gazeta/dias/1806/01/07/pdfs/GMD-1806-2.pdf#page=5","Abrir facsímil")</f>
        <v>Abrir facsímil</v>
      </c>
      <c r="K2888" s="15" t="s">
        <v>22</v>
      </c>
    </row>
    <row r="2889" spans="1:11" ht="42" customHeight="1">
      <c r="A2889" s="4" t="s">
        <v>6617</v>
      </c>
      <c r="B2889" s="5" t="s">
        <v>6617</v>
      </c>
      <c r="C2889" s="5" t="s">
        <v>17</v>
      </c>
      <c r="D2889" s="5" t="s">
        <v>18</v>
      </c>
      <c r="E2889" s="5" t="s">
        <v>494</v>
      </c>
      <c r="F2889" s="9">
        <v>69</v>
      </c>
      <c r="G2889" s="9">
        <v>721</v>
      </c>
      <c r="H2889" s="5" t="s">
        <v>20</v>
      </c>
      <c r="I2889" s="5" t="s">
        <v>6618</v>
      </c>
      <c r="J2889" s="12" t="str">
        <f>HYPERLINK("https://www.boe.es/gazeta/dias/1806/08/22/pdfs/GMD-1806-69.pdf#page=9","Abrir facsímil")</f>
        <v>Abrir facsímil</v>
      </c>
      <c r="K2889" s="15" t="s">
        <v>22</v>
      </c>
    </row>
    <row r="2890" spans="1:11" ht="42" customHeight="1">
      <c r="A2890" s="4" t="s">
        <v>6619</v>
      </c>
      <c r="B2890" s="5" t="s">
        <v>6619</v>
      </c>
      <c r="C2890" s="5" t="s">
        <v>17</v>
      </c>
      <c r="D2890" s="5" t="s">
        <v>18</v>
      </c>
      <c r="E2890" s="5" t="s">
        <v>494</v>
      </c>
      <c r="F2890" s="9">
        <v>69</v>
      </c>
      <c r="G2890" s="9">
        <v>722</v>
      </c>
      <c r="H2890" s="5" t="s">
        <v>20</v>
      </c>
      <c r="I2890" s="5" t="s">
        <v>6620</v>
      </c>
      <c r="J2890" s="12" t="str">
        <f>HYPERLINK("https://www.boe.es/gazeta/dias/1806/08/22/pdfs/GMD-1806-69.pdf#page=10","Abrir facsímil")</f>
        <v>Abrir facsímil</v>
      </c>
      <c r="K2890" s="15" t="s">
        <v>22</v>
      </c>
    </row>
    <row r="2891" spans="1:11" ht="42" customHeight="1">
      <c r="A2891" s="4" t="s">
        <v>6621</v>
      </c>
      <c r="B2891" s="5" t="s">
        <v>6622</v>
      </c>
      <c r="C2891" s="5" t="s">
        <v>31</v>
      </c>
      <c r="D2891" s="5" t="s">
        <v>32</v>
      </c>
      <c r="E2891" s="5" t="s">
        <v>38</v>
      </c>
      <c r="F2891" s="9">
        <v>92</v>
      </c>
      <c r="G2891" s="9">
        <v>955</v>
      </c>
      <c r="H2891" s="5" t="s">
        <v>20</v>
      </c>
      <c r="I2891" s="5" t="s">
        <v>6623</v>
      </c>
      <c r="J2891" s="12" t="str">
        <f>HYPERLINK("https://www.boe.es/gazeta/dias/1806/11/11/pdfs/GMD-1806-92.pdf#page=7","Abrir facsímil")</f>
        <v>Abrir facsímil</v>
      </c>
      <c r="K2891" s="15" t="s">
        <v>22</v>
      </c>
    </row>
    <row r="2892" spans="1:11" ht="42" customHeight="1">
      <c r="A2892" s="4" t="s">
        <v>6624</v>
      </c>
      <c r="B2892" s="5" t="s">
        <v>6624</v>
      </c>
      <c r="C2892" s="5" t="s">
        <v>36</v>
      </c>
      <c r="D2892" s="5" t="s">
        <v>37</v>
      </c>
      <c r="E2892" s="5" t="s">
        <v>86</v>
      </c>
      <c r="F2892" s="9">
        <v>53</v>
      </c>
      <c r="G2892" s="9">
        <v>555</v>
      </c>
      <c r="H2892" s="5" t="s">
        <v>20</v>
      </c>
      <c r="I2892" s="5" t="s">
        <v>6625</v>
      </c>
      <c r="J2892" s="12" t="str">
        <f>HYPERLINK("https://www.boe.es/gazeta/dias/1806/06/27/pdfs/GMD-1806-53.pdf#page=11","Abrir facsímil")</f>
        <v>Abrir facsímil</v>
      </c>
      <c r="K2892" s="15" t="s">
        <v>22</v>
      </c>
    </row>
    <row r="2893" spans="1:11" ht="42" customHeight="1">
      <c r="A2893" s="4" t="s">
        <v>6626</v>
      </c>
      <c r="B2893" s="5" t="s">
        <v>6626</v>
      </c>
      <c r="C2893" s="5" t="s">
        <v>31</v>
      </c>
      <c r="D2893" s="5" t="s">
        <v>32</v>
      </c>
      <c r="E2893" s="5" t="s">
        <v>383</v>
      </c>
      <c r="F2893" s="9">
        <v>54</v>
      </c>
      <c r="G2893" s="9">
        <v>564</v>
      </c>
      <c r="H2893" s="5" t="s">
        <v>20</v>
      </c>
      <c r="I2893" s="5" t="s">
        <v>6627</v>
      </c>
      <c r="J2893" s="12" t="str">
        <f>HYPERLINK("https://www.boe.es/gazeta/dias/1806/07/01/pdfs/GMD-1806-54.pdf#page=8","Abrir facsímil")</f>
        <v>Abrir facsímil</v>
      </c>
      <c r="K2893" s="15" t="s">
        <v>22</v>
      </c>
    </row>
    <row r="2894" spans="1:11" ht="42" customHeight="1">
      <c r="A2894" s="4" t="s">
        <v>6628</v>
      </c>
      <c r="B2894" s="5" t="s">
        <v>6629</v>
      </c>
      <c r="C2894" s="5" t="s">
        <v>69</v>
      </c>
      <c r="D2894" s="5" t="s">
        <v>70</v>
      </c>
      <c r="E2894" s="5" t="s">
        <v>231</v>
      </c>
      <c r="F2894" s="9">
        <v>89</v>
      </c>
      <c r="G2894" s="9">
        <v>915</v>
      </c>
      <c r="H2894" s="5" t="s">
        <v>20</v>
      </c>
      <c r="I2894" s="5" t="s">
        <v>6630</v>
      </c>
      <c r="J2894" s="12" t="str">
        <f>HYPERLINK("https://www.boe.es/gazeta/dias/1806/10/31/pdfs/GMD-1806-89.pdf#page=3","Abrir facsímil")</f>
        <v>Abrir facsímil</v>
      </c>
      <c r="K2894" s="15" t="s">
        <v>22</v>
      </c>
    </row>
    <row r="2895" spans="1:11" ht="42" customHeight="1">
      <c r="A2895" s="4" t="s">
        <v>6631</v>
      </c>
      <c r="B2895" s="5" t="s">
        <v>6632</v>
      </c>
      <c r="C2895" s="5" t="s">
        <v>31</v>
      </c>
      <c r="D2895" s="5" t="s">
        <v>32</v>
      </c>
      <c r="E2895" s="5" t="s">
        <v>24</v>
      </c>
      <c r="F2895" s="9">
        <v>32</v>
      </c>
      <c r="G2895" s="9">
        <v>311</v>
      </c>
      <c r="H2895" s="5" t="s">
        <v>20</v>
      </c>
      <c r="I2895" s="5" t="s">
        <v>6633</v>
      </c>
      <c r="J2895" s="12" t="str">
        <f>HYPERLINK("https://www.boe.es/gazeta/dias/1806/04/15/pdfs/GMD-1806-32.pdf#page=3","Abrir facsímil")</f>
        <v>Abrir facsímil</v>
      </c>
      <c r="K2895" s="15" t="s">
        <v>22</v>
      </c>
    </row>
    <row r="2896" spans="1:11" ht="42" customHeight="1">
      <c r="A2896" s="4" t="s">
        <v>6631</v>
      </c>
      <c r="B2896" s="5" t="s">
        <v>6632</v>
      </c>
      <c r="C2896" s="5" t="s">
        <v>69</v>
      </c>
      <c r="D2896" s="5" t="s">
        <v>70</v>
      </c>
      <c r="E2896" s="5" t="s">
        <v>661</v>
      </c>
      <c r="F2896" s="9">
        <v>38</v>
      </c>
      <c r="G2896" s="9">
        <v>371</v>
      </c>
      <c r="H2896" s="5" t="s">
        <v>20</v>
      </c>
      <c r="I2896" s="5" t="s">
        <v>6634</v>
      </c>
      <c r="J2896" s="12" t="str">
        <f>HYPERLINK("https://www.boe.es/gazeta/dias/1806/05/06/pdfs/GMD-1806-38.pdf#page=7","Abrir facsímil")</f>
        <v>Abrir facsímil</v>
      </c>
      <c r="K2896" s="15" t="s">
        <v>22</v>
      </c>
    </row>
    <row r="2897" spans="1:11" ht="42" customHeight="1">
      <c r="A2897" s="4" t="s">
        <v>6631</v>
      </c>
      <c r="B2897" s="5" t="s">
        <v>6632</v>
      </c>
      <c r="C2897" s="5" t="s">
        <v>17</v>
      </c>
      <c r="D2897" s="5" t="s">
        <v>18</v>
      </c>
      <c r="E2897" s="5" t="s">
        <v>540</v>
      </c>
      <c r="F2897" s="9">
        <v>51</v>
      </c>
      <c r="G2897" s="9">
        <v>529</v>
      </c>
      <c r="H2897" s="5" t="s">
        <v>20</v>
      </c>
      <c r="I2897" s="5" t="s">
        <v>6635</v>
      </c>
      <c r="J2897" s="12" t="str">
        <f>HYPERLINK("https://www.boe.es/gazeta/dias/1806/06/20/pdfs/GMD-1806-51.pdf#page=9","Abrir facsímil")</f>
        <v>Abrir facsímil</v>
      </c>
      <c r="K2897" s="15" t="s">
        <v>22</v>
      </c>
    </row>
    <row r="2898" spans="1:11" ht="42" customHeight="1">
      <c r="A2898" s="4" t="s">
        <v>6631</v>
      </c>
      <c r="B2898" s="5" t="s">
        <v>6632</v>
      </c>
      <c r="C2898" s="5" t="s">
        <v>69</v>
      </c>
      <c r="D2898" s="5" t="s">
        <v>70</v>
      </c>
      <c r="E2898" s="5" t="s">
        <v>130</v>
      </c>
      <c r="F2898" s="9">
        <v>66</v>
      </c>
      <c r="G2898" s="9">
        <v>686</v>
      </c>
      <c r="H2898" s="5" t="s">
        <v>20</v>
      </c>
      <c r="I2898" s="5" t="s">
        <v>6636</v>
      </c>
      <c r="J2898" s="12" t="str">
        <f>HYPERLINK("https://www.boe.es/gazeta/dias/1806/08/12/pdfs/GMD-1806-66.pdf#page=2","Abrir facsímil")</f>
        <v>Abrir facsímil</v>
      </c>
      <c r="K2898" s="15" t="s">
        <v>22</v>
      </c>
    </row>
    <row r="2899" spans="1:11" ht="42" customHeight="1">
      <c r="A2899" s="4" t="s">
        <v>6631</v>
      </c>
      <c r="B2899" s="5" t="s">
        <v>6632</v>
      </c>
      <c r="C2899" s="5" t="s">
        <v>69</v>
      </c>
      <c r="D2899" s="5" t="s">
        <v>70</v>
      </c>
      <c r="E2899" s="5" t="s">
        <v>33</v>
      </c>
      <c r="F2899" s="9">
        <v>82</v>
      </c>
      <c r="G2899" s="9">
        <v>848</v>
      </c>
      <c r="H2899" s="5" t="s">
        <v>20</v>
      </c>
      <c r="I2899" s="5" t="s">
        <v>6637</v>
      </c>
      <c r="J2899" s="12" t="str">
        <f>HYPERLINK("https://www.boe.es/gazeta/dias/1806/10/07/pdfs/GMD-1806-82.pdf#page=8","Abrir facsímil")</f>
        <v>Abrir facsímil</v>
      </c>
      <c r="K2899" s="15" t="s">
        <v>22</v>
      </c>
    </row>
    <row r="2900" spans="1:11" ht="42" customHeight="1">
      <c r="A2900" s="4" t="s">
        <v>6631</v>
      </c>
      <c r="B2900" s="5" t="s">
        <v>6632</v>
      </c>
      <c r="C2900" s="5" t="s">
        <v>69</v>
      </c>
      <c r="D2900" s="5" t="s">
        <v>70</v>
      </c>
      <c r="E2900" s="5" t="s">
        <v>140</v>
      </c>
      <c r="F2900" s="9">
        <v>83</v>
      </c>
      <c r="G2900" s="9">
        <v>858</v>
      </c>
      <c r="H2900" s="5" t="s">
        <v>20</v>
      </c>
      <c r="I2900" s="5" t="s">
        <v>6638</v>
      </c>
      <c r="J2900" s="12" t="str">
        <f>HYPERLINK("https://www.boe.es/gazeta/dias/1806/10/10/pdfs/GMD-1806-83.pdf#page=6","Abrir facsímil")</f>
        <v>Abrir facsímil</v>
      </c>
      <c r="K2900" s="15" t="s">
        <v>22</v>
      </c>
    </row>
    <row r="2901" spans="1:11" ht="42" customHeight="1">
      <c r="A2901" s="4" t="s">
        <v>6631</v>
      </c>
      <c r="B2901" s="5" t="s">
        <v>6632</v>
      </c>
      <c r="C2901" s="5" t="s">
        <v>69</v>
      </c>
      <c r="D2901" s="5" t="s">
        <v>70</v>
      </c>
      <c r="E2901" s="5" t="s">
        <v>38</v>
      </c>
      <c r="F2901" s="9">
        <v>92</v>
      </c>
      <c r="G2901" s="9">
        <v>956</v>
      </c>
      <c r="H2901" s="5" t="s">
        <v>20</v>
      </c>
      <c r="I2901" s="5" t="s">
        <v>6639</v>
      </c>
      <c r="J2901" s="12" t="str">
        <f>HYPERLINK("https://www.boe.es/gazeta/dias/1806/11/11/pdfs/GMD-1806-92.pdf#page=8","Abrir facsímil")</f>
        <v>Abrir facsímil</v>
      </c>
      <c r="K2901" s="15" t="s">
        <v>22</v>
      </c>
    </row>
    <row r="2902" spans="1:11" ht="42" customHeight="1">
      <c r="A2902" s="4" t="s">
        <v>6640</v>
      </c>
      <c r="B2902" s="5" t="s">
        <v>6640</v>
      </c>
      <c r="C2902" s="5" t="s">
        <v>31</v>
      </c>
      <c r="D2902" s="5" t="s">
        <v>32</v>
      </c>
      <c r="E2902" s="5" t="s">
        <v>93</v>
      </c>
      <c r="F2902" s="9">
        <v>72</v>
      </c>
      <c r="G2902" s="9">
        <v>747</v>
      </c>
      <c r="H2902" s="5" t="s">
        <v>20</v>
      </c>
      <c r="I2902" s="5" t="s">
        <v>6641</v>
      </c>
      <c r="J2902" s="12" t="str">
        <f>HYPERLINK("https://www.boe.es/gazeta/dias/1806/09/02/pdfs/GMD-1806-72.pdf#page=7","Abrir facsímil")</f>
        <v>Abrir facsímil</v>
      </c>
      <c r="K2902" s="15" t="s">
        <v>22</v>
      </c>
    </row>
    <row r="2903" spans="1:11" ht="42" customHeight="1">
      <c r="A2903" s="4" t="s">
        <v>6642</v>
      </c>
      <c r="B2903" s="5" t="s">
        <v>6642</v>
      </c>
      <c r="C2903" s="5" t="s">
        <v>17</v>
      </c>
      <c r="D2903" s="5" t="s">
        <v>18</v>
      </c>
      <c r="E2903" s="5" t="s">
        <v>689</v>
      </c>
      <c r="F2903" s="9">
        <v>37</v>
      </c>
      <c r="G2903" s="9">
        <v>357</v>
      </c>
      <c r="H2903" s="5" t="s">
        <v>20</v>
      </c>
      <c r="I2903" s="5" t="s">
        <v>6643</v>
      </c>
      <c r="J2903" s="12" t="str">
        <f>HYPERLINK("https://www.boe.es/gazeta/dias/1806/05/02/pdfs/GMD-1806-37.pdf#page=5","Abrir facsímil")</f>
        <v>Abrir facsímil</v>
      </c>
      <c r="K2903" s="15" t="s">
        <v>22</v>
      </c>
    </row>
    <row r="2904" spans="1:11" ht="42" customHeight="1">
      <c r="A2904" s="4" t="s">
        <v>6644</v>
      </c>
      <c r="B2904" s="5" t="s">
        <v>6644</v>
      </c>
      <c r="C2904" s="5" t="s">
        <v>69</v>
      </c>
      <c r="D2904" s="5" t="s">
        <v>70</v>
      </c>
      <c r="E2904" s="5" t="s">
        <v>51</v>
      </c>
      <c r="F2904" s="9">
        <v>44</v>
      </c>
      <c r="G2904" s="9">
        <v>441</v>
      </c>
      <c r="H2904" s="5" t="s">
        <v>20</v>
      </c>
      <c r="I2904" s="5" t="s">
        <v>6645</v>
      </c>
      <c r="J2904" s="12" t="str">
        <f>HYPERLINK("https://www.boe.es/gazeta/dias/1806/05/27/pdfs/GMD-1806-44.pdf#page=5","Abrir facsímil")</f>
        <v>Abrir facsímil</v>
      </c>
      <c r="K2904" s="15" t="s">
        <v>22</v>
      </c>
    </row>
    <row r="2905" spans="1:11" ht="42" customHeight="1">
      <c r="A2905" s="4" t="s">
        <v>6646</v>
      </c>
      <c r="B2905" s="5" t="s">
        <v>6646</v>
      </c>
      <c r="C2905" s="5" t="s">
        <v>69</v>
      </c>
      <c r="D2905" s="5" t="s">
        <v>70</v>
      </c>
      <c r="E2905" s="5" t="s">
        <v>279</v>
      </c>
      <c r="F2905" s="9">
        <v>52</v>
      </c>
      <c r="G2905" s="9">
        <v>535</v>
      </c>
      <c r="H2905" s="5" t="s">
        <v>20</v>
      </c>
      <c r="I2905" s="5" t="s">
        <v>6647</v>
      </c>
      <c r="J2905" s="12" t="str">
        <f>HYPERLINK("https://www.boe.es/gazeta/dias/1806/06/24/pdfs/GMD-1806-52.pdf#page=3","Abrir facsímil")</f>
        <v>Abrir facsímil</v>
      </c>
      <c r="K2905" s="15" t="s">
        <v>22</v>
      </c>
    </row>
    <row r="2906" spans="1:11" ht="42" customHeight="1">
      <c r="A2906" s="4" t="s">
        <v>6648</v>
      </c>
      <c r="B2906" s="5" t="s">
        <v>6648</v>
      </c>
      <c r="C2906" s="5" t="s">
        <v>69</v>
      </c>
      <c r="D2906" s="5" t="s">
        <v>70</v>
      </c>
      <c r="E2906" s="5" t="s">
        <v>279</v>
      </c>
      <c r="F2906" s="9">
        <v>52</v>
      </c>
      <c r="G2906" s="9">
        <v>536</v>
      </c>
      <c r="H2906" s="5" t="s">
        <v>20</v>
      </c>
      <c r="I2906" s="5" t="s">
        <v>6649</v>
      </c>
      <c r="J2906" s="12" t="str">
        <f>HYPERLINK("https://www.boe.es/gazeta/dias/1806/06/24/pdfs/GMD-1806-52.pdf#page=4","Abrir facsímil")</f>
        <v>Abrir facsímil</v>
      </c>
      <c r="K2906" s="15" t="s">
        <v>22</v>
      </c>
    </row>
    <row r="2907" spans="1:11" ht="42" customHeight="1">
      <c r="A2907" s="4" t="s">
        <v>6648</v>
      </c>
      <c r="B2907" s="5" t="s">
        <v>6648</v>
      </c>
      <c r="C2907" s="5" t="s">
        <v>69</v>
      </c>
      <c r="D2907" s="5" t="s">
        <v>70</v>
      </c>
      <c r="E2907" s="5" t="s">
        <v>144</v>
      </c>
      <c r="F2907" s="9">
        <v>79</v>
      </c>
      <c r="G2907" s="9">
        <v>814</v>
      </c>
      <c r="H2907" s="5" t="s">
        <v>20</v>
      </c>
      <c r="I2907" s="5" t="s">
        <v>6650</v>
      </c>
      <c r="J2907" s="12" t="str">
        <f>HYPERLINK("https://www.boe.es/gazeta/dias/1806/09/26/pdfs/GMD-1806-79.pdf#page=6","Abrir facsímil")</f>
        <v>Abrir facsímil</v>
      </c>
      <c r="K2907" s="15" t="s">
        <v>22</v>
      </c>
    </row>
    <row r="2908" spans="1:11" ht="42" customHeight="1">
      <c r="A2908" s="4" t="s">
        <v>6651</v>
      </c>
      <c r="B2908" s="5" t="s">
        <v>6651</v>
      </c>
      <c r="C2908" s="5" t="s">
        <v>17</v>
      </c>
      <c r="D2908" s="5" t="s">
        <v>18</v>
      </c>
      <c r="E2908" s="5" t="s">
        <v>780</v>
      </c>
      <c r="F2908" s="9">
        <v>33</v>
      </c>
      <c r="G2908" s="9">
        <v>325</v>
      </c>
      <c r="H2908" s="5" t="s">
        <v>20</v>
      </c>
      <c r="I2908" s="5" t="s">
        <v>6652</v>
      </c>
      <c r="J2908" s="12" t="str">
        <f>HYPERLINK("https://www.boe.es/gazeta/dias/1806/04/18/pdfs/GMD-1806-33.pdf#page=5","Abrir facsímil")</f>
        <v>Abrir facsímil</v>
      </c>
      <c r="K2908" s="15" t="s">
        <v>22</v>
      </c>
    </row>
    <row r="2909" spans="1:11" ht="42" customHeight="1">
      <c r="A2909" s="4" t="s">
        <v>6653</v>
      </c>
      <c r="B2909" s="5" t="s">
        <v>6653</v>
      </c>
      <c r="C2909" s="5" t="s">
        <v>31</v>
      </c>
      <c r="D2909" s="5" t="s">
        <v>32</v>
      </c>
      <c r="E2909" s="5" t="s">
        <v>494</v>
      </c>
      <c r="F2909" s="9">
        <v>69</v>
      </c>
      <c r="G2909" s="9">
        <v>722</v>
      </c>
      <c r="H2909" s="5" t="s">
        <v>20</v>
      </c>
      <c r="I2909" s="5" t="s">
        <v>6654</v>
      </c>
      <c r="J2909" s="12" t="str">
        <f>HYPERLINK("https://www.boe.es/gazeta/dias/1806/08/22/pdfs/GMD-1806-69.pdf#page=10","Abrir facsímil")</f>
        <v>Abrir facsímil</v>
      </c>
      <c r="K2909" s="15" t="s">
        <v>22</v>
      </c>
    </row>
    <row r="2910" spans="1:11" ht="42" customHeight="1">
      <c r="A2910" s="4" t="s">
        <v>6655</v>
      </c>
      <c r="B2910" s="5" t="s">
        <v>6655</v>
      </c>
      <c r="C2910" s="5" t="s">
        <v>17</v>
      </c>
      <c r="D2910" s="5" t="s">
        <v>18</v>
      </c>
      <c r="E2910" s="5" t="s">
        <v>130</v>
      </c>
      <c r="F2910" s="9">
        <v>66</v>
      </c>
      <c r="G2910" s="9">
        <v>689</v>
      </c>
      <c r="H2910" s="5" t="s">
        <v>20</v>
      </c>
      <c r="I2910" s="5" t="s">
        <v>6656</v>
      </c>
      <c r="J2910" s="12" t="str">
        <f>HYPERLINK("https://www.boe.es/gazeta/dias/1806/08/12/pdfs/GMD-1806-66.pdf#page=5","Abrir facsímil")</f>
        <v>Abrir facsímil</v>
      </c>
      <c r="K2910" s="15" t="s">
        <v>22</v>
      </c>
    </row>
    <row r="2911" spans="1:11" ht="42" customHeight="1">
      <c r="A2911" s="4" t="s">
        <v>6657</v>
      </c>
      <c r="B2911" s="5" t="s">
        <v>6657</v>
      </c>
      <c r="C2911" s="5" t="s">
        <v>31</v>
      </c>
      <c r="D2911" s="5" t="s">
        <v>32</v>
      </c>
      <c r="E2911" s="5" t="s">
        <v>103</v>
      </c>
      <c r="F2911" s="9">
        <v>61</v>
      </c>
      <c r="G2911" s="9">
        <v>635</v>
      </c>
      <c r="H2911" s="5" t="s">
        <v>20</v>
      </c>
      <c r="I2911" s="5" t="s">
        <v>6658</v>
      </c>
      <c r="J2911" s="12" t="str">
        <f>HYPERLINK("https://www.boe.es/gazeta/dias/1806/07/25/pdfs/GMD-1806-61.pdf#page=7","Abrir facsímil")</f>
        <v>Abrir facsímil</v>
      </c>
      <c r="K2911" s="15" t="s">
        <v>22</v>
      </c>
    </row>
    <row r="2912" spans="1:11" ht="42" customHeight="1">
      <c r="A2912" s="4" t="s">
        <v>6659</v>
      </c>
      <c r="B2912" s="5" t="s">
        <v>6660</v>
      </c>
      <c r="C2912" s="5" t="s">
        <v>75</v>
      </c>
      <c r="D2912" s="5" t="s">
        <v>43</v>
      </c>
      <c r="E2912" s="5" t="s">
        <v>434</v>
      </c>
      <c r="F2912" s="9">
        <v>74</v>
      </c>
      <c r="G2912" s="9">
        <v>768</v>
      </c>
      <c r="H2912" s="5" t="s">
        <v>20</v>
      </c>
      <c r="I2912" s="5" t="s">
        <v>6661</v>
      </c>
      <c r="J2912" s="12" t="str">
        <f>HYPERLINK("https://www.boe.es/gazeta/dias/1806/09/09/pdfs/GMD-1806-74.pdf#page=8","Abrir facsímil")</f>
        <v>Abrir facsímil</v>
      </c>
      <c r="K2912" s="15" t="s">
        <v>22</v>
      </c>
    </row>
    <row r="2913" spans="1:11" ht="42" customHeight="1">
      <c r="A2913" s="4" t="s">
        <v>6662</v>
      </c>
      <c r="B2913" s="5" t="s">
        <v>6663</v>
      </c>
      <c r="C2913" s="5" t="s">
        <v>31</v>
      </c>
      <c r="D2913" s="5" t="s">
        <v>32</v>
      </c>
      <c r="E2913" s="5" t="s">
        <v>285</v>
      </c>
      <c r="F2913" s="9">
        <v>13</v>
      </c>
      <c r="G2913" s="9">
        <v>114</v>
      </c>
      <c r="H2913" s="5" t="s">
        <v>20</v>
      </c>
      <c r="I2913" s="5" t="s">
        <v>6664</v>
      </c>
      <c r="J2913" s="12" t="str">
        <f>HYPERLINK("https://www.boe.es/gazeta/dias/1806/02/07/pdfs/GMD-1806-13.pdf#page=6","Abrir facsímil")</f>
        <v>Abrir facsímil</v>
      </c>
      <c r="K2913" s="15" t="s">
        <v>22</v>
      </c>
    </row>
    <row r="2914" spans="1:11" ht="42" customHeight="1">
      <c r="A2914" s="4" t="s">
        <v>6665</v>
      </c>
      <c r="B2914" s="5" t="s">
        <v>6665</v>
      </c>
      <c r="C2914" s="5" t="s">
        <v>17</v>
      </c>
      <c r="D2914" s="5" t="s">
        <v>18</v>
      </c>
      <c r="E2914" s="5" t="s">
        <v>580</v>
      </c>
      <c r="F2914" s="9">
        <v>23</v>
      </c>
      <c r="G2914" s="9">
        <v>219</v>
      </c>
      <c r="H2914" s="5" t="s">
        <v>20</v>
      </c>
      <c r="I2914" s="5" t="s">
        <v>6666</v>
      </c>
      <c r="J2914" s="12" t="str">
        <f>HYPERLINK("https://www.boe.es/gazeta/dias/1806/03/14/pdfs/GMD-1806-23.pdf#page=7","Abrir facsímil")</f>
        <v>Abrir facsímil</v>
      </c>
      <c r="K2914" s="15" t="s">
        <v>22</v>
      </c>
    </row>
    <row r="2915" spans="1:11" ht="42" customHeight="1">
      <c r="A2915" s="4" t="s">
        <v>6665</v>
      </c>
      <c r="B2915" s="5" t="s">
        <v>6665</v>
      </c>
      <c r="C2915" s="5" t="s">
        <v>17</v>
      </c>
      <c r="D2915" s="5" t="s">
        <v>18</v>
      </c>
      <c r="E2915" s="5" t="s">
        <v>501</v>
      </c>
      <c r="F2915" s="9">
        <v>39</v>
      </c>
      <c r="G2915" s="9">
        <v>384</v>
      </c>
      <c r="H2915" s="5" t="s">
        <v>20</v>
      </c>
      <c r="I2915" s="5" t="s">
        <v>6667</v>
      </c>
      <c r="J2915" s="12" t="str">
        <f>HYPERLINK("https://www.boe.es/gazeta/dias/1806/05/09/pdfs/GMD-1806-39.pdf#page=8","Abrir facsímil")</f>
        <v>Abrir facsímil</v>
      </c>
      <c r="K2915" s="15" t="s">
        <v>22</v>
      </c>
    </row>
    <row r="2916" spans="1:11" ht="42" customHeight="1">
      <c r="A2916" s="4" t="s">
        <v>6665</v>
      </c>
      <c r="B2916" s="5" t="s">
        <v>6665</v>
      </c>
      <c r="C2916" s="5" t="s">
        <v>17</v>
      </c>
      <c r="D2916" s="5" t="s">
        <v>18</v>
      </c>
      <c r="E2916" s="5" t="s">
        <v>309</v>
      </c>
      <c r="F2916" s="9">
        <v>41</v>
      </c>
      <c r="G2916" s="9">
        <v>408</v>
      </c>
      <c r="H2916" s="5" t="s">
        <v>20</v>
      </c>
      <c r="I2916" s="5" t="s">
        <v>6668</v>
      </c>
      <c r="J2916" s="12" t="str">
        <f>HYPERLINK("https://www.boe.es/gazeta/dias/1806/05/16/pdfs/GMD-1806-41.pdf#page=8","Abrir facsímil")</f>
        <v>Abrir facsímil</v>
      </c>
      <c r="K2916" s="15" t="s">
        <v>22</v>
      </c>
    </row>
    <row r="2917" spans="1:11" ht="42" customHeight="1">
      <c r="A2917" s="4" t="s">
        <v>6669</v>
      </c>
      <c r="B2917" s="5" t="s">
        <v>6670</v>
      </c>
      <c r="C2917" s="5" t="s">
        <v>69</v>
      </c>
      <c r="D2917" s="5" t="s">
        <v>70</v>
      </c>
      <c r="E2917" s="5" t="s">
        <v>312</v>
      </c>
      <c r="F2917" s="9">
        <v>100</v>
      </c>
      <c r="G2917" s="9">
        <v>1058</v>
      </c>
      <c r="H2917" s="5" t="s">
        <v>20</v>
      </c>
      <c r="I2917" s="5" t="s">
        <v>6671</v>
      </c>
      <c r="J2917" s="12" t="str">
        <f>HYPERLINK("https://www.boe.es/gazeta/dias/1806/12/09/pdfs/GMD-1806-100.pdf#page=2","Abrir facsímil")</f>
        <v>Abrir facsímil</v>
      </c>
      <c r="K2917" s="15" t="s">
        <v>22</v>
      </c>
    </row>
    <row r="2918" spans="1:11" ht="42" customHeight="1">
      <c r="A2918" s="4" t="s">
        <v>6672</v>
      </c>
      <c r="B2918" s="5" t="s">
        <v>6672</v>
      </c>
      <c r="C2918" s="5" t="s">
        <v>31</v>
      </c>
      <c r="D2918" s="5" t="s">
        <v>32</v>
      </c>
      <c r="E2918" s="5" t="s">
        <v>285</v>
      </c>
      <c r="F2918" s="9">
        <v>13</v>
      </c>
      <c r="G2918" s="9">
        <v>114</v>
      </c>
      <c r="H2918" s="5" t="s">
        <v>20</v>
      </c>
      <c r="I2918" s="5" t="s">
        <v>6673</v>
      </c>
      <c r="J2918" s="12" t="str">
        <f>HYPERLINK("https://www.boe.es/gazeta/dias/1806/02/07/pdfs/GMD-1806-13.pdf#page=6","Abrir facsímil")</f>
        <v>Abrir facsímil</v>
      </c>
      <c r="K2918" s="15" t="s">
        <v>22</v>
      </c>
    </row>
    <row r="2919" spans="1:11" ht="42" customHeight="1">
      <c r="A2919" s="4" t="s">
        <v>6674</v>
      </c>
      <c r="B2919" s="5" t="s">
        <v>6675</v>
      </c>
      <c r="C2919" s="5" t="s">
        <v>31</v>
      </c>
      <c r="D2919" s="5" t="s">
        <v>32</v>
      </c>
      <c r="E2919" s="5" t="s">
        <v>28</v>
      </c>
      <c r="F2919" s="9">
        <v>102</v>
      </c>
      <c r="G2919" s="9">
        <v>1085</v>
      </c>
      <c r="H2919" s="5" t="s">
        <v>20</v>
      </c>
      <c r="I2919" s="5" t="s">
        <v>6676</v>
      </c>
      <c r="J2919" s="12" t="str">
        <f>HYPERLINK("https://www.boe.es/gazeta/dias/1806/12/16/pdfs/GMD-1806-102.pdf#page=9","Abrir facsímil")</f>
        <v>Abrir facsímil</v>
      </c>
      <c r="K2919" s="15" t="s">
        <v>22</v>
      </c>
    </row>
    <row r="2920" spans="1:11" ht="42" customHeight="1">
      <c r="A2920" s="4" t="s">
        <v>6677</v>
      </c>
      <c r="B2920" s="5" t="s">
        <v>6677</v>
      </c>
      <c r="C2920" s="5" t="s">
        <v>75</v>
      </c>
      <c r="D2920" s="5" t="s">
        <v>43</v>
      </c>
      <c r="E2920" s="5" t="s">
        <v>110</v>
      </c>
      <c r="F2920" s="9">
        <v>55</v>
      </c>
      <c r="G2920" s="9">
        <v>574</v>
      </c>
      <c r="H2920" s="5" t="s">
        <v>20</v>
      </c>
      <c r="I2920" s="5" t="s">
        <v>6678</v>
      </c>
      <c r="J2920" s="12" t="str">
        <f>HYPERLINK("https://www.boe.es/gazeta/dias/1806/07/04/pdfs/GMD-1806-55.pdf#page=10","Abrir facsímil")</f>
        <v>Abrir facsímil</v>
      </c>
      <c r="K2920" s="15" t="s">
        <v>22</v>
      </c>
    </row>
    <row r="2921" spans="1:11" ht="42" customHeight="1">
      <c r="A2921" s="4" t="s">
        <v>6679</v>
      </c>
      <c r="B2921" s="5" t="s">
        <v>6679</v>
      </c>
      <c r="C2921" s="5" t="s">
        <v>36</v>
      </c>
      <c r="D2921" s="5" t="s">
        <v>37</v>
      </c>
      <c r="E2921" s="5" t="s">
        <v>271</v>
      </c>
      <c r="F2921" s="9">
        <v>6</v>
      </c>
      <c r="G2921" s="9">
        <v>56</v>
      </c>
      <c r="H2921" s="5" t="s">
        <v>20</v>
      </c>
      <c r="I2921" s="5" t="s">
        <v>6680</v>
      </c>
      <c r="J2921" s="12" t="str">
        <f>HYPERLINK("https://www.boe.es/gazeta/dias/1806/01/17/pdfs/GMD-1806-6.pdf#page=12","Abrir facsímil")</f>
        <v>Abrir facsímil</v>
      </c>
      <c r="K2921" s="15" t="s">
        <v>22</v>
      </c>
    </row>
    <row r="2922" spans="1:11" ht="42" customHeight="1">
      <c r="A2922" s="4" t="s">
        <v>6681</v>
      </c>
      <c r="B2922" s="5" t="s">
        <v>6681</v>
      </c>
      <c r="C2922" s="5" t="s">
        <v>17</v>
      </c>
      <c r="D2922" s="5" t="s">
        <v>18</v>
      </c>
      <c r="E2922" s="5" t="s">
        <v>121</v>
      </c>
      <c r="F2922" s="9">
        <v>19</v>
      </c>
      <c r="G2922" s="9">
        <v>171</v>
      </c>
      <c r="H2922" s="5" t="s">
        <v>20</v>
      </c>
      <c r="I2922" s="5" t="s">
        <v>6682</v>
      </c>
      <c r="J2922" s="12" t="str">
        <f>HYPERLINK("https://www.boe.es/gazeta/dias/1806/02/28/pdfs/GMD-1806-19.pdf#page=7","Abrir facsímil")</f>
        <v>Abrir facsímil</v>
      </c>
      <c r="K2922" s="15" t="s">
        <v>22</v>
      </c>
    </row>
    <row r="2923" spans="1:11" ht="42" customHeight="1">
      <c r="A2923" s="4" t="s">
        <v>6681</v>
      </c>
      <c r="B2923" s="5" t="s">
        <v>6681</v>
      </c>
      <c r="C2923" s="5" t="s">
        <v>31</v>
      </c>
      <c r="D2923" s="5" t="s">
        <v>32</v>
      </c>
      <c r="E2923" s="5" t="s">
        <v>55</v>
      </c>
      <c r="F2923" s="9">
        <v>20</v>
      </c>
      <c r="G2923" s="9">
        <v>184</v>
      </c>
      <c r="H2923" s="5" t="s">
        <v>20</v>
      </c>
      <c r="I2923" s="5" t="s">
        <v>6683</v>
      </c>
      <c r="J2923" s="12" t="str">
        <f>HYPERLINK("https://www.boe.es/gazeta/dias/1806/03/04/pdfs/GMD-1806-20.pdf#page=8","Abrir facsímil")</f>
        <v>Abrir facsímil</v>
      </c>
      <c r="K2923" s="15" t="s">
        <v>22</v>
      </c>
    </row>
    <row r="2924" spans="1:11" ht="42" customHeight="1">
      <c r="A2924" s="4" t="s">
        <v>6681</v>
      </c>
      <c r="B2924" s="5" t="s">
        <v>6681</v>
      </c>
      <c r="C2924" s="5" t="s">
        <v>31</v>
      </c>
      <c r="D2924" s="5" t="s">
        <v>32</v>
      </c>
      <c r="E2924" s="5" t="s">
        <v>837</v>
      </c>
      <c r="F2924" s="9">
        <v>26</v>
      </c>
      <c r="G2924" s="9">
        <v>258</v>
      </c>
      <c r="H2924" s="5" t="s">
        <v>20</v>
      </c>
      <c r="I2924" s="5" t="s">
        <v>6684</v>
      </c>
      <c r="J2924" s="12" t="str">
        <f>HYPERLINK("https://www.boe.es/gazeta/dias/1806/03/25/pdfs/GMD-1806-26.pdf#page=10","Abrir facsímil")</f>
        <v>Abrir facsímil</v>
      </c>
      <c r="K2924" s="15" t="s">
        <v>22</v>
      </c>
    </row>
    <row r="2925" spans="1:11" ht="42" customHeight="1">
      <c r="A2925" s="4" t="s">
        <v>6681</v>
      </c>
      <c r="B2925" s="5" t="s">
        <v>6681</v>
      </c>
      <c r="C2925" s="5" t="s">
        <v>75</v>
      </c>
      <c r="D2925" s="5" t="s">
        <v>43</v>
      </c>
      <c r="E2925" s="5" t="s">
        <v>306</v>
      </c>
      <c r="F2925" s="9">
        <v>59</v>
      </c>
      <c r="G2925" s="9">
        <v>613</v>
      </c>
      <c r="H2925" s="5" t="s">
        <v>20</v>
      </c>
      <c r="I2925" s="5" t="s">
        <v>6685</v>
      </c>
      <c r="J2925" s="12" t="str">
        <f>HYPERLINK("https://www.boe.es/gazeta/dias/1806/07/18/pdfs/GMD-1806-59.pdf#page=9","Abrir facsímil")</f>
        <v>Abrir facsímil</v>
      </c>
      <c r="K2925" s="15" t="s">
        <v>22</v>
      </c>
    </row>
    <row r="2926" spans="1:11" ht="42" customHeight="1">
      <c r="A2926" s="4" t="s">
        <v>6681</v>
      </c>
      <c r="B2926" s="5" t="s">
        <v>6681</v>
      </c>
      <c r="C2926" s="5" t="s">
        <v>31</v>
      </c>
      <c r="D2926" s="5" t="s">
        <v>32</v>
      </c>
      <c r="E2926" s="5" t="s">
        <v>301</v>
      </c>
      <c r="F2926" s="9">
        <v>75</v>
      </c>
      <c r="G2926" s="9">
        <v>777</v>
      </c>
      <c r="H2926" s="5" t="s">
        <v>20</v>
      </c>
      <c r="I2926" s="5" t="s">
        <v>6686</v>
      </c>
      <c r="J2926" s="12" t="str">
        <f>HYPERLINK("https://www.boe.es/gazeta/dias/1806/09/12/pdfs/GMD-1806-75.pdf#page=9","Abrir facsímil")</f>
        <v>Abrir facsímil</v>
      </c>
      <c r="K2926" s="15" t="s">
        <v>22</v>
      </c>
    </row>
    <row r="2927" spans="1:11" ht="42" customHeight="1">
      <c r="A2927" s="4" t="s">
        <v>6681</v>
      </c>
      <c r="B2927" s="5" t="s">
        <v>6681</v>
      </c>
      <c r="C2927" s="5" t="s">
        <v>42</v>
      </c>
      <c r="D2927" s="5" t="s">
        <v>43</v>
      </c>
      <c r="E2927" s="5" t="s">
        <v>312</v>
      </c>
      <c r="F2927" s="9">
        <v>100</v>
      </c>
      <c r="G2927" s="9">
        <v>1066</v>
      </c>
      <c r="H2927" s="5" t="s">
        <v>20</v>
      </c>
      <c r="I2927" s="5" t="s">
        <v>6687</v>
      </c>
      <c r="J2927" s="12" t="str">
        <f>HYPERLINK("https://www.boe.es/gazeta/dias/1806/12/09/pdfs/GMD-1806-100.pdf#page=10","Abrir facsímil")</f>
        <v>Abrir facsímil</v>
      </c>
      <c r="K2927" s="15" t="s">
        <v>22</v>
      </c>
    </row>
    <row r="2928" spans="1:11" ht="42" customHeight="1">
      <c r="A2928" s="4" t="s">
        <v>6688</v>
      </c>
      <c r="B2928" s="5" t="s">
        <v>6688</v>
      </c>
      <c r="C2928" s="5" t="s">
        <v>36</v>
      </c>
      <c r="D2928" s="5" t="s">
        <v>37</v>
      </c>
      <c r="E2928" s="5" t="s">
        <v>213</v>
      </c>
      <c r="F2928" s="9">
        <v>73</v>
      </c>
      <c r="G2928" s="9">
        <v>759</v>
      </c>
      <c r="H2928" s="5" t="s">
        <v>20</v>
      </c>
      <c r="I2928" s="5" t="s">
        <v>6689</v>
      </c>
      <c r="J2928" s="12" t="str">
        <f>HYPERLINK("https://www.boe.es/gazeta/dias/1806/09/05/pdfs/GMD-1806-73.pdf#page=7","Abrir facsímil")</f>
        <v>Abrir facsímil</v>
      </c>
      <c r="K2928" s="15" t="s">
        <v>22</v>
      </c>
    </row>
    <row r="2929" spans="1:11" ht="42" customHeight="1">
      <c r="A2929" s="4" t="s">
        <v>6690</v>
      </c>
      <c r="B2929" s="5" t="s">
        <v>6690</v>
      </c>
      <c r="C2929" s="5" t="s">
        <v>75</v>
      </c>
      <c r="D2929" s="5" t="s">
        <v>43</v>
      </c>
      <c r="E2929" s="5" t="s">
        <v>195</v>
      </c>
      <c r="F2929" s="9">
        <v>4</v>
      </c>
      <c r="G2929" s="9">
        <v>39</v>
      </c>
      <c r="H2929" s="5" t="s">
        <v>20</v>
      </c>
      <c r="I2929" s="5" t="s">
        <v>6691</v>
      </c>
      <c r="J2929" s="12" t="str">
        <f>HYPERLINK("https://www.boe.es/gazeta/dias/1806/01/14/pdfs/GMD-1806-4.pdf#page=11","Abrir facsímil")</f>
        <v>Abrir facsímil</v>
      </c>
      <c r="K2929" s="15" t="s">
        <v>22</v>
      </c>
    </row>
    <row r="2930" spans="1:11" ht="42" customHeight="1">
      <c r="A2930" s="4" t="s">
        <v>6692</v>
      </c>
      <c r="B2930" s="5" t="s">
        <v>6692</v>
      </c>
      <c r="C2930" s="5" t="s">
        <v>17</v>
      </c>
      <c r="D2930" s="5" t="s">
        <v>18</v>
      </c>
      <c r="E2930" s="5" t="s">
        <v>238</v>
      </c>
      <c r="F2930" s="9">
        <v>18</v>
      </c>
      <c r="G2930" s="9">
        <v>160</v>
      </c>
      <c r="H2930" s="5" t="s">
        <v>20</v>
      </c>
      <c r="I2930" s="5" t="s">
        <v>6693</v>
      </c>
      <c r="J2930" s="12" t="str">
        <f>HYPERLINK("https://www.boe.es/gazeta/dias/1806/02/25/pdfs/GMD-1806-18.pdf#page=8","Abrir facsímil")</f>
        <v>Abrir facsímil</v>
      </c>
      <c r="K2930" s="15" t="s">
        <v>22</v>
      </c>
    </row>
    <row r="2931" spans="1:11" ht="42" customHeight="1">
      <c r="A2931" s="4" t="s">
        <v>6694</v>
      </c>
      <c r="B2931" s="5" t="s">
        <v>6694</v>
      </c>
      <c r="C2931" s="5" t="s">
        <v>31</v>
      </c>
      <c r="D2931" s="5" t="s">
        <v>32</v>
      </c>
      <c r="E2931" s="5" t="s">
        <v>172</v>
      </c>
      <c r="F2931" s="9">
        <v>17</v>
      </c>
      <c r="G2931" s="9">
        <v>151</v>
      </c>
      <c r="H2931" s="5" t="s">
        <v>20</v>
      </c>
      <c r="I2931" s="5" t="s">
        <v>6695</v>
      </c>
      <c r="J2931" s="12" t="str">
        <f>HYPERLINK("https://www.boe.es/gazeta/dias/1806/02/21/pdfs/GMD-1806-17.pdf#page=7","Abrir facsímil")</f>
        <v>Abrir facsímil</v>
      </c>
      <c r="K2931" s="15" t="s">
        <v>22</v>
      </c>
    </row>
    <row r="2932" spans="1:11" ht="42" customHeight="1">
      <c r="A2932" s="4" t="s">
        <v>6696</v>
      </c>
      <c r="B2932" s="5" t="s">
        <v>6696</v>
      </c>
      <c r="C2932" s="5" t="s">
        <v>447</v>
      </c>
      <c r="D2932" s="5" t="s">
        <v>448</v>
      </c>
      <c r="E2932" s="5" t="s">
        <v>304</v>
      </c>
      <c r="F2932" s="9">
        <v>47</v>
      </c>
      <c r="G2932" s="9">
        <v>486</v>
      </c>
      <c r="H2932" s="5" t="s">
        <v>20</v>
      </c>
      <c r="I2932" s="5" t="s">
        <v>6697</v>
      </c>
      <c r="J2932" s="12" t="str">
        <f>HYPERLINK("https://www.boe.es/gazeta/dias/1806/06/06/pdfs/GMD-C-1806-47.pdf#page=6","Abrir facsímil")</f>
        <v>Abrir facsímil</v>
      </c>
      <c r="K2932" s="15" t="s">
        <v>22</v>
      </c>
    </row>
    <row r="2933" spans="1:11" ht="42" customHeight="1">
      <c r="A2933" s="4" t="s">
        <v>6698</v>
      </c>
      <c r="B2933" s="5" t="s">
        <v>6699</v>
      </c>
      <c r="C2933" s="5" t="s">
        <v>36</v>
      </c>
      <c r="D2933" s="5" t="s">
        <v>37</v>
      </c>
      <c r="E2933" s="5" t="s">
        <v>340</v>
      </c>
      <c r="F2933" s="9">
        <v>31</v>
      </c>
      <c r="G2933" s="9">
        <v>308</v>
      </c>
      <c r="H2933" s="5" t="s">
        <v>20</v>
      </c>
      <c r="I2933" s="5" t="s">
        <v>6700</v>
      </c>
      <c r="J2933" s="12" t="str">
        <f>HYPERLINK("https://www.boe.es/gazeta/dias/1806/04/11/pdfs/GMD-1806-31.pdf#page=12","Abrir facsímil")</f>
        <v>Abrir facsímil</v>
      </c>
      <c r="K2933" s="15" t="s">
        <v>22</v>
      </c>
    </row>
    <row r="2934" spans="1:11" ht="42" customHeight="1">
      <c r="A2934" s="4" t="s">
        <v>6701</v>
      </c>
      <c r="B2934" s="5" t="s">
        <v>6702</v>
      </c>
      <c r="C2934" s="5" t="s">
        <v>42</v>
      </c>
      <c r="D2934" s="5" t="s">
        <v>43</v>
      </c>
      <c r="E2934" s="5" t="s">
        <v>297</v>
      </c>
      <c r="F2934" s="9">
        <v>94</v>
      </c>
      <c r="G2934" s="9">
        <v>989</v>
      </c>
      <c r="H2934" s="5" t="s">
        <v>20</v>
      </c>
      <c r="I2934" s="5" t="s">
        <v>6703</v>
      </c>
      <c r="J2934" s="12" t="str">
        <f>HYPERLINK("https://www.boe.es/gazeta/dias/1806/11/18/pdfs/GMD-1806-94.pdf#page=9","Abrir facsímil")</f>
        <v>Abrir facsímil</v>
      </c>
      <c r="K2934" s="15" t="s">
        <v>22</v>
      </c>
    </row>
    <row r="2935" spans="1:11" ht="42" customHeight="1">
      <c r="A2935" s="4" t="s">
        <v>6704</v>
      </c>
      <c r="B2935" s="5" t="s">
        <v>6704</v>
      </c>
      <c r="C2935" s="5" t="s">
        <v>42</v>
      </c>
      <c r="D2935" s="5" t="s">
        <v>43</v>
      </c>
      <c r="E2935" s="5" t="s">
        <v>304</v>
      </c>
      <c r="F2935" s="9">
        <v>47</v>
      </c>
      <c r="G2935" s="9">
        <v>478</v>
      </c>
      <c r="H2935" s="5" t="s">
        <v>20</v>
      </c>
      <c r="I2935" s="5" t="s">
        <v>6705</v>
      </c>
      <c r="J2935" s="12" t="str">
        <f>HYPERLINK("https://www.boe.es/gazeta/dias/1806/06/06/pdfs/GMD-1806-47.pdf#page=6","Abrir facsímil")</f>
        <v>Abrir facsímil</v>
      </c>
      <c r="K2935" s="15" t="s">
        <v>22</v>
      </c>
    </row>
    <row r="2936" spans="1:11" ht="42" customHeight="1">
      <c r="A2936" s="4" t="s">
        <v>6706</v>
      </c>
      <c r="B2936" s="5" t="s">
        <v>6706</v>
      </c>
      <c r="C2936" s="5" t="s">
        <v>36</v>
      </c>
      <c r="D2936" s="5" t="s">
        <v>37</v>
      </c>
      <c r="E2936" s="5" t="s">
        <v>383</v>
      </c>
      <c r="F2936" s="9">
        <v>54</v>
      </c>
      <c r="G2936" s="9">
        <v>563</v>
      </c>
      <c r="H2936" s="5" t="s">
        <v>20</v>
      </c>
      <c r="I2936" s="5" t="s">
        <v>6707</v>
      </c>
      <c r="J2936" s="12" t="str">
        <f>HYPERLINK("https://www.boe.es/gazeta/dias/1806/07/01/pdfs/GMD-1806-54.pdf#page=7","Abrir facsímil")</f>
        <v>Abrir facsímil</v>
      </c>
      <c r="K2936" s="15" t="s">
        <v>22</v>
      </c>
    </row>
    <row r="2937" spans="1:11" ht="42" customHeight="1">
      <c r="A2937" s="4" t="s">
        <v>6706</v>
      </c>
      <c r="B2937" s="5" t="s">
        <v>6706</v>
      </c>
      <c r="C2937" s="5" t="s">
        <v>31</v>
      </c>
      <c r="D2937" s="5" t="s">
        <v>32</v>
      </c>
      <c r="E2937" s="5" t="s">
        <v>245</v>
      </c>
      <c r="F2937" s="9">
        <v>106</v>
      </c>
      <c r="G2937" s="9">
        <v>1124</v>
      </c>
      <c r="H2937" s="5" t="s">
        <v>20</v>
      </c>
      <c r="I2937" s="5" t="s">
        <v>6708</v>
      </c>
      <c r="J2937" s="12" t="str">
        <f>HYPERLINK("https://www.boe.es/gazeta/dias/1806/12/26/pdfs/GMD-1806-106.pdf#page=8","Abrir facsímil")</f>
        <v>Abrir facsímil</v>
      </c>
      <c r="K2937" s="15" t="s">
        <v>22</v>
      </c>
    </row>
    <row r="2938" spans="1:11" ht="42" customHeight="1">
      <c r="A2938" s="4" t="s">
        <v>6709</v>
      </c>
      <c r="B2938" s="5" t="s">
        <v>6709</v>
      </c>
      <c r="C2938" s="5" t="s">
        <v>42</v>
      </c>
      <c r="D2938" s="5" t="s">
        <v>43</v>
      </c>
      <c r="E2938" s="5" t="s">
        <v>33</v>
      </c>
      <c r="F2938" s="9">
        <v>82</v>
      </c>
      <c r="G2938" s="9">
        <v>849</v>
      </c>
      <c r="H2938" s="5" t="s">
        <v>20</v>
      </c>
      <c r="I2938" s="5" t="s">
        <v>6710</v>
      </c>
      <c r="J2938" s="12" t="str">
        <f>HYPERLINK("https://www.boe.es/gazeta/dias/1806/10/07/pdfs/GMD-1806-82.pdf#page=9","Abrir facsímil")</f>
        <v>Abrir facsímil</v>
      </c>
      <c r="K2938" s="15" t="s">
        <v>22</v>
      </c>
    </row>
    <row r="2939" spans="1:11" ht="42" customHeight="1">
      <c r="A2939" s="4" t="s">
        <v>6711</v>
      </c>
      <c r="B2939" s="5" t="s">
        <v>6711</v>
      </c>
      <c r="C2939" s="5" t="s">
        <v>42</v>
      </c>
      <c r="D2939" s="5" t="s">
        <v>43</v>
      </c>
      <c r="E2939" s="5" t="s">
        <v>82</v>
      </c>
      <c r="F2939" s="9">
        <v>48</v>
      </c>
      <c r="G2939" s="9">
        <v>496</v>
      </c>
      <c r="H2939" s="5" t="s">
        <v>20</v>
      </c>
      <c r="I2939" s="5" t="s">
        <v>6712</v>
      </c>
      <c r="J2939" s="12" t="str">
        <f>HYPERLINK("https://www.boe.es/gazeta/dias/1806/06/10/pdfs/GMD-1806-48.pdf#page=8","Abrir facsímil")</f>
        <v>Abrir facsímil</v>
      </c>
      <c r="K2939" s="15" t="s">
        <v>22</v>
      </c>
    </row>
    <row r="2940" spans="1:11" ht="42" customHeight="1">
      <c r="A2940" s="4" t="s">
        <v>6713</v>
      </c>
      <c r="B2940" s="5" t="s">
        <v>6713</v>
      </c>
      <c r="C2940" s="5" t="s">
        <v>31</v>
      </c>
      <c r="D2940" s="5" t="s">
        <v>32</v>
      </c>
      <c r="E2940" s="5" t="s">
        <v>494</v>
      </c>
      <c r="F2940" s="9">
        <v>69</v>
      </c>
      <c r="G2940" s="9">
        <v>721</v>
      </c>
      <c r="H2940" s="5" t="s">
        <v>20</v>
      </c>
      <c r="I2940" s="5" t="s">
        <v>6714</v>
      </c>
      <c r="J2940" s="12" t="str">
        <f>HYPERLINK("https://www.boe.es/gazeta/dias/1806/08/22/pdfs/GMD-1806-69.pdf#page=9","Abrir facsímil")</f>
        <v>Abrir facsímil</v>
      </c>
      <c r="K2940" s="15" t="s">
        <v>22</v>
      </c>
    </row>
    <row r="2941" spans="1:11" ht="42" customHeight="1">
      <c r="A2941" s="4" t="s">
        <v>6715</v>
      </c>
      <c r="B2941" s="5" t="s">
        <v>6715</v>
      </c>
      <c r="C2941" s="5" t="s">
        <v>31</v>
      </c>
      <c r="D2941" s="5" t="s">
        <v>32</v>
      </c>
      <c r="E2941" s="5" t="s">
        <v>205</v>
      </c>
      <c r="F2941" s="9">
        <v>57</v>
      </c>
      <c r="G2941" s="9">
        <v>594</v>
      </c>
      <c r="H2941" s="5" t="s">
        <v>20</v>
      </c>
      <c r="I2941" s="5" t="s">
        <v>6716</v>
      </c>
      <c r="J2941" s="12" t="str">
        <f>HYPERLINK("https://www.boe.es/gazeta/dias/1806/07/11/pdfs/GMD-1806-57.pdf#page=6","Abrir facsímil")</f>
        <v>Abrir facsímil</v>
      </c>
      <c r="K2941" s="15" t="s">
        <v>22</v>
      </c>
    </row>
    <row r="2942" spans="1:11" ht="42" customHeight="1">
      <c r="A2942" s="4" t="s">
        <v>6717</v>
      </c>
      <c r="B2942" s="5" t="s">
        <v>6717</v>
      </c>
      <c r="C2942" s="5" t="s">
        <v>42</v>
      </c>
      <c r="D2942" s="5" t="s">
        <v>43</v>
      </c>
      <c r="E2942" s="5" t="s">
        <v>570</v>
      </c>
      <c r="F2942" s="9">
        <v>93</v>
      </c>
      <c r="G2942" s="9">
        <v>978</v>
      </c>
      <c r="H2942" s="5" t="s">
        <v>20</v>
      </c>
      <c r="I2942" s="5" t="s">
        <v>6718</v>
      </c>
      <c r="J2942" s="12" t="str">
        <f>HYPERLINK("https://www.boe.es/gazeta/dias/1806/11/14/pdfs/GMD-1806-93.pdf#page=14","Abrir facsímil")</f>
        <v>Abrir facsímil</v>
      </c>
      <c r="K2942" s="15" t="s">
        <v>22</v>
      </c>
    </row>
    <row r="2943" spans="1:11" ht="42" customHeight="1">
      <c r="A2943" s="4" t="s">
        <v>6719</v>
      </c>
      <c r="B2943" s="5" t="s">
        <v>6719</v>
      </c>
      <c r="C2943" s="5" t="s">
        <v>31</v>
      </c>
      <c r="D2943" s="5" t="s">
        <v>32</v>
      </c>
      <c r="E2943" s="5" t="s">
        <v>304</v>
      </c>
      <c r="F2943" s="9">
        <v>47</v>
      </c>
      <c r="G2943" s="9">
        <v>478</v>
      </c>
      <c r="H2943" s="5" t="s">
        <v>20</v>
      </c>
      <c r="I2943" s="5" t="s">
        <v>6720</v>
      </c>
      <c r="J2943" s="12" t="str">
        <f>HYPERLINK("https://www.boe.es/gazeta/dias/1806/06/06/pdfs/GMD-1806-47.pdf#page=6","Abrir facsímil")</f>
        <v>Abrir facsímil</v>
      </c>
      <c r="K2943" s="15" t="s">
        <v>22</v>
      </c>
    </row>
    <row r="2944" spans="1:11" ht="42" customHeight="1">
      <c r="A2944" s="4" t="s">
        <v>6721</v>
      </c>
      <c r="B2944" s="5" t="s">
        <v>6721</v>
      </c>
      <c r="C2944" s="5" t="s">
        <v>31</v>
      </c>
      <c r="D2944" s="5" t="s">
        <v>32</v>
      </c>
      <c r="E2944" s="5" t="s">
        <v>312</v>
      </c>
      <c r="F2944" s="9">
        <v>100</v>
      </c>
      <c r="G2944" s="9">
        <v>1065</v>
      </c>
      <c r="H2944" s="5" t="s">
        <v>20</v>
      </c>
      <c r="I2944" s="5" t="s">
        <v>6722</v>
      </c>
      <c r="J2944" s="12" t="str">
        <f>HYPERLINK("https://www.boe.es/gazeta/dias/1806/12/09/pdfs/GMD-1806-100.pdf#page=9","Abrir facsímil")</f>
        <v>Abrir facsímil</v>
      </c>
      <c r="K2944" s="15" t="s">
        <v>22</v>
      </c>
    </row>
    <row r="2945" spans="1:11" ht="42" customHeight="1">
      <c r="A2945" s="4" t="s">
        <v>6723</v>
      </c>
      <c r="B2945" s="5" t="s">
        <v>6723</v>
      </c>
      <c r="C2945" s="5" t="s">
        <v>31</v>
      </c>
      <c r="D2945" s="5" t="s">
        <v>32</v>
      </c>
      <c r="E2945" s="5" t="s">
        <v>290</v>
      </c>
      <c r="F2945" s="9">
        <v>1</v>
      </c>
      <c r="G2945" s="9">
        <v>10</v>
      </c>
      <c r="H2945" s="5" t="s">
        <v>20</v>
      </c>
      <c r="I2945" s="5" t="s">
        <v>6724</v>
      </c>
      <c r="J2945" s="12" t="str">
        <f>HYPERLINK("https://www.boe.es/gazeta/dias/1806/01/03/pdfs/GMD-1806-1.pdf#page=10","Abrir facsímil")</f>
        <v>Abrir facsímil</v>
      </c>
      <c r="K2945" s="15" t="s">
        <v>22</v>
      </c>
    </row>
    <row r="2946" spans="1:11" ht="42" customHeight="1">
      <c r="A2946" s="4" t="s">
        <v>6725</v>
      </c>
      <c r="B2946" s="5" t="s">
        <v>6725</v>
      </c>
      <c r="C2946" s="5" t="s">
        <v>75</v>
      </c>
      <c r="D2946" s="5" t="s">
        <v>43</v>
      </c>
      <c r="E2946" s="5" t="s">
        <v>195</v>
      </c>
      <c r="F2946" s="9">
        <v>4</v>
      </c>
      <c r="G2946" s="9">
        <v>38</v>
      </c>
      <c r="H2946" s="5" t="s">
        <v>20</v>
      </c>
      <c r="I2946" s="5" t="s">
        <v>6726</v>
      </c>
      <c r="J2946" s="12" t="str">
        <f>HYPERLINK("https://www.boe.es/gazeta/dias/1806/01/14/pdfs/GMD-1806-4.pdf#page=10","Abrir facsímil")</f>
        <v>Abrir facsímil</v>
      </c>
      <c r="K2946" s="15" t="s">
        <v>22</v>
      </c>
    </row>
    <row r="2947" spans="1:11" ht="42" customHeight="1">
      <c r="A2947" s="4" t="s">
        <v>6725</v>
      </c>
      <c r="B2947" s="5" t="s">
        <v>6725</v>
      </c>
      <c r="C2947" s="5" t="s">
        <v>75</v>
      </c>
      <c r="D2947" s="5" t="s">
        <v>43</v>
      </c>
      <c r="E2947" s="5" t="s">
        <v>285</v>
      </c>
      <c r="F2947" s="9">
        <v>13</v>
      </c>
      <c r="G2947" s="9">
        <v>115</v>
      </c>
      <c r="H2947" s="5" t="s">
        <v>20</v>
      </c>
      <c r="I2947" s="5" t="s">
        <v>6727</v>
      </c>
      <c r="J2947" s="12" t="str">
        <f>HYPERLINK("https://www.boe.es/gazeta/dias/1806/02/07/pdfs/GMD-1806-13.pdf#page=7","Abrir facsímil")</f>
        <v>Abrir facsímil</v>
      </c>
      <c r="K2947" s="15" t="s">
        <v>22</v>
      </c>
    </row>
    <row r="2948" spans="1:11" ht="42" customHeight="1">
      <c r="A2948" s="4" t="s">
        <v>6725</v>
      </c>
      <c r="B2948" s="5" t="s">
        <v>6725</v>
      </c>
      <c r="C2948" s="5" t="s">
        <v>75</v>
      </c>
      <c r="D2948" s="5" t="s">
        <v>43</v>
      </c>
      <c r="E2948" s="5" t="s">
        <v>245</v>
      </c>
      <c r="F2948" s="9">
        <v>106</v>
      </c>
      <c r="G2948" s="9">
        <v>1123</v>
      </c>
      <c r="H2948" s="5" t="s">
        <v>20</v>
      </c>
      <c r="I2948" s="5" t="s">
        <v>6728</v>
      </c>
      <c r="J2948" s="12" t="str">
        <f>HYPERLINK("https://www.boe.es/gazeta/dias/1806/12/26/pdfs/GMD-1806-106.pdf#page=7","Abrir facsímil")</f>
        <v>Abrir facsímil</v>
      </c>
      <c r="K2948" s="15" t="s">
        <v>22</v>
      </c>
    </row>
    <row r="2949" spans="1:11" ht="42" customHeight="1">
      <c r="A2949" s="4" t="s">
        <v>6729</v>
      </c>
      <c r="B2949" s="5" t="s">
        <v>6729</v>
      </c>
      <c r="C2949" s="5" t="s">
        <v>75</v>
      </c>
      <c r="D2949" s="5" t="s">
        <v>43</v>
      </c>
      <c r="E2949" s="5" t="s">
        <v>340</v>
      </c>
      <c r="F2949" s="9">
        <v>31</v>
      </c>
      <c r="G2949" s="9">
        <v>306</v>
      </c>
      <c r="H2949" s="5" t="s">
        <v>20</v>
      </c>
      <c r="I2949" s="5" t="s">
        <v>6730</v>
      </c>
      <c r="J2949" s="12" t="str">
        <f>HYPERLINK("https://www.boe.es/gazeta/dias/1806/04/11/pdfs/GMD-1806-31.pdf#page=10","Abrir facsímil")</f>
        <v>Abrir facsímil</v>
      </c>
      <c r="K2949" s="15" t="s">
        <v>22</v>
      </c>
    </row>
    <row r="2950" spans="1:11" ht="42" customHeight="1">
      <c r="A2950" s="4" t="s">
        <v>6731</v>
      </c>
      <c r="B2950" s="5" t="s">
        <v>6731</v>
      </c>
      <c r="C2950" s="5" t="s">
        <v>75</v>
      </c>
      <c r="D2950" s="5" t="s">
        <v>43</v>
      </c>
      <c r="E2950" s="5" t="s">
        <v>124</v>
      </c>
      <c r="F2950" s="9">
        <v>25</v>
      </c>
      <c r="G2950" s="9">
        <v>246</v>
      </c>
      <c r="H2950" s="5" t="s">
        <v>20</v>
      </c>
      <c r="I2950" s="5" t="s">
        <v>6732</v>
      </c>
      <c r="J2950" s="12" t="str">
        <f>HYPERLINK("https://www.boe.es/gazeta/dias/1806/03/21/pdfs/GMD-1806-25.pdf#page=10","Abrir facsímil")</f>
        <v>Abrir facsímil</v>
      </c>
      <c r="K2950" s="15" t="s">
        <v>22</v>
      </c>
    </row>
    <row r="2951" spans="1:11" ht="42" customHeight="1">
      <c r="A2951" s="4" t="s">
        <v>6731</v>
      </c>
      <c r="B2951" s="5" t="s">
        <v>6731</v>
      </c>
      <c r="C2951" s="5" t="s">
        <v>75</v>
      </c>
      <c r="D2951" s="5" t="s">
        <v>43</v>
      </c>
      <c r="E2951" s="5" t="s">
        <v>44</v>
      </c>
      <c r="F2951" s="9">
        <v>42</v>
      </c>
      <c r="G2951" s="9">
        <v>422</v>
      </c>
      <c r="H2951" s="5" t="s">
        <v>20</v>
      </c>
      <c r="I2951" s="5" t="s">
        <v>6733</v>
      </c>
      <c r="J2951" s="12" t="str">
        <f>HYPERLINK("https://www.boe.es/gazeta/dias/1806/05/20/pdfs/GMD-1806-42.pdf#page=10","Abrir facsímil")</f>
        <v>Abrir facsímil</v>
      </c>
      <c r="K2951" s="15" t="s">
        <v>22</v>
      </c>
    </row>
    <row r="2952" spans="1:11" ht="42" customHeight="1">
      <c r="A2952" s="4" t="s">
        <v>6734</v>
      </c>
      <c r="B2952" s="5" t="s">
        <v>6734</v>
      </c>
      <c r="C2952" s="5" t="s">
        <v>31</v>
      </c>
      <c r="D2952" s="5" t="s">
        <v>32</v>
      </c>
      <c r="E2952" s="5" t="s">
        <v>837</v>
      </c>
      <c r="F2952" s="9">
        <v>26</v>
      </c>
      <c r="G2952" s="9">
        <v>259</v>
      </c>
      <c r="H2952" s="5" t="s">
        <v>20</v>
      </c>
      <c r="I2952" s="5" t="s">
        <v>6735</v>
      </c>
      <c r="J2952" s="12" t="str">
        <f>HYPERLINK("https://www.boe.es/gazeta/dias/1806/03/25/pdfs/GMD-1806-26.pdf#page=11","Abrir facsímil")</f>
        <v>Abrir facsímil</v>
      </c>
      <c r="K2952" s="15" t="s">
        <v>22</v>
      </c>
    </row>
    <row r="2953" spans="1:11" ht="42" customHeight="1">
      <c r="A2953" s="4" t="s">
        <v>6736</v>
      </c>
      <c r="B2953" s="5" t="s">
        <v>6736</v>
      </c>
      <c r="C2953" s="5" t="s">
        <v>42</v>
      </c>
      <c r="D2953" s="5" t="s">
        <v>43</v>
      </c>
      <c r="E2953" s="5" t="s">
        <v>181</v>
      </c>
      <c r="F2953" s="9">
        <v>99</v>
      </c>
      <c r="G2953" s="9">
        <v>1053</v>
      </c>
      <c r="H2953" s="5" t="s">
        <v>20</v>
      </c>
      <c r="I2953" s="5" t="s">
        <v>6737</v>
      </c>
      <c r="J2953" s="12" t="str">
        <f>HYPERLINK("https://www.boe.es/gazeta/dias/1806/12/05/pdfs/GMD-1806-99.pdf#page=9","Abrir facsímil")</f>
        <v>Abrir facsímil</v>
      </c>
      <c r="K2953" s="15" t="s">
        <v>22</v>
      </c>
    </row>
    <row r="2954" spans="1:11" ht="42" customHeight="1">
      <c r="A2954" s="4" t="s">
        <v>6738</v>
      </c>
      <c r="B2954" s="5" t="s">
        <v>6738</v>
      </c>
      <c r="C2954" s="5" t="s">
        <v>31</v>
      </c>
      <c r="D2954" s="5" t="s">
        <v>32</v>
      </c>
      <c r="E2954" s="5" t="s">
        <v>946</v>
      </c>
      <c r="F2954" s="9" t="s">
        <v>947</v>
      </c>
      <c r="G2954" s="9">
        <v>1115</v>
      </c>
      <c r="H2954" s="5" t="s">
        <v>20</v>
      </c>
      <c r="I2954" s="5" t="s">
        <v>6739</v>
      </c>
      <c r="J2954" s="12" t="str">
        <f>HYPERLINK("https://www.boe.es/gazeta/dias/1806/12/24/pdfs/GMD-1806-105E.pdf#page=3","Abrir facsímil")</f>
        <v>Abrir facsímil</v>
      </c>
      <c r="K2954" s="15" t="s">
        <v>22</v>
      </c>
    </row>
    <row r="2955" spans="1:11" ht="42" customHeight="1">
      <c r="A2955" s="4" t="s">
        <v>6740</v>
      </c>
      <c r="B2955" s="5" t="s">
        <v>6740</v>
      </c>
      <c r="C2955" s="5" t="s">
        <v>31</v>
      </c>
      <c r="D2955" s="5" t="s">
        <v>32</v>
      </c>
      <c r="E2955" s="5" t="s">
        <v>195</v>
      </c>
      <c r="F2955" s="9">
        <v>4</v>
      </c>
      <c r="G2955" s="9">
        <v>37</v>
      </c>
      <c r="H2955" s="5" t="s">
        <v>20</v>
      </c>
      <c r="I2955" s="5" t="s">
        <v>6741</v>
      </c>
      <c r="J2955" s="12" t="str">
        <f>HYPERLINK("https://www.boe.es/gazeta/dias/1806/01/14/pdfs/GMD-1806-4.pdf#page=9","Abrir facsímil")</f>
        <v>Abrir facsímil</v>
      </c>
      <c r="K2955" s="15" t="s">
        <v>22</v>
      </c>
    </row>
    <row r="2956" spans="1:11" ht="42" customHeight="1">
      <c r="A2956" s="4" t="s">
        <v>6742</v>
      </c>
      <c r="B2956" s="5" t="s">
        <v>6742</v>
      </c>
      <c r="C2956" s="5" t="s">
        <v>31</v>
      </c>
      <c r="D2956" s="5" t="s">
        <v>32</v>
      </c>
      <c r="E2956" s="5" t="s">
        <v>28</v>
      </c>
      <c r="F2956" s="9">
        <v>102</v>
      </c>
      <c r="G2956" s="9">
        <v>1085</v>
      </c>
      <c r="H2956" s="5" t="s">
        <v>20</v>
      </c>
      <c r="I2956" s="5" t="s">
        <v>6743</v>
      </c>
      <c r="J2956" s="12" t="str">
        <f>HYPERLINK("https://www.boe.es/gazeta/dias/1806/12/16/pdfs/GMD-1806-102.pdf#page=9","Abrir facsímil")</f>
        <v>Abrir facsímil</v>
      </c>
      <c r="K2956" s="15" t="s">
        <v>22</v>
      </c>
    </row>
    <row r="2957" spans="1:11" ht="42" customHeight="1">
      <c r="A2957" s="4" t="s">
        <v>6744</v>
      </c>
      <c r="B2957" s="5" t="s">
        <v>6744</v>
      </c>
      <c r="C2957" s="5" t="s">
        <v>36</v>
      </c>
      <c r="D2957" s="5" t="s">
        <v>37</v>
      </c>
      <c r="E2957" s="5" t="s">
        <v>140</v>
      </c>
      <c r="F2957" s="9">
        <v>83</v>
      </c>
      <c r="G2957" s="9">
        <v>859</v>
      </c>
      <c r="H2957" s="5" t="s">
        <v>20</v>
      </c>
      <c r="I2957" s="5" t="s">
        <v>6745</v>
      </c>
      <c r="J2957" s="12" t="str">
        <f>HYPERLINK("https://www.boe.es/gazeta/dias/1806/10/10/pdfs/GMD-1806-83.pdf#page=7","Abrir facsímil")</f>
        <v>Abrir facsímil</v>
      </c>
      <c r="K2957" s="15" t="s">
        <v>22</v>
      </c>
    </row>
    <row r="2958" spans="1:11" ht="42" customHeight="1">
      <c r="A2958" s="4" t="s">
        <v>6746</v>
      </c>
      <c r="B2958" s="5" t="s">
        <v>6746</v>
      </c>
      <c r="C2958" s="5" t="s">
        <v>31</v>
      </c>
      <c r="D2958" s="5" t="s">
        <v>32</v>
      </c>
      <c r="E2958" s="5" t="s">
        <v>55</v>
      </c>
      <c r="F2958" s="9">
        <v>20</v>
      </c>
      <c r="G2958" s="9">
        <v>185</v>
      </c>
      <c r="H2958" s="5" t="s">
        <v>20</v>
      </c>
      <c r="I2958" s="5" t="s">
        <v>6747</v>
      </c>
      <c r="J2958" s="12" t="str">
        <f>HYPERLINK("https://www.boe.es/gazeta/dias/1806/03/04/pdfs/GMD-1806-20.pdf#page=9","Abrir facsímil")</f>
        <v>Abrir facsímil</v>
      </c>
      <c r="K2958" s="15" t="s">
        <v>22</v>
      </c>
    </row>
    <row r="2959" spans="1:11" ht="42" customHeight="1">
      <c r="A2959" s="4" t="s">
        <v>6748</v>
      </c>
      <c r="B2959" s="5" t="s">
        <v>6748</v>
      </c>
      <c r="C2959" s="5" t="s">
        <v>31</v>
      </c>
      <c r="D2959" s="5" t="s">
        <v>32</v>
      </c>
      <c r="E2959" s="5" t="s">
        <v>383</v>
      </c>
      <c r="F2959" s="9">
        <v>54</v>
      </c>
      <c r="G2959" s="9">
        <v>562</v>
      </c>
      <c r="H2959" s="5" t="s">
        <v>20</v>
      </c>
      <c r="I2959" s="5" t="s">
        <v>6749</v>
      </c>
      <c r="J2959" s="12" t="str">
        <f>HYPERLINK("https://www.boe.es/gazeta/dias/1806/07/01/pdfs/GMD-1806-54.pdf#page=6","Abrir facsímil")</f>
        <v>Abrir facsímil</v>
      </c>
      <c r="K2959" s="15" t="s">
        <v>22</v>
      </c>
    </row>
    <row r="2960" spans="1:11" ht="42" customHeight="1">
      <c r="A2960" s="4" t="s">
        <v>6750</v>
      </c>
      <c r="B2960" s="5" t="s">
        <v>6750</v>
      </c>
      <c r="C2960" s="5" t="s">
        <v>31</v>
      </c>
      <c r="D2960" s="5" t="s">
        <v>32</v>
      </c>
      <c r="E2960" s="5" t="s">
        <v>271</v>
      </c>
      <c r="F2960" s="9">
        <v>6</v>
      </c>
      <c r="G2960" s="9">
        <v>54</v>
      </c>
      <c r="H2960" s="5" t="s">
        <v>20</v>
      </c>
      <c r="I2960" s="5" t="s">
        <v>6751</v>
      </c>
      <c r="J2960" s="12" t="str">
        <f>HYPERLINK("https://www.boe.es/gazeta/dias/1806/01/17/pdfs/GMD-1806-6.pdf#page=10","Abrir facsímil")</f>
        <v>Abrir facsímil</v>
      </c>
      <c r="K2960" s="15" t="s">
        <v>22</v>
      </c>
    </row>
    <row r="2961" spans="1:11" ht="42" customHeight="1">
      <c r="A2961" s="4" t="s">
        <v>6752</v>
      </c>
      <c r="B2961" s="5" t="s">
        <v>6752</v>
      </c>
      <c r="C2961" s="5" t="s">
        <v>42</v>
      </c>
      <c r="D2961" s="5" t="s">
        <v>43</v>
      </c>
      <c r="E2961" s="5" t="s">
        <v>279</v>
      </c>
      <c r="F2961" s="9">
        <v>52</v>
      </c>
      <c r="G2961" s="9">
        <v>540</v>
      </c>
      <c r="H2961" s="5" t="s">
        <v>20</v>
      </c>
      <c r="I2961" s="5" t="s">
        <v>6753</v>
      </c>
      <c r="J2961" s="12" t="str">
        <f>HYPERLINK("https://www.boe.es/gazeta/dias/1806/06/24/pdfs/GMD-1806-52.pdf#page=8","Abrir facsímil")</f>
        <v>Abrir facsímil</v>
      </c>
      <c r="K2961" s="15" t="s">
        <v>22</v>
      </c>
    </row>
    <row r="2962" spans="1:11" ht="42" customHeight="1">
      <c r="A2962" s="4" t="s">
        <v>6754</v>
      </c>
      <c r="B2962" s="5" t="s">
        <v>6754</v>
      </c>
      <c r="C2962" s="5" t="s">
        <v>31</v>
      </c>
      <c r="D2962" s="5" t="s">
        <v>32</v>
      </c>
      <c r="E2962" s="5" t="s">
        <v>55</v>
      </c>
      <c r="F2962" s="9">
        <v>20</v>
      </c>
      <c r="G2962" s="9">
        <v>184</v>
      </c>
      <c r="H2962" s="5" t="s">
        <v>20</v>
      </c>
      <c r="I2962" s="5" t="s">
        <v>6755</v>
      </c>
      <c r="J2962" s="12" t="str">
        <f>HYPERLINK("https://www.boe.es/gazeta/dias/1806/03/04/pdfs/GMD-1806-20.pdf#page=8","Abrir facsímil")</f>
        <v>Abrir facsímil</v>
      </c>
      <c r="K2962" s="15" t="s">
        <v>22</v>
      </c>
    </row>
    <row r="2963" spans="1:11" ht="42" customHeight="1">
      <c r="A2963" s="4" t="s">
        <v>6756</v>
      </c>
      <c r="B2963" s="5" t="s">
        <v>6756</v>
      </c>
      <c r="C2963" s="5" t="s">
        <v>31</v>
      </c>
      <c r="D2963" s="5" t="s">
        <v>32</v>
      </c>
      <c r="E2963" s="5" t="s">
        <v>554</v>
      </c>
      <c r="F2963" s="9">
        <v>90</v>
      </c>
      <c r="G2963" s="9">
        <v>934</v>
      </c>
      <c r="H2963" s="5" t="s">
        <v>20</v>
      </c>
      <c r="I2963" s="5" t="s">
        <v>6757</v>
      </c>
      <c r="J2963" s="12" t="str">
        <f>HYPERLINK("https://www.boe.es/gazeta/dias/1806/11/04/pdfs/GMD-1806-90.pdf#page=10","Abrir facsímil")</f>
        <v>Abrir facsímil</v>
      </c>
      <c r="K2963" s="15" t="s">
        <v>22</v>
      </c>
    </row>
    <row r="2964" spans="1:11" ht="42" customHeight="1">
      <c r="A2964" s="4" t="s">
        <v>6758</v>
      </c>
      <c r="B2964" s="5" t="s">
        <v>6758</v>
      </c>
      <c r="C2964" s="5" t="s">
        <v>31</v>
      </c>
      <c r="D2964" s="5" t="s">
        <v>32</v>
      </c>
      <c r="E2964" s="5" t="s">
        <v>271</v>
      </c>
      <c r="F2964" s="9">
        <v>6</v>
      </c>
      <c r="G2964" s="9">
        <v>54</v>
      </c>
      <c r="H2964" s="5" t="s">
        <v>20</v>
      </c>
      <c r="I2964" s="5" t="s">
        <v>6759</v>
      </c>
      <c r="J2964" s="12" t="str">
        <f>HYPERLINK("https://www.boe.es/gazeta/dias/1806/01/17/pdfs/GMD-1806-6.pdf#page=10","Abrir facsímil")</f>
        <v>Abrir facsímil</v>
      </c>
      <c r="K2964" s="15" t="s">
        <v>22</v>
      </c>
    </row>
    <row r="2965" spans="1:11" ht="42" customHeight="1">
      <c r="A2965" s="4" t="s">
        <v>6760</v>
      </c>
      <c r="B2965" s="5" t="s">
        <v>6760</v>
      </c>
      <c r="C2965" s="5" t="s">
        <v>17</v>
      </c>
      <c r="D2965" s="5" t="s">
        <v>18</v>
      </c>
      <c r="E2965" s="5" t="s">
        <v>103</v>
      </c>
      <c r="F2965" s="9">
        <v>61</v>
      </c>
      <c r="G2965" s="9">
        <v>635</v>
      </c>
      <c r="H2965" s="5" t="s">
        <v>20</v>
      </c>
      <c r="I2965" s="5" t="s">
        <v>6761</v>
      </c>
      <c r="J2965" s="12" t="str">
        <f>HYPERLINK("https://www.boe.es/gazeta/dias/1806/07/25/pdfs/GMD-1806-61.pdf#page=7","Abrir facsímil")</f>
        <v>Abrir facsímil</v>
      </c>
      <c r="K2965" s="15" t="s">
        <v>22</v>
      </c>
    </row>
    <row r="2966" spans="1:11" ht="42" customHeight="1">
      <c r="A2966" s="4" t="s">
        <v>6762</v>
      </c>
      <c r="B2966" s="5" t="s">
        <v>6762</v>
      </c>
      <c r="C2966" s="5" t="s">
        <v>31</v>
      </c>
      <c r="D2966" s="5" t="s">
        <v>32</v>
      </c>
      <c r="E2966" s="5" t="s">
        <v>127</v>
      </c>
      <c r="F2966" s="9">
        <v>81</v>
      </c>
      <c r="G2966" s="9">
        <v>837</v>
      </c>
      <c r="H2966" s="5" t="s">
        <v>20</v>
      </c>
      <c r="I2966" s="5" t="s">
        <v>6763</v>
      </c>
      <c r="J2966" s="12" t="str">
        <f>HYPERLINK("https://www.boe.es/gazeta/dias/1806/10/03/pdfs/GMD-1806-81.pdf#page=5","Abrir facsímil")</f>
        <v>Abrir facsímil</v>
      </c>
      <c r="K2966" s="15" t="s">
        <v>22</v>
      </c>
    </row>
    <row r="2967" spans="1:11" ht="42" customHeight="1">
      <c r="A2967" s="4" t="s">
        <v>6764</v>
      </c>
      <c r="B2967" s="5" t="s">
        <v>6765</v>
      </c>
      <c r="C2967" s="5" t="s">
        <v>31</v>
      </c>
      <c r="D2967" s="5" t="s">
        <v>32</v>
      </c>
      <c r="E2967" s="5" t="s">
        <v>340</v>
      </c>
      <c r="F2967" s="9">
        <v>31</v>
      </c>
      <c r="G2967" s="9">
        <v>305</v>
      </c>
      <c r="H2967" s="5" t="s">
        <v>20</v>
      </c>
      <c r="I2967" s="5" t="s">
        <v>6766</v>
      </c>
      <c r="J2967" s="12" t="str">
        <f>HYPERLINK("https://www.boe.es/gazeta/dias/1806/04/11/pdfs/GMD-1806-31.pdf#page=9","Abrir facsímil")</f>
        <v>Abrir facsímil</v>
      </c>
      <c r="K2967" s="15" t="s">
        <v>22</v>
      </c>
    </row>
    <row r="2968" spans="1:11" ht="42" customHeight="1">
      <c r="A2968" s="4" t="s">
        <v>6767</v>
      </c>
      <c r="B2968" s="5" t="s">
        <v>6767</v>
      </c>
      <c r="C2968" s="5" t="s">
        <v>31</v>
      </c>
      <c r="D2968" s="5" t="s">
        <v>32</v>
      </c>
      <c r="E2968" s="5" t="s">
        <v>175</v>
      </c>
      <c r="F2968" s="9">
        <v>40</v>
      </c>
      <c r="G2968" s="9">
        <v>395</v>
      </c>
      <c r="H2968" s="5" t="s">
        <v>20</v>
      </c>
      <c r="I2968" s="5" t="s">
        <v>6768</v>
      </c>
      <c r="J2968" s="12" t="str">
        <f>HYPERLINK("https://www.boe.es/gazeta/dias/1806/05/13/pdfs/GMD-1806-40.pdf#page=7","Abrir facsímil")</f>
        <v>Abrir facsímil</v>
      </c>
      <c r="K2968" s="15" t="s">
        <v>22</v>
      </c>
    </row>
    <row r="2969" spans="1:11" ht="42" customHeight="1">
      <c r="A2969" s="4" t="s">
        <v>6769</v>
      </c>
      <c r="B2969" s="5" t="s">
        <v>6770</v>
      </c>
      <c r="C2969" s="5" t="s">
        <v>17</v>
      </c>
      <c r="D2969" s="5" t="s">
        <v>18</v>
      </c>
      <c r="E2969" s="5" t="s">
        <v>438</v>
      </c>
      <c r="F2969" s="9">
        <v>70</v>
      </c>
      <c r="G2969" s="9">
        <v>728</v>
      </c>
      <c r="H2969" s="5" t="s">
        <v>20</v>
      </c>
      <c r="I2969" s="5" t="s">
        <v>6771</v>
      </c>
      <c r="J2969" s="12" t="str">
        <f>HYPERLINK("https://www.boe.es/gazeta/dias/1806/08/26/pdfs/GMD-1806-70.pdf#page=4","Abrir facsímil")</f>
        <v>Abrir facsímil</v>
      </c>
      <c r="K2969" s="15" t="s">
        <v>22</v>
      </c>
    </row>
    <row r="2970" spans="1:11" ht="42" customHeight="1">
      <c r="A2970" s="4" t="s">
        <v>6772</v>
      </c>
      <c r="B2970" s="5" t="s">
        <v>6772</v>
      </c>
      <c r="C2970" s="5" t="s">
        <v>75</v>
      </c>
      <c r="D2970" s="5" t="s">
        <v>43</v>
      </c>
      <c r="E2970" s="5" t="s">
        <v>140</v>
      </c>
      <c r="F2970" s="9">
        <v>83</v>
      </c>
      <c r="G2970" s="9">
        <v>862</v>
      </c>
      <c r="H2970" s="5" t="s">
        <v>20</v>
      </c>
      <c r="I2970" s="5" t="s">
        <v>6773</v>
      </c>
      <c r="J2970" s="12" t="str">
        <f>HYPERLINK("https://www.boe.es/gazeta/dias/1806/10/10/pdfs/GMD-1806-83.pdf#page=10","Abrir facsímil")</f>
        <v>Abrir facsímil</v>
      </c>
      <c r="K2970" s="15" t="s">
        <v>22</v>
      </c>
    </row>
    <row r="2971" spans="1:11" ht="42" customHeight="1">
      <c r="A2971" s="4" t="s">
        <v>6774</v>
      </c>
      <c r="B2971" s="5" t="s">
        <v>6774</v>
      </c>
      <c r="C2971" s="5" t="s">
        <v>75</v>
      </c>
      <c r="D2971" s="5" t="s">
        <v>43</v>
      </c>
      <c r="E2971" s="5" t="s">
        <v>181</v>
      </c>
      <c r="F2971" s="9">
        <v>99</v>
      </c>
      <c r="G2971" s="9">
        <v>1055</v>
      </c>
      <c r="H2971" s="5" t="s">
        <v>20</v>
      </c>
      <c r="I2971" s="5" t="s">
        <v>6775</v>
      </c>
      <c r="J2971" s="12" t="str">
        <f>HYPERLINK("https://www.boe.es/gazeta/dias/1806/12/05/pdfs/GMD-1806-99.pdf#page=11","Abrir facsímil")</f>
        <v>Abrir facsímil</v>
      </c>
      <c r="K2971" s="15" t="s">
        <v>22</v>
      </c>
    </row>
    <row r="2972" spans="1:11" ht="42" customHeight="1">
      <c r="A2972" s="4" t="s">
        <v>6776</v>
      </c>
      <c r="B2972" s="5" t="s">
        <v>6776</v>
      </c>
      <c r="C2972" s="5" t="s">
        <v>42</v>
      </c>
      <c r="D2972" s="5" t="s">
        <v>43</v>
      </c>
      <c r="E2972" s="5" t="s">
        <v>400</v>
      </c>
      <c r="F2972" s="9">
        <v>22</v>
      </c>
      <c r="G2972" s="9">
        <v>207</v>
      </c>
      <c r="H2972" s="5" t="s">
        <v>20</v>
      </c>
      <c r="I2972" s="5" t="s">
        <v>6777</v>
      </c>
      <c r="J2972" s="12" t="str">
        <f>HYPERLINK("https://www.boe.es/gazeta/dias/1806/03/11/pdfs/GMD-1806-22.pdf#page=7","Abrir facsímil")</f>
        <v>Abrir facsímil</v>
      </c>
      <c r="K2972" s="15" t="s">
        <v>22</v>
      </c>
    </row>
    <row r="2973" spans="1:11" ht="42" customHeight="1">
      <c r="A2973" s="4" t="s">
        <v>6778</v>
      </c>
      <c r="B2973" s="5" t="s">
        <v>6779</v>
      </c>
      <c r="C2973" s="5" t="s">
        <v>42</v>
      </c>
      <c r="D2973" s="5" t="s">
        <v>43</v>
      </c>
      <c r="E2973" s="5" t="s">
        <v>121</v>
      </c>
      <c r="F2973" s="9">
        <v>19</v>
      </c>
      <c r="G2973" s="9">
        <v>175</v>
      </c>
      <c r="H2973" s="5" t="s">
        <v>20</v>
      </c>
      <c r="I2973" s="5" t="s">
        <v>6780</v>
      </c>
      <c r="J2973" s="12" t="str">
        <f>HYPERLINK("https://www.boe.es/gazeta/dias/1806/02/28/pdfs/GMD-1806-19.pdf#page=11","Abrir facsímil")</f>
        <v>Abrir facsímil</v>
      </c>
      <c r="K2973" s="15" t="s">
        <v>22</v>
      </c>
    </row>
    <row r="2974" spans="1:11" ht="42" customHeight="1">
      <c r="A2974" s="4" t="s">
        <v>6781</v>
      </c>
      <c r="B2974" s="5" t="s">
        <v>6781</v>
      </c>
      <c r="C2974" s="5" t="s">
        <v>17</v>
      </c>
      <c r="D2974" s="5" t="s">
        <v>18</v>
      </c>
      <c r="E2974" s="5" t="s">
        <v>213</v>
      </c>
      <c r="F2974" s="9">
        <v>73</v>
      </c>
      <c r="G2974" s="9">
        <v>759</v>
      </c>
      <c r="H2974" s="5" t="s">
        <v>20</v>
      </c>
      <c r="I2974" s="5" t="s">
        <v>6782</v>
      </c>
      <c r="J2974" s="12" t="str">
        <f>HYPERLINK("https://www.boe.es/gazeta/dias/1806/09/05/pdfs/GMD-1806-73.pdf#page=7","Abrir facsímil")</f>
        <v>Abrir facsímil</v>
      </c>
      <c r="K2974" s="15" t="s">
        <v>22</v>
      </c>
    </row>
    <row r="2975" spans="1:11" ht="42" customHeight="1">
      <c r="A2975" s="4" t="s">
        <v>6783</v>
      </c>
      <c r="B2975" s="5" t="s">
        <v>6783</v>
      </c>
      <c r="C2975" s="5" t="s">
        <v>31</v>
      </c>
      <c r="D2975" s="5" t="s">
        <v>32</v>
      </c>
      <c r="E2975" s="5" t="s">
        <v>271</v>
      </c>
      <c r="F2975" s="9">
        <v>6</v>
      </c>
      <c r="G2975" s="9">
        <v>54</v>
      </c>
      <c r="H2975" s="5" t="s">
        <v>20</v>
      </c>
      <c r="I2975" s="5" t="s">
        <v>6784</v>
      </c>
      <c r="J2975" s="12" t="str">
        <f>HYPERLINK("https://www.boe.es/gazeta/dias/1806/01/17/pdfs/GMD-1806-6.pdf#page=10","Abrir facsímil")</f>
        <v>Abrir facsímil</v>
      </c>
      <c r="K2975" s="15" t="s">
        <v>22</v>
      </c>
    </row>
    <row r="2976" spans="1:11" ht="42" customHeight="1">
      <c r="A2976" s="4" t="s">
        <v>6785</v>
      </c>
      <c r="B2976" s="5" t="s">
        <v>6785</v>
      </c>
      <c r="C2976" s="5" t="s">
        <v>17</v>
      </c>
      <c r="D2976" s="5" t="s">
        <v>18</v>
      </c>
      <c r="E2976" s="5" t="s">
        <v>213</v>
      </c>
      <c r="F2976" s="9">
        <v>73</v>
      </c>
      <c r="G2976" s="9">
        <v>757</v>
      </c>
      <c r="H2976" s="5" t="s">
        <v>20</v>
      </c>
      <c r="I2976" s="5" t="s">
        <v>6786</v>
      </c>
      <c r="J2976" s="12" t="str">
        <f>HYPERLINK("https://www.boe.es/gazeta/dias/1806/09/05/pdfs/GMD-1806-73.pdf#page=5","Abrir facsímil")</f>
        <v>Abrir facsímil</v>
      </c>
      <c r="K2976" s="15" t="s">
        <v>22</v>
      </c>
    </row>
    <row r="2977" spans="1:11" ht="42" customHeight="1">
      <c r="A2977" s="4" t="s">
        <v>6787</v>
      </c>
      <c r="B2977" s="5" t="s">
        <v>6787</v>
      </c>
      <c r="C2977" s="5" t="s">
        <v>31</v>
      </c>
      <c r="D2977" s="5" t="s">
        <v>32</v>
      </c>
      <c r="E2977" s="5" t="s">
        <v>118</v>
      </c>
      <c r="F2977" s="9">
        <v>15</v>
      </c>
      <c r="G2977" s="9">
        <v>134</v>
      </c>
      <c r="H2977" s="5" t="s">
        <v>20</v>
      </c>
      <c r="I2977" s="5" t="s">
        <v>6788</v>
      </c>
      <c r="J2977" s="12" t="str">
        <f>HYPERLINK("https://www.boe.es/gazeta/dias/1806/02/14/pdfs/GMD-1806-15.pdf#page=10","Abrir facsímil")</f>
        <v>Abrir facsímil</v>
      </c>
      <c r="K2977" s="15" t="s">
        <v>22</v>
      </c>
    </row>
    <row r="2978" spans="1:11" ht="42" customHeight="1">
      <c r="A2978" s="4" t="s">
        <v>6789</v>
      </c>
      <c r="B2978" s="5" t="s">
        <v>6789</v>
      </c>
      <c r="C2978" s="5" t="s">
        <v>31</v>
      </c>
      <c r="D2978" s="5" t="s">
        <v>32</v>
      </c>
      <c r="E2978" s="5" t="s">
        <v>140</v>
      </c>
      <c r="F2978" s="9">
        <v>83</v>
      </c>
      <c r="G2978" s="9">
        <v>862</v>
      </c>
      <c r="H2978" s="5" t="s">
        <v>20</v>
      </c>
      <c r="I2978" s="5" t="s">
        <v>6790</v>
      </c>
      <c r="J2978" s="12" t="str">
        <f>HYPERLINK("https://www.boe.es/gazeta/dias/1806/10/10/pdfs/GMD-1806-83.pdf#page=10","Abrir facsímil")</f>
        <v>Abrir facsímil</v>
      </c>
      <c r="K2978" s="15" t="s">
        <v>22</v>
      </c>
    </row>
    <row r="2979" spans="1:11" ht="42" customHeight="1">
      <c r="A2979" s="4" t="s">
        <v>6791</v>
      </c>
      <c r="B2979" s="5" t="s">
        <v>6791</v>
      </c>
      <c r="C2979" s="5" t="s">
        <v>31</v>
      </c>
      <c r="D2979" s="5" t="s">
        <v>32</v>
      </c>
      <c r="E2979" s="5" t="s">
        <v>144</v>
      </c>
      <c r="F2979" s="9">
        <v>79</v>
      </c>
      <c r="G2979" s="9">
        <v>813</v>
      </c>
      <c r="H2979" s="5" t="s">
        <v>20</v>
      </c>
      <c r="I2979" s="5" t="s">
        <v>6792</v>
      </c>
      <c r="J2979" s="12" t="str">
        <f>HYPERLINK("https://www.boe.es/gazeta/dias/1806/09/26/pdfs/GMD-1806-79.pdf#page=5","Abrir facsímil")</f>
        <v>Abrir facsímil</v>
      </c>
      <c r="K2979" s="15" t="s">
        <v>22</v>
      </c>
    </row>
    <row r="2980" spans="1:11" ht="42" customHeight="1">
      <c r="A2980" s="4" t="s">
        <v>6793</v>
      </c>
      <c r="B2980" s="5" t="s">
        <v>6793</v>
      </c>
      <c r="C2980" s="5" t="s">
        <v>17</v>
      </c>
      <c r="D2980" s="5" t="s">
        <v>18</v>
      </c>
      <c r="E2980" s="5" t="s">
        <v>438</v>
      </c>
      <c r="F2980" s="9">
        <v>70</v>
      </c>
      <c r="G2980" s="9">
        <v>728</v>
      </c>
      <c r="H2980" s="5" t="s">
        <v>20</v>
      </c>
      <c r="I2980" s="5" t="s">
        <v>6794</v>
      </c>
      <c r="J2980" s="12" t="str">
        <f>HYPERLINK("https://www.boe.es/gazeta/dias/1806/08/26/pdfs/GMD-1806-70.pdf#page=4","Abrir facsímil")</f>
        <v>Abrir facsímil</v>
      </c>
      <c r="K2980" s="15" t="s">
        <v>22</v>
      </c>
    </row>
    <row r="2981" spans="1:11" ht="42" customHeight="1">
      <c r="A2981" s="4" t="s">
        <v>6795</v>
      </c>
      <c r="B2981" s="5" t="s">
        <v>6795</v>
      </c>
      <c r="C2981" s="5" t="s">
        <v>31</v>
      </c>
      <c r="D2981" s="5" t="s">
        <v>32</v>
      </c>
      <c r="E2981" s="5" t="s">
        <v>82</v>
      </c>
      <c r="F2981" s="9">
        <v>48</v>
      </c>
      <c r="G2981" s="9">
        <v>496</v>
      </c>
      <c r="H2981" s="5" t="s">
        <v>20</v>
      </c>
      <c r="I2981" s="5" t="s">
        <v>6796</v>
      </c>
      <c r="J2981" s="12" t="str">
        <f>HYPERLINK("https://www.boe.es/gazeta/dias/1806/06/10/pdfs/GMD-1806-48.pdf#page=8","Abrir facsímil")</f>
        <v>Abrir facsímil</v>
      </c>
      <c r="K2981" s="15" t="s">
        <v>22</v>
      </c>
    </row>
    <row r="2982" spans="1:11" ht="42" customHeight="1">
      <c r="A2982" s="4" t="s">
        <v>6797</v>
      </c>
      <c r="B2982" s="5" t="s">
        <v>6797</v>
      </c>
      <c r="C2982" s="5" t="s">
        <v>31</v>
      </c>
      <c r="D2982" s="5" t="s">
        <v>32</v>
      </c>
      <c r="E2982" s="5" t="s">
        <v>297</v>
      </c>
      <c r="F2982" s="9">
        <v>94</v>
      </c>
      <c r="G2982" s="9">
        <v>989</v>
      </c>
      <c r="H2982" s="5" t="s">
        <v>20</v>
      </c>
      <c r="I2982" s="5" t="s">
        <v>6798</v>
      </c>
      <c r="J2982" s="12" t="str">
        <f>HYPERLINK("https://www.boe.es/gazeta/dias/1806/11/18/pdfs/GMD-1806-94.pdf#page=9","Abrir facsímil")</f>
        <v>Abrir facsímil</v>
      </c>
      <c r="K2982" s="15" t="s">
        <v>22</v>
      </c>
    </row>
    <row r="2983" spans="1:11" ht="42" customHeight="1">
      <c r="A2983" s="4" t="s">
        <v>6799</v>
      </c>
      <c r="B2983" s="5" t="s">
        <v>6799</v>
      </c>
      <c r="C2983" s="5" t="s">
        <v>36</v>
      </c>
      <c r="D2983" s="5" t="s">
        <v>37</v>
      </c>
      <c r="E2983" s="5" t="s">
        <v>271</v>
      </c>
      <c r="F2983" s="9">
        <v>6</v>
      </c>
      <c r="G2983" s="9">
        <v>56</v>
      </c>
      <c r="H2983" s="5" t="s">
        <v>20</v>
      </c>
      <c r="I2983" s="5" t="s">
        <v>6800</v>
      </c>
      <c r="J2983" s="12" t="str">
        <f>HYPERLINK("https://www.boe.es/gazeta/dias/1806/01/17/pdfs/GMD-1806-6.pdf#page=12","Abrir facsímil")</f>
        <v>Abrir facsímil</v>
      </c>
      <c r="K2983" s="15" t="s">
        <v>22</v>
      </c>
    </row>
    <row r="2984" spans="1:11" ht="42" customHeight="1">
      <c r="A2984" s="4" t="s">
        <v>6801</v>
      </c>
      <c r="B2984" s="5" t="s">
        <v>6802</v>
      </c>
      <c r="C2984" s="5" t="s">
        <v>31</v>
      </c>
      <c r="D2984" s="5" t="s">
        <v>32</v>
      </c>
      <c r="E2984" s="5" t="s">
        <v>118</v>
      </c>
      <c r="F2984" s="9">
        <v>15</v>
      </c>
      <c r="G2984" s="9">
        <v>134</v>
      </c>
      <c r="H2984" s="5" t="s">
        <v>20</v>
      </c>
      <c r="I2984" s="5" t="s">
        <v>6803</v>
      </c>
      <c r="J2984" s="12" t="str">
        <f>HYPERLINK("https://www.boe.es/gazeta/dias/1806/02/14/pdfs/GMD-1806-15.pdf#page=10","Abrir facsímil")</f>
        <v>Abrir facsímil</v>
      </c>
      <c r="K2984" s="15" t="s">
        <v>22</v>
      </c>
    </row>
    <row r="2985" spans="1:11" ht="42" customHeight="1">
      <c r="A2985" s="4" t="s">
        <v>6804</v>
      </c>
      <c r="B2985" s="5" t="s">
        <v>6804</v>
      </c>
      <c r="C2985" s="5" t="s">
        <v>42</v>
      </c>
      <c r="D2985" s="5" t="s">
        <v>43</v>
      </c>
      <c r="E2985" s="5" t="s">
        <v>178</v>
      </c>
      <c r="F2985" s="9">
        <v>36</v>
      </c>
      <c r="G2985" s="9">
        <v>350</v>
      </c>
      <c r="H2985" s="5" t="s">
        <v>20</v>
      </c>
      <c r="I2985" s="5" t="s">
        <v>6805</v>
      </c>
      <c r="J2985" s="12" t="str">
        <f>HYPERLINK("https://www.boe.es/gazeta/dias/1806/04/29/pdfs/GMD-1806-36.pdf#page=6","Abrir facsímil")</f>
        <v>Abrir facsímil</v>
      </c>
      <c r="K2985" s="15" t="s">
        <v>22</v>
      </c>
    </row>
    <row r="2986" spans="1:11" ht="42" customHeight="1">
      <c r="A2986" s="4" t="s">
        <v>6806</v>
      </c>
      <c r="B2986" s="5" t="s">
        <v>6806</v>
      </c>
      <c r="C2986" s="5" t="s">
        <v>42</v>
      </c>
      <c r="D2986" s="5" t="s">
        <v>43</v>
      </c>
      <c r="E2986" s="5" t="s">
        <v>327</v>
      </c>
      <c r="F2986" s="9">
        <v>104</v>
      </c>
      <c r="G2986" s="9">
        <v>1110</v>
      </c>
      <c r="H2986" s="5" t="s">
        <v>20</v>
      </c>
      <c r="I2986" s="5" t="s">
        <v>6807</v>
      </c>
      <c r="J2986" s="12" t="str">
        <f>HYPERLINK("https://www.boe.es/gazeta/dias/1806/12/23/pdfs/GMD-1806-104.pdf#page=10","Abrir facsímil")</f>
        <v>Abrir facsímil</v>
      </c>
      <c r="K2986" s="15" t="s">
        <v>22</v>
      </c>
    </row>
    <row r="2987" spans="1:11" ht="42" customHeight="1">
      <c r="A2987" s="4" t="s">
        <v>6808</v>
      </c>
      <c r="B2987" s="5" t="s">
        <v>6808</v>
      </c>
      <c r="C2987" s="5" t="s">
        <v>17</v>
      </c>
      <c r="D2987" s="5" t="s">
        <v>18</v>
      </c>
      <c r="E2987" s="5" t="s">
        <v>340</v>
      </c>
      <c r="F2987" s="9">
        <v>31</v>
      </c>
      <c r="G2987" s="9">
        <v>305</v>
      </c>
      <c r="H2987" s="5" t="s">
        <v>20</v>
      </c>
      <c r="I2987" s="5" t="s">
        <v>6809</v>
      </c>
      <c r="J2987" s="12" t="str">
        <f>HYPERLINK("https://www.boe.es/gazeta/dias/1806/04/11/pdfs/GMD-1806-31.pdf#page=9","Abrir facsímil")</f>
        <v>Abrir facsímil</v>
      </c>
      <c r="K2987" s="15" t="s">
        <v>22</v>
      </c>
    </row>
    <row r="2988" spans="1:11" ht="42" customHeight="1">
      <c r="A2988" s="4" t="s">
        <v>6810</v>
      </c>
      <c r="B2988" s="5" t="s">
        <v>6810</v>
      </c>
      <c r="C2988" s="5" t="s">
        <v>31</v>
      </c>
      <c r="D2988" s="5" t="s">
        <v>32</v>
      </c>
      <c r="E2988" s="5" t="s">
        <v>780</v>
      </c>
      <c r="F2988" s="9">
        <v>33</v>
      </c>
      <c r="G2988" s="9">
        <v>326</v>
      </c>
      <c r="H2988" s="5" t="s">
        <v>20</v>
      </c>
      <c r="I2988" s="5" t="s">
        <v>6811</v>
      </c>
      <c r="J2988" s="12" t="str">
        <f>HYPERLINK("https://www.boe.es/gazeta/dias/1806/04/18/pdfs/GMD-1806-33.pdf#page=6","Abrir facsímil")</f>
        <v>Abrir facsímil</v>
      </c>
      <c r="K2988" s="15" t="s">
        <v>22</v>
      </c>
    </row>
    <row r="2989" spans="1:11" ht="42" customHeight="1">
      <c r="A2989" s="4" t="s">
        <v>6812</v>
      </c>
      <c r="B2989" s="5" t="s">
        <v>6812</v>
      </c>
      <c r="C2989" s="5" t="s">
        <v>31</v>
      </c>
      <c r="D2989" s="5" t="s">
        <v>32</v>
      </c>
      <c r="E2989" s="5" t="s">
        <v>657</v>
      </c>
      <c r="F2989" s="9">
        <v>96</v>
      </c>
      <c r="G2989" s="9">
        <v>1018</v>
      </c>
      <c r="H2989" s="5" t="s">
        <v>20</v>
      </c>
      <c r="I2989" s="5" t="s">
        <v>6813</v>
      </c>
      <c r="J2989" s="12" t="str">
        <f>HYPERLINK("https://www.boe.es/gazeta/dias/1806/11/25/pdfs/GMD-1806-96.pdf#page=10","Abrir facsímil")</f>
        <v>Abrir facsímil</v>
      </c>
      <c r="K2989" s="15" t="s">
        <v>22</v>
      </c>
    </row>
    <row r="2990" spans="1:11" ht="42" customHeight="1">
      <c r="A2990" s="4" t="s">
        <v>6814</v>
      </c>
      <c r="B2990" s="5" t="s">
        <v>6814</v>
      </c>
      <c r="C2990" s="5" t="s">
        <v>31</v>
      </c>
      <c r="D2990" s="5" t="s">
        <v>32</v>
      </c>
      <c r="E2990" s="5" t="s">
        <v>191</v>
      </c>
      <c r="F2990" s="9">
        <v>103</v>
      </c>
      <c r="G2990" s="9">
        <v>1097</v>
      </c>
      <c r="H2990" s="5" t="s">
        <v>20</v>
      </c>
      <c r="I2990" s="5" t="s">
        <v>6815</v>
      </c>
      <c r="J2990" s="12" t="str">
        <f>HYPERLINK("https://www.boe.es/gazeta/dias/1806/12/19/pdfs/GMD-1806-103.pdf#page=9","Abrir facsímil")</f>
        <v>Abrir facsímil</v>
      </c>
      <c r="K2990" s="15" t="s">
        <v>22</v>
      </c>
    </row>
    <row r="2991" spans="1:11" ht="42" customHeight="1">
      <c r="A2991" s="4" t="s">
        <v>6816</v>
      </c>
      <c r="B2991" s="5" t="s">
        <v>6816</v>
      </c>
      <c r="C2991" s="5" t="s">
        <v>31</v>
      </c>
      <c r="D2991" s="5" t="s">
        <v>32</v>
      </c>
      <c r="E2991" s="5" t="s">
        <v>859</v>
      </c>
      <c r="F2991" s="9">
        <v>63</v>
      </c>
      <c r="G2991" s="9">
        <v>662</v>
      </c>
      <c r="H2991" s="5" t="s">
        <v>20</v>
      </c>
      <c r="I2991" s="5" t="s">
        <v>6817</v>
      </c>
      <c r="J2991" s="12" t="str">
        <f>HYPERLINK("https://www.boe.es/gazeta/dias/1806/08/01/pdfs/GMD-1806-63.pdf#page=10","Abrir facsímil")</f>
        <v>Abrir facsímil</v>
      </c>
      <c r="K2991" s="15" t="s">
        <v>22</v>
      </c>
    </row>
    <row r="2992" spans="1:11" ht="42" customHeight="1">
      <c r="A2992" s="4" t="s">
        <v>6818</v>
      </c>
      <c r="B2992" s="5" t="s">
        <v>6818</v>
      </c>
      <c r="C2992" s="5" t="s">
        <v>31</v>
      </c>
      <c r="D2992" s="5" t="s">
        <v>32</v>
      </c>
      <c r="E2992" s="5" t="s">
        <v>185</v>
      </c>
      <c r="F2992" s="9">
        <v>46</v>
      </c>
      <c r="G2992" s="9">
        <v>469</v>
      </c>
      <c r="H2992" s="5" t="s">
        <v>20</v>
      </c>
      <c r="I2992" s="5" t="s">
        <v>6819</v>
      </c>
      <c r="J2992" s="12" t="str">
        <f>HYPERLINK("https://www.boe.es/gazeta/dias/1806/06/03/pdfs/GMD-1806-46.pdf#page=9","Abrir facsímil")</f>
        <v>Abrir facsímil</v>
      </c>
      <c r="K2992" s="15" t="s">
        <v>22</v>
      </c>
    </row>
    <row r="2993" spans="1:11" ht="42" customHeight="1">
      <c r="A2993" s="4" t="s">
        <v>6820</v>
      </c>
      <c r="B2993" s="5" t="s">
        <v>6820</v>
      </c>
      <c r="C2993" s="5" t="s">
        <v>31</v>
      </c>
      <c r="D2993" s="5" t="s">
        <v>32</v>
      </c>
      <c r="E2993" s="5" t="s">
        <v>121</v>
      </c>
      <c r="F2993" s="9">
        <v>19</v>
      </c>
      <c r="G2993" s="9">
        <v>172</v>
      </c>
      <c r="H2993" s="5" t="s">
        <v>20</v>
      </c>
      <c r="I2993" s="5" t="s">
        <v>6821</v>
      </c>
      <c r="J2993" s="12" t="str">
        <f>HYPERLINK("https://www.boe.es/gazeta/dias/1806/02/28/pdfs/GMD-1806-19.pdf#page=8","Abrir facsímil")</f>
        <v>Abrir facsímil</v>
      </c>
      <c r="K2993" s="15" t="s">
        <v>22</v>
      </c>
    </row>
    <row r="2994" spans="1:11" ht="42" customHeight="1">
      <c r="A2994" s="4" t="s">
        <v>6822</v>
      </c>
      <c r="B2994" s="5" t="s">
        <v>6822</v>
      </c>
      <c r="C2994" s="5" t="s">
        <v>17</v>
      </c>
      <c r="D2994" s="5" t="s">
        <v>18</v>
      </c>
      <c r="E2994" s="5" t="s">
        <v>140</v>
      </c>
      <c r="F2994" s="9">
        <v>83</v>
      </c>
      <c r="G2994" s="9">
        <v>859</v>
      </c>
      <c r="H2994" s="5" t="s">
        <v>20</v>
      </c>
      <c r="I2994" s="5" t="s">
        <v>6823</v>
      </c>
      <c r="J2994" s="12" t="str">
        <f>HYPERLINK("https://www.boe.es/gazeta/dias/1806/10/10/pdfs/GMD-1806-83.pdf#page=7","Abrir facsímil")</f>
        <v>Abrir facsímil</v>
      </c>
      <c r="K2994" s="15" t="s">
        <v>22</v>
      </c>
    </row>
    <row r="2995" spans="1:11" ht="42" customHeight="1">
      <c r="A2995" s="4" t="s">
        <v>6824</v>
      </c>
      <c r="B2995" s="5" t="s">
        <v>6824</v>
      </c>
      <c r="C2995" s="5" t="s">
        <v>42</v>
      </c>
      <c r="D2995" s="5" t="s">
        <v>43</v>
      </c>
      <c r="E2995" s="5" t="s">
        <v>367</v>
      </c>
      <c r="F2995" s="9">
        <v>87</v>
      </c>
      <c r="G2995" s="9">
        <v>901</v>
      </c>
      <c r="H2995" s="5" t="s">
        <v>20</v>
      </c>
      <c r="I2995" s="5" t="s">
        <v>6825</v>
      </c>
      <c r="J2995" s="12" t="str">
        <f>HYPERLINK("https://www.boe.es/gazeta/dias/1806/10/24/pdfs/GMD-1806-87.pdf#page=9","Abrir facsímil")</f>
        <v>Abrir facsímil</v>
      </c>
      <c r="K2995" s="15" t="s">
        <v>22</v>
      </c>
    </row>
    <row r="2996" spans="1:11" ht="42" customHeight="1">
      <c r="A2996" s="4" t="s">
        <v>6826</v>
      </c>
      <c r="B2996" s="5" t="s">
        <v>6826</v>
      </c>
      <c r="C2996" s="5" t="s">
        <v>31</v>
      </c>
      <c r="D2996" s="5" t="s">
        <v>32</v>
      </c>
      <c r="E2996" s="5" t="s">
        <v>96</v>
      </c>
      <c r="F2996" s="9">
        <v>62</v>
      </c>
      <c r="G2996" s="9">
        <v>649</v>
      </c>
      <c r="H2996" s="5" t="s">
        <v>20</v>
      </c>
      <c r="I2996" s="5" t="s">
        <v>6827</v>
      </c>
      <c r="J2996" s="12" t="str">
        <f>HYPERLINK("https://www.boe.es/gazeta/dias/1806/07/29/pdfs/GMD-1806-62.pdf#page=9","Abrir facsímil")</f>
        <v>Abrir facsímil</v>
      </c>
      <c r="K2996" s="15" t="s">
        <v>22</v>
      </c>
    </row>
    <row r="2997" spans="1:11" ht="42" customHeight="1">
      <c r="A2997" s="4" t="s">
        <v>6828</v>
      </c>
      <c r="B2997" s="5" t="s">
        <v>6828</v>
      </c>
      <c r="C2997" s="5" t="s">
        <v>447</v>
      </c>
      <c r="D2997" s="5" t="s">
        <v>448</v>
      </c>
      <c r="E2997" s="5" t="s">
        <v>304</v>
      </c>
      <c r="F2997" s="9">
        <v>47</v>
      </c>
      <c r="G2997" s="9">
        <v>481</v>
      </c>
      <c r="H2997" s="5" t="s">
        <v>20</v>
      </c>
      <c r="I2997" s="5" t="s">
        <v>6829</v>
      </c>
      <c r="J2997" s="12" t="str">
        <f>HYPERLINK("https://www.boe.es/gazeta/dias/1806/06/06/pdfs/GMD-C-1806-47.pdf#page=1","Abrir facsímil")</f>
        <v>Abrir facsímil</v>
      </c>
      <c r="K2997" s="15" t="s">
        <v>22</v>
      </c>
    </row>
    <row r="2998" spans="1:11" ht="42" customHeight="1">
      <c r="A2998" s="4" t="s">
        <v>6830</v>
      </c>
      <c r="B2998" s="5" t="s">
        <v>6830</v>
      </c>
      <c r="C2998" s="5" t="s">
        <v>31</v>
      </c>
      <c r="D2998" s="5" t="s">
        <v>32</v>
      </c>
      <c r="E2998" s="5" t="s">
        <v>810</v>
      </c>
      <c r="F2998" s="9">
        <v>71</v>
      </c>
      <c r="G2998" s="9">
        <v>739</v>
      </c>
      <c r="H2998" s="5" t="s">
        <v>20</v>
      </c>
      <c r="I2998" s="5" t="s">
        <v>6831</v>
      </c>
      <c r="J2998" s="12" t="str">
        <f>HYPERLINK("https://www.boe.es/gazeta/dias/1806/08/29/pdfs/GMD-1806-71.pdf#page=7","Abrir facsímil")</f>
        <v>Abrir facsímil</v>
      </c>
      <c r="K2998" s="15" t="s">
        <v>22</v>
      </c>
    </row>
    <row r="2999" spans="1:11" ht="42" customHeight="1">
      <c r="A2999" s="4" t="s">
        <v>6832</v>
      </c>
      <c r="B2999" s="5" t="s">
        <v>6832</v>
      </c>
      <c r="C2999" s="5" t="s">
        <v>31</v>
      </c>
      <c r="D2999" s="5" t="s">
        <v>32</v>
      </c>
      <c r="E2999" s="5" t="s">
        <v>127</v>
      </c>
      <c r="F2999" s="9">
        <v>81</v>
      </c>
      <c r="G2999" s="9">
        <v>837</v>
      </c>
      <c r="H2999" s="5" t="s">
        <v>20</v>
      </c>
      <c r="I2999" s="5" t="s">
        <v>6833</v>
      </c>
      <c r="J2999" s="12" t="str">
        <f>HYPERLINK("https://www.boe.es/gazeta/dias/1806/10/03/pdfs/GMD-1806-81.pdf#page=5","Abrir facsímil")</f>
        <v>Abrir facsímil</v>
      </c>
      <c r="K2999" s="15" t="s">
        <v>22</v>
      </c>
    </row>
    <row r="3000" spans="1:11" ht="42" customHeight="1">
      <c r="A3000" s="4" t="s">
        <v>6834</v>
      </c>
      <c r="B3000" s="5" t="s">
        <v>6834</v>
      </c>
      <c r="C3000" s="5" t="s">
        <v>36</v>
      </c>
      <c r="D3000" s="5" t="s">
        <v>37</v>
      </c>
      <c r="E3000" s="5" t="s">
        <v>661</v>
      </c>
      <c r="F3000" s="9">
        <v>38</v>
      </c>
      <c r="G3000" s="9">
        <v>373</v>
      </c>
      <c r="H3000" s="5" t="s">
        <v>20</v>
      </c>
      <c r="I3000" s="5" t="s">
        <v>6835</v>
      </c>
      <c r="J3000" s="12" t="str">
        <f>HYPERLINK("https://www.boe.es/gazeta/dias/1806/05/06/pdfs/GMD-1806-38.pdf#page=9","Abrir facsímil")</f>
        <v>Abrir facsímil</v>
      </c>
      <c r="K3000" s="15" t="s">
        <v>22</v>
      </c>
    </row>
    <row r="3001" spans="1:11" ht="42" customHeight="1">
      <c r="A3001" s="4" t="s">
        <v>6834</v>
      </c>
      <c r="B3001" s="5" t="s">
        <v>6834</v>
      </c>
      <c r="C3001" s="5" t="s">
        <v>36</v>
      </c>
      <c r="D3001" s="5" t="s">
        <v>37</v>
      </c>
      <c r="E3001" s="5" t="s">
        <v>1568</v>
      </c>
      <c r="F3001" s="9">
        <v>84</v>
      </c>
      <c r="G3001" s="9">
        <v>871</v>
      </c>
      <c r="H3001" s="5" t="s">
        <v>20</v>
      </c>
      <c r="I3001" s="5" t="s">
        <v>6836</v>
      </c>
      <c r="J3001" s="12" t="str">
        <f>HYPERLINK("https://www.boe.es/gazeta/dias/1806/10/14/pdfs/GMD-1806-84.pdf#page=7","Abrir facsímil")</f>
        <v>Abrir facsímil</v>
      </c>
      <c r="K3001" s="15" t="s">
        <v>22</v>
      </c>
    </row>
    <row r="3002" spans="1:11" ht="42" customHeight="1">
      <c r="A3002" s="4" t="s">
        <v>6834</v>
      </c>
      <c r="B3002" s="5" t="s">
        <v>6834</v>
      </c>
      <c r="C3002" s="5" t="s">
        <v>36</v>
      </c>
      <c r="D3002" s="5" t="s">
        <v>37</v>
      </c>
      <c r="E3002" s="5" t="s">
        <v>570</v>
      </c>
      <c r="F3002" s="9">
        <v>93</v>
      </c>
      <c r="G3002" s="9">
        <v>979</v>
      </c>
      <c r="H3002" s="5" t="s">
        <v>20</v>
      </c>
      <c r="I3002" s="5" t="s">
        <v>6837</v>
      </c>
      <c r="J3002" s="12" t="str">
        <f>HYPERLINK("https://www.boe.es/gazeta/dias/1806/11/14/pdfs/GMD-1806-93.pdf#page=15","Abrir facsímil")</f>
        <v>Abrir facsímil</v>
      </c>
      <c r="K3002" s="15" t="s">
        <v>22</v>
      </c>
    </row>
    <row r="3003" spans="1:11" ht="42" customHeight="1">
      <c r="A3003" s="4" t="s">
        <v>6838</v>
      </c>
      <c r="B3003" s="5" t="s">
        <v>6838</v>
      </c>
      <c r="C3003" s="5" t="s">
        <v>31</v>
      </c>
      <c r="D3003" s="5" t="s">
        <v>32</v>
      </c>
      <c r="E3003" s="5" t="s">
        <v>181</v>
      </c>
      <c r="F3003" s="9">
        <v>99</v>
      </c>
      <c r="G3003" s="9">
        <v>1053</v>
      </c>
      <c r="H3003" s="5" t="s">
        <v>20</v>
      </c>
      <c r="I3003" s="5" t="s">
        <v>6839</v>
      </c>
      <c r="J3003" s="12" t="str">
        <f>HYPERLINK("https://www.boe.es/gazeta/dias/1806/12/05/pdfs/GMD-1806-99.pdf#page=9","Abrir facsímil")</f>
        <v>Abrir facsímil</v>
      </c>
      <c r="K3003" s="15" t="s">
        <v>22</v>
      </c>
    </row>
    <row r="3004" spans="1:11" ht="42" customHeight="1">
      <c r="A3004" s="4" t="s">
        <v>6840</v>
      </c>
      <c r="B3004" s="5" t="s">
        <v>6841</v>
      </c>
      <c r="C3004" s="5" t="s">
        <v>75</v>
      </c>
      <c r="D3004" s="5" t="s">
        <v>43</v>
      </c>
      <c r="E3004" s="5" t="s">
        <v>82</v>
      </c>
      <c r="F3004" s="9">
        <v>48</v>
      </c>
      <c r="G3004" s="9">
        <v>499</v>
      </c>
      <c r="H3004" s="5" t="s">
        <v>20</v>
      </c>
      <c r="I3004" s="5" t="s">
        <v>6842</v>
      </c>
      <c r="J3004" s="12" t="str">
        <f>HYPERLINK("https://www.boe.es/gazeta/dias/1806/06/10/pdfs/GMD-1806-48.pdf#page=11","Abrir facsímil")</f>
        <v>Abrir facsímil</v>
      </c>
      <c r="K3004" s="15" t="s">
        <v>22</v>
      </c>
    </row>
    <row r="3005" spans="1:11" ht="42" customHeight="1">
      <c r="A3005" s="4" t="s">
        <v>6843</v>
      </c>
      <c r="B3005" s="5" t="s">
        <v>6843</v>
      </c>
      <c r="C3005" s="5" t="s">
        <v>17</v>
      </c>
      <c r="D3005" s="5" t="s">
        <v>18</v>
      </c>
      <c r="E3005" s="5" t="s">
        <v>438</v>
      </c>
      <c r="F3005" s="9">
        <v>70</v>
      </c>
      <c r="G3005" s="9">
        <v>729</v>
      </c>
      <c r="H3005" s="5" t="s">
        <v>20</v>
      </c>
      <c r="I3005" s="5" t="s">
        <v>6844</v>
      </c>
      <c r="J3005" s="12" t="str">
        <f>HYPERLINK("https://www.boe.es/gazeta/dias/1806/08/26/pdfs/GMD-1806-70.pdf#page=5","Abrir facsímil")</f>
        <v>Abrir facsímil</v>
      </c>
      <c r="K3005" s="15" t="s">
        <v>22</v>
      </c>
    </row>
    <row r="3006" spans="1:11" ht="42" customHeight="1">
      <c r="A3006" s="4" t="s">
        <v>6843</v>
      </c>
      <c r="B3006" s="5" t="s">
        <v>6843</v>
      </c>
      <c r="C3006" s="5" t="s">
        <v>75</v>
      </c>
      <c r="D3006" s="5" t="s">
        <v>43</v>
      </c>
      <c r="E3006" s="5" t="s">
        <v>93</v>
      </c>
      <c r="F3006" s="9">
        <v>72</v>
      </c>
      <c r="G3006" s="9">
        <v>747</v>
      </c>
      <c r="H3006" s="5" t="s">
        <v>20</v>
      </c>
      <c r="I3006" s="5" t="s">
        <v>6845</v>
      </c>
      <c r="J3006" s="12" t="str">
        <f>HYPERLINK("https://www.boe.es/gazeta/dias/1806/09/02/pdfs/GMD-1806-72.pdf#page=7","Abrir facsímil")</f>
        <v>Abrir facsímil</v>
      </c>
      <c r="K3006" s="15" t="s">
        <v>22</v>
      </c>
    </row>
    <row r="3007" spans="1:11" ht="42" customHeight="1">
      <c r="A3007" s="4" t="s">
        <v>6846</v>
      </c>
      <c r="B3007" s="5" t="s">
        <v>6846</v>
      </c>
      <c r="C3007" s="5" t="s">
        <v>17</v>
      </c>
      <c r="D3007" s="5" t="s">
        <v>18</v>
      </c>
      <c r="E3007" s="5" t="s">
        <v>195</v>
      </c>
      <c r="F3007" s="9">
        <v>4</v>
      </c>
      <c r="G3007" s="9">
        <v>35</v>
      </c>
      <c r="H3007" s="5" t="s">
        <v>20</v>
      </c>
      <c r="I3007" s="5" t="s">
        <v>6847</v>
      </c>
      <c r="J3007" s="12" t="str">
        <f>HYPERLINK("https://www.boe.es/gazeta/dias/1806/01/14/pdfs/GMD-1806-4.pdf#page=7","Abrir facsímil")</f>
        <v>Abrir facsímil</v>
      </c>
      <c r="K3007" s="15" t="s">
        <v>22</v>
      </c>
    </row>
    <row r="3008" spans="1:11" ht="42" customHeight="1">
      <c r="A3008" s="4" t="s">
        <v>6848</v>
      </c>
      <c r="B3008" s="5" t="s">
        <v>6848</v>
      </c>
      <c r="C3008" s="5" t="s">
        <v>31</v>
      </c>
      <c r="D3008" s="5" t="s">
        <v>32</v>
      </c>
      <c r="E3008" s="5" t="s">
        <v>209</v>
      </c>
      <c r="F3008" s="9">
        <v>95</v>
      </c>
      <c r="G3008" s="9">
        <v>1005</v>
      </c>
      <c r="H3008" s="5" t="s">
        <v>20</v>
      </c>
      <c r="I3008" s="5" t="s">
        <v>6849</v>
      </c>
      <c r="J3008" s="12" t="str">
        <f>HYPERLINK("https://www.boe.es/gazeta/dias/1806/11/21/pdfs/GMD-1806-95.pdf#page=13","Abrir facsímil")</f>
        <v>Abrir facsímil</v>
      </c>
      <c r="K3008" s="15" t="s">
        <v>22</v>
      </c>
    </row>
    <row r="3009" spans="1:11" ht="42" customHeight="1">
      <c r="A3009" s="4" t="s">
        <v>6850</v>
      </c>
      <c r="B3009" s="5" t="s">
        <v>6850</v>
      </c>
      <c r="C3009" s="5" t="s">
        <v>42</v>
      </c>
      <c r="D3009" s="5" t="s">
        <v>43</v>
      </c>
      <c r="E3009" s="5" t="s">
        <v>383</v>
      </c>
      <c r="F3009" s="9">
        <v>54</v>
      </c>
      <c r="G3009" s="9">
        <v>562</v>
      </c>
      <c r="H3009" s="5" t="s">
        <v>20</v>
      </c>
      <c r="I3009" s="5" t="s">
        <v>6851</v>
      </c>
      <c r="J3009" s="12" t="str">
        <f>HYPERLINK("https://www.boe.es/gazeta/dias/1806/07/01/pdfs/GMD-1806-54.pdf#page=6","Abrir facsímil")</f>
        <v>Abrir facsímil</v>
      </c>
      <c r="K3009" s="15" t="s">
        <v>22</v>
      </c>
    </row>
    <row r="3010" spans="1:11" ht="42" customHeight="1">
      <c r="A3010" s="4" t="s">
        <v>6852</v>
      </c>
      <c r="B3010" s="5" t="s">
        <v>6852</v>
      </c>
      <c r="C3010" s="5" t="s">
        <v>17</v>
      </c>
      <c r="D3010" s="5" t="s">
        <v>18</v>
      </c>
      <c r="E3010" s="5" t="s">
        <v>245</v>
      </c>
      <c r="F3010" s="9">
        <v>106</v>
      </c>
      <c r="G3010" s="9">
        <v>1122</v>
      </c>
      <c r="H3010" s="5" t="s">
        <v>20</v>
      </c>
      <c r="I3010" s="5" t="s">
        <v>6853</v>
      </c>
      <c r="J3010" s="12" t="str">
        <f>HYPERLINK("https://www.boe.es/gazeta/dias/1806/12/26/pdfs/GMD-1806-106.pdf#page=6","Abrir facsímil")</f>
        <v>Abrir facsímil</v>
      </c>
      <c r="K3010" s="15" t="s">
        <v>22</v>
      </c>
    </row>
    <row r="3011" spans="1:11" ht="42" customHeight="1">
      <c r="A3011" s="4" t="s">
        <v>6854</v>
      </c>
      <c r="B3011" s="5" t="s">
        <v>6854</v>
      </c>
      <c r="C3011" s="5" t="s">
        <v>31</v>
      </c>
      <c r="D3011" s="5" t="s">
        <v>32</v>
      </c>
      <c r="E3011" s="5" t="s">
        <v>327</v>
      </c>
      <c r="F3011" s="9">
        <v>104</v>
      </c>
      <c r="G3011" s="9">
        <v>1110</v>
      </c>
      <c r="H3011" s="5" t="s">
        <v>20</v>
      </c>
      <c r="I3011" s="5" t="s">
        <v>6855</v>
      </c>
      <c r="J3011" s="12" t="str">
        <f>HYPERLINK("https://www.boe.es/gazeta/dias/1806/12/23/pdfs/GMD-1806-104.pdf#page=10","Abrir facsímil")</f>
        <v>Abrir facsímil</v>
      </c>
      <c r="K3011" s="15" t="s">
        <v>22</v>
      </c>
    </row>
    <row r="3012" spans="1:11" ht="42" customHeight="1">
      <c r="A3012" s="4" t="s">
        <v>6856</v>
      </c>
      <c r="B3012" s="5" t="s">
        <v>6856</v>
      </c>
      <c r="C3012" s="5" t="s">
        <v>69</v>
      </c>
      <c r="D3012" s="5" t="s">
        <v>70</v>
      </c>
      <c r="E3012" s="5" t="s">
        <v>144</v>
      </c>
      <c r="F3012" s="9">
        <v>79</v>
      </c>
      <c r="G3012" s="9">
        <v>817</v>
      </c>
      <c r="H3012" s="5" t="s">
        <v>20</v>
      </c>
      <c r="I3012" s="5" t="s">
        <v>6857</v>
      </c>
      <c r="J3012" s="12" t="str">
        <f>HYPERLINK("https://www.boe.es/gazeta/dias/1806/09/26/pdfs/GMD-1806-79.pdf#page=9","Abrir facsímil")</f>
        <v>Abrir facsímil</v>
      </c>
      <c r="K3012" s="15" t="s">
        <v>22</v>
      </c>
    </row>
    <row r="3013" spans="1:11" ht="42" customHeight="1">
      <c r="A3013" s="4" t="s">
        <v>6858</v>
      </c>
      <c r="B3013" s="5" t="s">
        <v>6858</v>
      </c>
      <c r="C3013" s="5" t="s">
        <v>31</v>
      </c>
      <c r="D3013" s="5" t="s">
        <v>32</v>
      </c>
      <c r="E3013" s="5" t="s">
        <v>175</v>
      </c>
      <c r="F3013" s="9">
        <v>40</v>
      </c>
      <c r="G3013" s="9">
        <v>395</v>
      </c>
      <c r="H3013" s="5" t="s">
        <v>20</v>
      </c>
      <c r="I3013" s="5" t="s">
        <v>6859</v>
      </c>
      <c r="J3013" s="12" t="str">
        <f>HYPERLINK("https://www.boe.es/gazeta/dias/1806/05/13/pdfs/GMD-1806-40.pdf#page=7","Abrir facsímil")</f>
        <v>Abrir facsímil</v>
      </c>
      <c r="K3013" s="15" t="s">
        <v>22</v>
      </c>
    </row>
    <row r="3014" spans="1:11" ht="42" customHeight="1">
      <c r="A3014" s="4" t="s">
        <v>6860</v>
      </c>
      <c r="B3014" s="5" t="s">
        <v>6860</v>
      </c>
      <c r="C3014" s="5" t="s">
        <v>17</v>
      </c>
      <c r="D3014" s="5" t="s">
        <v>18</v>
      </c>
      <c r="E3014" s="5" t="s">
        <v>238</v>
      </c>
      <c r="F3014" s="9">
        <v>18</v>
      </c>
      <c r="G3014" s="9">
        <v>160</v>
      </c>
      <c r="H3014" s="5" t="s">
        <v>20</v>
      </c>
      <c r="I3014" s="5" t="s">
        <v>6861</v>
      </c>
      <c r="J3014" s="12" t="str">
        <f>HYPERLINK("https://www.boe.es/gazeta/dias/1806/02/25/pdfs/GMD-1806-18.pdf#page=8","Abrir facsímil")</f>
        <v>Abrir facsímil</v>
      </c>
      <c r="K3014" s="15" t="s">
        <v>22</v>
      </c>
    </row>
    <row r="3015" spans="1:11" ht="42" customHeight="1">
      <c r="A3015" s="4" t="s">
        <v>6862</v>
      </c>
      <c r="B3015" s="5" t="s">
        <v>6862</v>
      </c>
      <c r="C3015" s="5" t="s">
        <v>31</v>
      </c>
      <c r="D3015" s="5" t="s">
        <v>32</v>
      </c>
      <c r="E3015" s="5" t="s">
        <v>580</v>
      </c>
      <c r="F3015" s="9">
        <v>23</v>
      </c>
      <c r="G3015" s="9">
        <v>221</v>
      </c>
      <c r="H3015" s="5" t="s">
        <v>20</v>
      </c>
      <c r="I3015" s="5" t="s">
        <v>6863</v>
      </c>
      <c r="J3015" s="12" t="str">
        <f>HYPERLINK("https://www.boe.es/gazeta/dias/1806/03/14/pdfs/GMD-1806-23.pdf#page=9","Abrir facsímil")</f>
        <v>Abrir facsímil</v>
      </c>
      <c r="K3015" s="15" t="s">
        <v>22</v>
      </c>
    </row>
    <row r="3016" spans="1:11" ht="42" customHeight="1">
      <c r="A3016" s="4" t="s">
        <v>6864</v>
      </c>
      <c r="B3016" s="5" t="s">
        <v>6864</v>
      </c>
      <c r="C3016" s="5" t="s">
        <v>17</v>
      </c>
      <c r="D3016" s="5" t="s">
        <v>18</v>
      </c>
      <c r="E3016" s="5" t="s">
        <v>304</v>
      </c>
      <c r="F3016" s="9">
        <v>47</v>
      </c>
      <c r="G3016" s="9">
        <v>479</v>
      </c>
      <c r="H3016" s="5" t="s">
        <v>20</v>
      </c>
      <c r="I3016" s="5" t="s">
        <v>6865</v>
      </c>
      <c r="J3016" s="12" t="str">
        <f>HYPERLINK("https://www.boe.es/gazeta/dias/1806/06/06/pdfs/GMD-1806-47.pdf#page=7","Abrir facsímil")</f>
        <v>Abrir facsímil</v>
      </c>
      <c r="K3016" s="15" t="s">
        <v>22</v>
      </c>
    </row>
    <row r="3017" spans="1:11" ht="42" customHeight="1">
      <c r="A3017" s="4" t="s">
        <v>6866</v>
      </c>
      <c r="B3017" s="5" t="s">
        <v>6867</v>
      </c>
      <c r="C3017" s="5" t="s">
        <v>31</v>
      </c>
      <c r="D3017" s="5" t="s">
        <v>32</v>
      </c>
      <c r="E3017" s="5" t="s">
        <v>178</v>
      </c>
      <c r="F3017" s="9">
        <v>36</v>
      </c>
      <c r="G3017" s="9">
        <v>350</v>
      </c>
      <c r="H3017" s="5" t="s">
        <v>20</v>
      </c>
      <c r="I3017" s="5" t="s">
        <v>6868</v>
      </c>
      <c r="J3017" s="12" t="str">
        <f>HYPERLINK("https://www.boe.es/gazeta/dias/1806/04/29/pdfs/GMD-1806-36.pdf#page=6","Abrir facsímil")</f>
        <v>Abrir facsímil</v>
      </c>
      <c r="K3017" s="15" t="s">
        <v>22</v>
      </c>
    </row>
    <row r="3018" spans="1:11" ht="42" customHeight="1">
      <c r="A3018" s="4" t="s">
        <v>6869</v>
      </c>
      <c r="B3018" s="5" t="s">
        <v>6869</v>
      </c>
      <c r="C3018" s="5" t="s">
        <v>17</v>
      </c>
      <c r="D3018" s="5" t="s">
        <v>18</v>
      </c>
      <c r="E3018" s="5" t="s">
        <v>259</v>
      </c>
      <c r="F3018" s="9">
        <v>34</v>
      </c>
      <c r="G3018" s="9">
        <v>336</v>
      </c>
      <c r="H3018" s="5" t="s">
        <v>20</v>
      </c>
      <c r="I3018" s="5" t="s">
        <v>6870</v>
      </c>
      <c r="J3018" s="12" t="str">
        <f>HYPERLINK("https://www.boe.es/gazeta/dias/1806/04/22/pdfs/GMD-1806-34.pdf#page=8","Abrir facsímil")</f>
        <v>Abrir facsímil</v>
      </c>
      <c r="K3018" s="15" t="s">
        <v>22</v>
      </c>
    </row>
    <row r="3019" spans="1:11" ht="42" customHeight="1">
      <c r="A3019" s="4" t="s">
        <v>6871</v>
      </c>
      <c r="B3019" s="5" t="s">
        <v>6871</v>
      </c>
      <c r="C3019" s="5" t="s">
        <v>31</v>
      </c>
      <c r="D3019" s="5" t="s">
        <v>32</v>
      </c>
      <c r="E3019" s="5" t="s">
        <v>213</v>
      </c>
      <c r="F3019" s="9">
        <v>73</v>
      </c>
      <c r="G3019" s="9">
        <v>758</v>
      </c>
      <c r="H3019" s="5" t="s">
        <v>20</v>
      </c>
      <c r="I3019" s="5" t="s">
        <v>6872</v>
      </c>
      <c r="J3019" s="12" t="str">
        <f>HYPERLINK("https://www.boe.es/gazeta/dias/1806/09/05/pdfs/GMD-1806-73.pdf#page=6","Abrir facsímil")</f>
        <v>Abrir facsímil</v>
      </c>
      <c r="K3019" s="15" t="s">
        <v>22</v>
      </c>
    </row>
    <row r="3020" spans="1:11" ht="42" customHeight="1">
      <c r="A3020" s="4" t="s">
        <v>6873</v>
      </c>
      <c r="B3020" s="5" t="s">
        <v>6873</v>
      </c>
      <c r="C3020" s="5" t="s">
        <v>36</v>
      </c>
      <c r="D3020" s="5" t="s">
        <v>37</v>
      </c>
      <c r="E3020" s="5" t="s">
        <v>238</v>
      </c>
      <c r="F3020" s="9">
        <v>18</v>
      </c>
      <c r="G3020" s="9">
        <v>164</v>
      </c>
      <c r="H3020" s="5" t="s">
        <v>20</v>
      </c>
      <c r="I3020" s="5" t="s">
        <v>6874</v>
      </c>
      <c r="J3020" s="12" t="str">
        <f>HYPERLINK("https://www.boe.es/gazeta/dias/1806/02/25/pdfs/GMD-1806-18.pdf#page=12","Abrir facsímil")</f>
        <v>Abrir facsímil</v>
      </c>
      <c r="K3020" s="15" t="s">
        <v>22</v>
      </c>
    </row>
    <row r="3021" spans="1:11" ht="42" customHeight="1">
      <c r="A3021" s="4" t="s">
        <v>6875</v>
      </c>
      <c r="B3021" s="5" t="s">
        <v>6875</v>
      </c>
      <c r="C3021" s="5" t="s">
        <v>31</v>
      </c>
      <c r="D3021" s="5" t="s">
        <v>32</v>
      </c>
      <c r="E3021" s="5" t="s">
        <v>309</v>
      </c>
      <c r="F3021" s="9">
        <v>41</v>
      </c>
      <c r="G3021" s="9">
        <v>410</v>
      </c>
      <c r="H3021" s="5" t="s">
        <v>20</v>
      </c>
      <c r="I3021" s="5" t="s">
        <v>6876</v>
      </c>
      <c r="J3021" s="12" t="str">
        <f>HYPERLINK("https://www.boe.es/gazeta/dias/1806/05/16/pdfs/GMD-1806-41.pdf#page=10","Abrir facsímil")</f>
        <v>Abrir facsímil</v>
      </c>
      <c r="K3021" s="15" t="s">
        <v>22</v>
      </c>
    </row>
    <row r="3022" spans="1:11" ht="42" customHeight="1">
      <c r="A3022" s="4" t="s">
        <v>6877</v>
      </c>
      <c r="B3022" s="5" t="s">
        <v>6877</v>
      </c>
      <c r="C3022" s="5" t="s">
        <v>31</v>
      </c>
      <c r="D3022" s="5" t="s">
        <v>32</v>
      </c>
      <c r="E3022" s="5" t="s">
        <v>118</v>
      </c>
      <c r="F3022" s="9">
        <v>15</v>
      </c>
      <c r="G3022" s="9">
        <v>134</v>
      </c>
      <c r="H3022" s="5" t="s">
        <v>20</v>
      </c>
      <c r="I3022" s="5" t="s">
        <v>6878</v>
      </c>
      <c r="J3022" s="12" t="str">
        <f>HYPERLINK("https://www.boe.es/gazeta/dias/1806/02/14/pdfs/GMD-1806-15.pdf#page=10","Abrir facsímil")</f>
        <v>Abrir facsímil</v>
      </c>
      <c r="K3022" s="15" t="s">
        <v>22</v>
      </c>
    </row>
    <row r="3023" spans="1:11" ht="42" customHeight="1">
      <c r="A3023" s="4" t="s">
        <v>6879</v>
      </c>
      <c r="B3023" s="5" t="s">
        <v>6880</v>
      </c>
      <c r="C3023" s="5" t="s">
        <v>17</v>
      </c>
      <c r="D3023" s="5" t="s">
        <v>18</v>
      </c>
      <c r="E3023" s="5" t="s">
        <v>540</v>
      </c>
      <c r="F3023" s="9">
        <v>51</v>
      </c>
      <c r="G3023" s="9">
        <v>530</v>
      </c>
      <c r="H3023" s="5" t="s">
        <v>20</v>
      </c>
      <c r="I3023" s="5" t="s">
        <v>6881</v>
      </c>
      <c r="J3023" s="12" t="str">
        <f>HYPERLINK("https://www.boe.es/gazeta/dias/1806/06/20/pdfs/GMD-1806-51.pdf#page=10","Abrir facsímil")</f>
        <v>Abrir facsímil</v>
      </c>
      <c r="K3023" s="15" t="s">
        <v>22</v>
      </c>
    </row>
    <row r="3024" spans="1:11" ht="42" customHeight="1">
      <c r="A3024" s="4" t="s">
        <v>6882</v>
      </c>
      <c r="B3024" s="5" t="s">
        <v>6882</v>
      </c>
      <c r="C3024" s="5" t="s">
        <v>31</v>
      </c>
      <c r="D3024" s="5" t="s">
        <v>32</v>
      </c>
      <c r="E3024" s="5" t="s">
        <v>202</v>
      </c>
      <c r="F3024" s="9">
        <v>30</v>
      </c>
      <c r="G3024" s="9">
        <v>295</v>
      </c>
      <c r="H3024" s="5" t="s">
        <v>20</v>
      </c>
      <c r="I3024" s="5" t="s">
        <v>6883</v>
      </c>
      <c r="J3024" s="12" t="str">
        <f>HYPERLINK("https://www.boe.es/gazeta/dias/1806/04/08/pdfs/GMD-1806-30.pdf#page=7","Abrir facsímil")</f>
        <v>Abrir facsímil</v>
      </c>
      <c r="K3024" s="15" t="s">
        <v>22</v>
      </c>
    </row>
    <row r="3025" spans="1:11" ht="42" customHeight="1">
      <c r="A3025" s="4" t="s">
        <v>6884</v>
      </c>
      <c r="B3025" s="5" t="s">
        <v>6885</v>
      </c>
      <c r="C3025" s="5" t="s">
        <v>31</v>
      </c>
      <c r="D3025" s="5" t="s">
        <v>32</v>
      </c>
      <c r="E3025" s="5" t="s">
        <v>28</v>
      </c>
      <c r="F3025" s="9">
        <v>102</v>
      </c>
      <c r="G3025" s="9">
        <v>1085</v>
      </c>
      <c r="H3025" s="5" t="s">
        <v>20</v>
      </c>
      <c r="I3025" s="5" t="s">
        <v>6886</v>
      </c>
      <c r="J3025" s="12" t="str">
        <f>HYPERLINK("https://www.boe.es/gazeta/dias/1806/12/16/pdfs/GMD-1806-102.pdf#page=9","Abrir facsímil")</f>
        <v>Abrir facsímil</v>
      </c>
      <c r="K3025" s="15" t="s">
        <v>22</v>
      </c>
    </row>
    <row r="3026" spans="1:11" ht="42" customHeight="1">
      <c r="A3026" s="4" t="s">
        <v>6887</v>
      </c>
      <c r="B3026" s="5" t="s">
        <v>6887</v>
      </c>
      <c r="C3026" s="5" t="s">
        <v>75</v>
      </c>
      <c r="D3026" s="5" t="s">
        <v>43</v>
      </c>
      <c r="E3026" s="5" t="s">
        <v>438</v>
      </c>
      <c r="F3026" s="9">
        <v>70</v>
      </c>
      <c r="G3026" s="9">
        <v>732</v>
      </c>
      <c r="H3026" s="5" t="s">
        <v>20</v>
      </c>
      <c r="I3026" s="5" t="s">
        <v>6888</v>
      </c>
      <c r="J3026" s="12" t="str">
        <f>HYPERLINK("https://www.boe.es/gazeta/dias/1806/08/26/pdfs/GMD-1806-70.pdf#page=8","Abrir facsímil")</f>
        <v>Abrir facsímil</v>
      </c>
      <c r="K3026" s="15" t="s">
        <v>22</v>
      </c>
    </row>
    <row r="3027" spans="1:11" ht="42" customHeight="1">
      <c r="A3027" s="4" t="s">
        <v>6889</v>
      </c>
      <c r="B3027" s="5" t="s">
        <v>6889</v>
      </c>
      <c r="C3027" s="5" t="s">
        <v>31</v>
      </c>
      <c r="D3027" s="5" t="s">
        <v>32</v>
      </c>
      <c r="E3027" s="5" t="s">
        <v>279</v>
      </c>
      <c r="F3027" s="9">
        <v>52</v>
      </c>
      <c r="G3027" s="9">
        <v>542</v>
      </c>
      <c r="H3027" s="5" t="s">
        <v>20</v>
      </c>
      <c r="I3027" s="5" t="s">
        <v>6890</v>
      </c>
      <c r="J3027" s="12" t="str">
        <f>HYPERLINK("https://www.boe.es/gazeta/dias/1806/06/24/pdfs/GMD-1806-52.pdf#page=10","Abrir facsímil")</f>
        <v>Abrir facsímil</v>
      </c>
      <c r="K3027" s="15" t="s">
        <v>22</v>
      </c>
    </row>
    <row r="3028" spans="1:11" ht="42" customHeight="1">
      <c r="A3028" s="4" t="s">
        <v>6889</v>
      </c>
      <c r="B3028" s="5" t="s">
        <v>6889</v>
      </c>
      <c r="C3028" s="5" t="s">
        <v>75</v>
      </c>
      <c r="D3028" s="5" t="s">
        <v>43</v>
      </c>
      <c r="E3028" s="5" t="s">
        <v>301</v>
      </c>
      <c r="F3028" s="9">
        <v>75</v>
      </c>
      <c r="G3028" s="9">
        <v>778</v>
      </c>
      <c r="H3028" s="5" t="s">
        <v>20</v>
      </c>
      <c r="I3028" s="5" t="s">
        <v>6891</v>
      </c>
      <c r="J3028" s="12" t="str">
        <f>HYPERLINK("https://www.boe.es/gazeta/dias/1806/09/12/pdfs/GMD-1806-75.pdf#page=10","Abrir facsímil")</f>
        <v>Abrir facsímil</v>
      </c>
      <c r="K3028" s="15" t="s">
        <v>22</v>
      </c>
    </row>
    <row r="3029" spans="1:11" ht="42" customHeight="1">
      <c r="A3029" s="4" t="s">
        <v>6889</v>
      </c>
      <c r="B3029" s="5" t="s">
        <v>6889</v>
      </c>
      <c r="C3029" s="5" t="s">
        <v>75</v>
      </c>
      <c r="D3029" s="5" t="s">
        <v>43</v>
      </c>
      <c r="E3029" s="5" t="s">
        <v>405</v>
      </c>
      <c r="F3029" s="9">
        <v>80</v>
      </c>
      <c r="G3029" s="9">
        <v>832</v>
      </c>
      <c r="H3029" s="5" t="s">
        <v>20</v>
      </c>
      <c r="I3029" s="5" t="s">
        <v>6892</v>
      </c>
      <c r="J3029" s="12" t="str">
        <f>HYPERLINK("https://www.boe.es/gazeta/dias/1806/09/30/pdfs/GMD-1806-80.pdf#page=12","Abrir facsímil")</f>
        <v>Abrir facsímil</v>
      </c>
      <c r="K3029" s="15" t="s">
        <v>22</v>
      </c>
    </row>
    <row r="3030" spans="1:11" ht="42" customHeight="1">
      <c r="A3030" s="4" t="s">
        <v>6889</v>
      </c>
      <c r="B3030" s="5" t="s">
        <v>6889</v>
      </c>
      <c r="C3030" s="5" t="s">
        <v>31</v>
      </c>
      <c r="D3030" s="5" t="s">
        <v>32</v>
      </c>
      <c r="E3030" s="5" t="s">
        <v>127</v>
      </c>
      <c r="F3030" s="9">
        <v>81</v>
      </c>
      <c r="G3030" s="9">
        <v>840</v>
      </c>
      <c r="H3030" s="5" t="s">
        <v>20</v>
      </c>
      <c r="I3030" s="5" t="s">
        <v>6893</v>
      </c>
      <c r="J3030" s="12" t="str">
        <f>HYPERLINK("https://www.boe.es/gazeta/dias/1806/10/03/pdfs/GMD-1806-81.pdf#page=8","Abrir facsímil")</f>
        <v>Abrir facsímil</v>
      </c>
      <c r="K3030" s="15" t="s">
        <v>22</v>
      </c>
    </row>
    <row r="3031" spans="1:11" ht="42" customHeight="1">
      <c r="A3031" s="4" t="s">
        <v>6889</v>
      </c>
      <c r="B3031" s="5" t="s">
        <v>6889</v>
      </c>
      <c r="C3031" s="5" t="s">
        <v>75</v>
      </c>
      <c r="D3031" s="5" t="s">
        <v>43</v>
      </c>
      <c r="E3031" s="5" t="s">
        <v>140</v>
      </c>
      <c r="F3031" s="9">
        <v>83</v>
      </c>
      <c r="G3031" s="9">
        <v>861</v>
      </c>
      <c r="H3031" s="5" t="s">
        <v>20</v>
      </c>
      <c r="I3031" s="5" t="s">
        <v>6894</v>
      </c>
      <c r="J3031" s="12" t="str">
        <f>HYPERLINK("https://www.boe.es/gazeta/dias/1806/10/10/pdfs/GMD-1806-83.pdf#page=9","Abrir facsímil")</f>
        <v>Abrir facsímil</v>
      </c>
      <c r="K3031" s="15" t="s">
        <v>22</v>
      </c>
    </row>
    <row r="3032" spans="1:11" ht="42" customHeight="1">
      <c r="A3032" s="4" t="s">
        <v>6895</v>
      </c>
      <c r="B3032" s="5" t="s">
        <v>6895</v>
      </c>
      <c r="C3032" s="5" t="s">
        <v>75</v>
      </c>
      <c r="D3032" s="5" t="s">
        <v>43</v>
      </c>
      <c r="E3032" s="5" t="s">
        <v>304</v>
      </c>
      <c r="F3032" s="9">
        <v>47</v>
      </c>
      <c r="G3032" s="9">
        <v>479</v>
      </c>
      <c r="H3032" s="5" t="s">
        <v>20</v>
      </c>
      <c r="I3032" s="5" t="s">
        <v>6896</v>
      </c>
      <c r="J3032" s="12" t="str">
        <f>HYPERLINK("https://www.boe.es/gazeta/dias/1806/06/06/pdfs/GMD-1806-47.pdf#page=7","Abrir facsímil")</f>
        <v>Abrir facsímil</v>
      </c>
      <c r="K3032" s="15" t="s">
        <v>22</v>
      </c>
    </row>
    <row r="3033" spans="1:11" ht="42" customHeight="1">
      <c r="A3033" s="4" t="s">
        <v>6897</v>
      </c>
      <c r="B3033" s="5" t="s">
        <v>6897</v>
      </c>
      <c r="C3033" s="5" t="s">
        <v>31</v>
      </c>
      <c r="D3033" s="5" t="s">
        <v>32</v>
      </c>
      <c r="E3033" s="5" t="s">
        <v>483</v>
      </c>
      <c r="F3033" s="9">
        <v>58</v>
      </c>
      <c r="G3033" s="9">
        <v>602</v>
      </c>
      <c r="H3033" s="5" t="s">
        <v>20</v>
      </c>
      <c r="I3033" s="5" t="s">
        <v>6898</v>
      </c>
      <c r="J3033" s="12" t="str">
        <f>HYPERLINK("https://www.boe.es/gazeta/dias/1806/07/15/pdfs/GMD-1806-58.pdf#page=6","Abrir facsímil")</f>
        <v>Abrir facsímil</v>
      </c>
      <c r="K3033" s="15" t="s">
        <v>22</v>
      </c>
    </row>
    <row r="3034" spans="1:11" ht="42" customHeight="1">
      <c r="A3034" s="4" t="s">
        <v>6899</v>
      </c>
      <c r="B3034" s="5" t="s">
        <v>6899</v>
      </c>
      <c r="C3034" s="5" t="s">
        <v>17</v>
      </c>
      <c r="D3034" s="5" t="s">
        <v>18</v>
      </c>
      <c r="E3034" s="5" t="s">
        <v>148</v>
      </c>
      <c r="F3034" s="9">
        <v>78</v>
      </c>
      <c r="G3034" s="9">
        <v>807</v>
      </c>
      <c r="H3034" s="5" t="s">
        <v>20</v>
      </c>
      <c r="I3034" s="5" t="s">
        <v>6900</v>
      </c>
      <c r="J3034" s="12" t="str">
        <f>HYPERLINK("https://www.boe.es/gazeta/dias/1806/09/23/pdfs/GMD-1806-78.pdf#page=11","Abrir facsímil")</f>
        <v>Abrir facsímil</v>
      </c>
      <c r="K3034" s="15" t="s">
        <v>22</v>
      </c>
    </row>
    <row r="3035" spans="1:11" ht="42" customHeight="1">
      <c r="A3035" s="4" t="s">
        <v>6901</v>
      </c>
      <c r="B3035" s="5" t="s">
        <v>6901</v>
      </c>
      <c r="C3035" s="5" t="s">
        <v>36</v>
      </c>
      <c r="D3035" s="5" t="s">
        <v>37</v>
      </c>
      <c r="E3035" s="5" t="s">
        <v>810</v>
      </c>
      <c r="F3035" s="9">
        <v>71</v>
      </c>
      <c r="G3035" s="9">
        <v>740</v>
      </c>
      <c r="H3035" s="5" t="s">
        <v>20</v>
      </c>
      <c r="I3035" s="5" t="s">
        <v>6902</v>
      </c>
      <c r="J3035" s="12" t="str">
        <f>HYPERLINK("https://www.boe.es/gazeta/dias/1806/08/29/pdfs/GMD-1806-71.pdf#page=8","Abrir facsímil")</f>
        <v>Abrir facsímil</v>
      </c>
      <c r="K3035" s="15" t="s">
        <v>22</v>
      </c>
    </row>
    <row r="3036" spans="1:11" ht="42" customHeight="1">
      <c r="A3036" s="4" t="s">
        <v>6903</v>
      </c>
      <c r="B3036" s="5" t="s">
        <v>6904</v>
      </c>
      <c r="C3036" s="5" t="s">
        <v>17</v>
      </c>
      <c r="D3036" s="5" t="s">
        <v>18</v>
      </c>
      <c r="E3036" s="5" t="s">
        <v>178</v>
      </c>
      <c r="F3036" s="9">
        <v>36</v>
      </c>
      <c r="G3036" s="9">
        <v>350</v>
      </c>
      <c r="H3036" s="5" t="s">
        <v>20</v>
      </c>
      <c r="I3036" s="5" t="s">
        <v>6905</v>
      </c>
      <c r="J3036" s="12" t="str">
        <f>HYPERLINK("https://www.boe.es/gazeta/dias/1806/04/29/pdfs/GMD-1806-36.pdf#page=6","Abrir facsímil")</f>
        <v>Abrir facsímil</v>
      </c>
      <c r="K3036" s="15" t="s">
        <v>22</v>
      </c>
    </row>
    <row r="3037" spans="1:11" ht="42" customHeight="1">
      <c r="A3037" s="4" t="s">
        <v>6906</v>
      </c>
      <c r="B3037" s="5" t="s">
        <v>6906</v>
      </c>
      <c r="C3037" s="5" t="s">
        <v>69</v>
      </c>
      <c r="D3037" s="5" t="s">
        <v>70</v>
      </c>
      <c r="E3037" s="5" t="s">
        <v>28</v>
      </c>
      <c r="F3037" s="9">
        <v>102</v>
      </c>
      <c r="G3037" s="9">
        <v>1082</v>
      </c>
      <c r="H3037" s="5" t="s">
        <v>20</v>
      </c>
      <c r="I3037" s="5" t="s">
        <v>6907</v>
      </c>
      <c r="J3037" s="12" t="str">
        <f>HYPERLINK("https://www.boe.es/gazeta/dias/1806/12/16/pdfs/GMD-1806-102.pdf#page=6","Abrir facsímil")</f>
        <v>Abrir facsímil</v>
      </c>
      <c r="K3037" s="15" t="s">
        <v>22</v>
      </c>
    </row>
    <row r="3038" spans="1:11" ht="42" customHeight="1">
      <c r="A3038" s="4" t="s">
        <v>6908</v>
      </c>
      <c r="B3038" s="5" t="s">
        <v>6908</v>
      </c>
      <c r="C3038" s="5" t="s">
        <v>31</v>
      </c>
      <c r="D3038" s="5" t="s">
        <v>32</v>
      </c>
      <c r="E3038" s="5" t="s">
        <v>455</v>
      </c>
      <c r="F3038" s="9">
        <v>85</v>
      </c>
      <c r="G3038" s="9">
        <v>881</v>
      </c>
      <c r="H3038" s="5" t="s">
        <v>20</v>
      </c>
      <c r="I3038" s="5" t="s">
        <v>6909</v>
      </c>
      <c r="J3038" s="12" t="str">
        <f>HYPERLINK("https://www.boe.es/gazeta/dias/1806/10/17/pdfs/GMD-1806-85.pdf#page=9","Abrir facsímil")</f>
        <v>Abrir facsímil</v>
      </c>
      <c r="K3038" s="15" t="s">
        <v>22</v>
      </c>
    </row>
    <row r="3039" spans="1:11" ht="42" customHeight="1">
      <c r="A3039" s="4" t="s">
        <v>6910</v>
      </c>
      <c r="B3039" s="5" t="s">
        <v>6910</v>
      </c>
      <c r="C3039" s="5" t="s">
        <v>31</v>
      </c>
      <c r="D3039" s="5" t="s">
        <v>32</v>
      </c>
      <c r="E3039" s="5" t="s">
        <v>86</v>
      </c>
      <c r="F3039" s="9">
        <v>53</v>
      </c>
      <c r="G3039" s="9">
        <v>553</v>
      </c>
      <c r="H3039" s="5" t="s">
        <v>20</v>
      </c>
      <c r="I3039" s="5" t="s">
        <v>6911</v>
      </c>
      <c r="J3039" s="12" t="str">
        <f>HYPERLINK("https://www.boe.es/gazeta/dias/1806/06/27/pdfs/GMD-1806-53.pdf#page=9","Abrir facsímil")</f>
        <v>Abrir facsímil</v>
      </c>
      <c r="K3039" s="15" t="s">
        <v>22</v>
      </c>
    </row>
    <row r="3040" spans="1:11" ht="42" customHeight="1">
      <c r="A3040" s="4" t="s">
        <v>6912</v>
      </c>
      <c r="B3040" s="5" t="s">
        <v>6912</v>
      </c>
      <c r="C3040" s="5" t="s">
        <v>31</v>
      </c>
      <c r="D3040" s="5" t="s">
        <v>32</v>
      </c>
      <c r="E3040" s="5" t="s">
        <v>483</v>
      </c>
      <c r="F3040" s="9">
        <v>58</v>
      </c>
      <c r="G3040" s="9">
        <v>601</v>
      </c>
      <c r="H3040" s="5" t="s">
        <v>20</v>
      </c>
      <c r="I3040" s="5" t="s">
        <v>6913</v>
      </c>
      <c r="J3040" s="12" t="str">
        <f>HYPERLINK("https://www.boe.es/gazeta/dias/1806/07/15/pdfs/GMD-1806-58.pdf#page=5","Abrir facsímil")</f>
        <v>Abrir facsímil</v>
      </c>
      <c r="K3040" s="15" t="s">
        <v>22</v>
      </c>
    </row>
    <row r="3041" spans="1:11" ht="42" customHeight="1">
      <c r="A3041" s="4" t="s">
        <v>6914</v>
      </c>
      <c r="B3041" s="5" t="s">
        <v>6914</v>
      </c>
      <c r="C3041" s="5" t="s">
        <v>31</v>
      </c>
      <c r="D3041" s="5" t="s">
        <v>32</v>
      </c>
      <c r="E3041" s="5" t="s">
        <v>148</v>
      </c>
      <c r="F3041" s="9">
        <v>78</v>
      </c>
      <c r="G3041" s="9">
        <v>803</v>
      </c>
      <c r="H3041" s="5" t="s">
        <v>20</v>
      </c>
      <c r="I3041" s="5" t="s">
        <v>6915</v>
      </c>
      <c r="J3041" s="12" t="str">
        <f>HYPERLINK("https://www.boe.es/gazeta/dias/1806/09/23/pdfs/GMD-1806-78.pdf#page=7","Abrir facsímil")</f>
        <v>Abrir facsímil</v>
      </c>
      <c r="K3041" s="15" t="s">
        <v>22</v>
      </c>
    </row>
    <row r="3042" spans="1:11" ht="42" customHeight="1">
      <c r="A3042" s="4" t="s">
        <v>6916</v>
      </c>
      <c r="B3042" s="5" t="s">
        <v>6916</v>
      </c>
      <c r="C3042" s="5" t="s">
        <v>31</v>
      </c>
      <c r="D3042" s="5" t="s">
        <v>32</v>
      </c>
      <c r="E3042" s="5" t="s">
        <v>19</v>
      </c>
      <c r="F3042" s="9">
        <v>3</v>
      </c>
      <c r="G3042" s="9">
        <v>26</v>
      </c>
      <c r="H3042" s="5" t="s">
        <v>20</v>
      </c>
      <c r="I3042" s="5" t="s">
        <v>6917</v>
      </c>
      <c r="J3042" s="12" t="str">
        <f>HYPERLINK("https://www.boe.es/gazeta/dias/1806/01/10/pdfs/GMD-1806-3.pdf#page=6","Abrir facsímil")</f>
        <v>Abrir facsímil</v>
      </c>
      <c r="K3042" s="15" t="s">
        <v>22</v>
      </c>
    </row>
    <row r="3043" spans="1:11" ht="42" customHeight="1">
      <c r="A3043" s="4" t="s">
        <v>6918</v>
      </c>
      <c r="B3043" s="5" t="s">
        <v>6918</v>
      </c>
      <c r="C3043" s="5" t="s">
        <v>17</v>
      </c>
      <c r="D3043" s="5" t="s">
        <v>18</v>
      </c>
      <c r="E3043" s="5" t="s">
        <v>19</v>
      </c>
      <c r="F3043" s="9">
        <v>3</v>
      </c>
      <c r="G3043" s="9">
        <v>27</v>
      </c>
      <c r="H3043" s="5" t="s">
        <v>20</v>
      </c>
      <c r="I3043" s="5" t="s">
        <v>6919</v>
      </c>
      <c r="J3043" s="12" t="str">
        <f>HYPERLINK("https://www.boe.es/gazeta/dias/1806/01/10/pdfs/GMD-1806-3.pdf#page=7","Abrir facsímil")</f>
        <v>Abrir facsímil</v>
      </c>
      <c r="K3043" s="15" t="s">
        <v>22</v>
      </c>
    </row>
    <row r="3044" spans="1:11" ht="42" customHeight="1">
      <c r="A3044" s="4" t="s">
        <v>6920</v>
      </c>
      <c r="B3044" s="5" t="s">
        <v>6920</v>
      </c>
      <c r="C3044" s="5" t="s">
        <v>31</v>
      </c>
      <c r="D3044" s="5" t="s">
        <v>32</v>
      </c>
      <c r="E3044" s="5" t="s">
        <v>172</v>
      </c>
      <c r="F3044" s="9">
        <v>17</v>
      </c>
      <c r="G3044" s="9">
        <v>151</v>
      </c>
      <c r="H3044" s="5" t="s">
        <v>20</v>
      </c>
      <c r="I3044" s="5" t="s">
        <v>6921</v>
      </c>
      <c r="J3044" s="12" t="str">
        <f>HYPERLINK("https://www.boe.es/gazeta/dias/1806/02/21/pdfs/GMD-1806-17.pdf#page=7","Abrir facsímil")</f>
        <v>Abrir facsímil</v>
      </c>
      <c r="K3044" s="15" t="s">
        <v>22</v>
      </c>
    </row>
    <row r="3045" spans="1:11" ht="42" customHeight="1">
      <c r="A3045" s="4" t="s">
        <v>6922</v>
      </c>
      <c r="B3045" s="5" t="s">
        <v>6922</v>
      </c>
      <c r="C3045" s="5" t="s">
        <v>17</v>
      </c>
      <c r="D3045" s="5" t="s">
        <v>18</v>
      </c>
      <c r="E3045" s="5" t="s">
        <v>327</v>
      </c>
      <c r="F3045" s="9">
        <v>104</v>
      </c>
      <c r="G3045" s="9">
        <v>1110</v>
      </c>
      <c r="H3045" s="5" t="s">
        <v>20</v>
      </c>
      <c r="I3045" s="5" t="s">
        <v>6923</v>
      </c>
      <c r="J3045" s="12" t="str">
        <f>HYPERLINK("https://www.boe.es/gazeta/dias/1806/12/23/pdfs/GMD-1806-104.pdf#page=10","Abrir facsímil")</f>
        <v>Abrir facsímil</v>
      </c>
      <c r="K3045" s="15" t="s">
        <v>22</v>
      </c>
    </row>
    <row r="3046" spans="1:11" ht="42" customHeight="1">
      <c r="A3046" s="4" t="s">
        <v>6924</v>
      </c>
      <c r="B3046" s="5" t="s">
        <v>6924</v>
      </c>
      <c r="C3046" s="5" t="s">
        <v>17</v>
      </c>
      <c r="D3046" s="5" t="s">
        <v>18</v>
      </c>
      <c r="E3046" s="5" t="s">
        <v>55</v>
      </c>
      <c r="F3046" s="9">
        <v>20</v>
      </c>
      <c r="G3046" s="9">
        <v>183</v>
      </c>
      <c r="H3046" s="5" t="s">
        <v>20</v>
      </c>
      <c r="I3046" s="5" t="s">
        <v>6925</v>
      </c>
      <c r="J3046" s="12" t="str">
        <f>HYPERLINK("https://www.boe.es/gazeta/dias/1806/03/04/pdfs/GMD-1806-20.pdf#page=7","Abrir facsímil")</f>
        <v>Abrir facsímil</v>
      </c>
      <c r="K3046" s="15" t="s">
        <v>22</v>
      </c>
    </row>
    <row r="3047" spans="1:11" ht="42" customHeight="1">
      <c r="A3047" s="4" t="s">
        <v>6924</v>
      </c>
      <c r="B3047" s="5" t="s">
        <v>6924</v>
      </c>
      <c r="C3047" s="5" t="s">
        <v>17</v>
      </c>
      <c r="D3047" s="5" t="s">
        <v>18</v>
      </c>
      <c r="E3047" s="5" t="s">
        <v>213</v>
      </c>
      <c r="F3047" s="9">
        <v>73</v>
      </c>
      <c r="G3047" s="9">
        <v>757</v>
      </c>
      <c r="H3047" s="5" t="s">
        <v>20</v>
      </c>
      <c r="I3047" s="5" t="s">
        <v>6926</v>
      </c>
      <c r="J3047" s="12" t="str">
        <f>HYPERLINK("https://www.boe.es/gazeta/dias/1806/09/05/pdfs/GMD-1806-73.pdf#page=5","Abrir facsímil")</f>
        <v>Abrir facsímil</v>
      </c>
      <c r="K3047" s="15" t="s">
        <v>22</v>
      </c>
    </row>
    <row r="3048" spans="1:11" ht="42" customHeight="1">
      <c r="A3048" s="4" t="s">
        <v>6927</v>
      </c>
      <c r="B3048" s="5" t="s">
        <v>6927</v>
      </c>
      <c r="C3048" s="5" t="s">
        <v>75</v>
      </c>
      <c r="D3048" s="5" t="s">
        <v>43</v>
      </c>
      <c r="E3048" s="5" t="s">
        <v>62</v>
      </c>
      <c r="F3048" s="9">
        <v>45</v>
      </c>
      <c r="G3048" s="9">
        <v>458</v>
      </c>
      <c r="H3048" s="5" t="s">
        <v>20</v>
      </c>
      <c r="I3048" s="5" t="s">
        <v>6928</v>
      </c>
      <c r="J3048" s="12" t="str">
        <f>HYPERLINK("https://www.boe.es/gazeta/dias/1806/05/30/pdfs/GMD-1806-45.pdf#page=10","Abrir facsímil")</f>
        <v>Abrir facsímil</v>
      </c>
      <c r="K3048" s="15" t="s">
        <v>22</v>
      </c>
    </row>
    <row r="3049" spans="1:11" ht="42" customHeight="1">
      <c r="A3049" s="4" t="s">
        <v>6929</v>
      </c>
      <c r="B3049" s="5" t="s">
        <v>6929</v>
      </c>
      <c r="C3049" s="5" t="s">
        <v>31</v>
      </c>
      <c r="D3049" s="5" t="s">
        <v>32</v>
      </c>
      <c r="E3049" s="5" t="s">
        <v>1005</v>
      </c>
      <c r="F3049" s="9">
        <v>76</v>
      </c>
      <c r="G3049" s="9">
        <v>787</v>
      </c>
      <c r="H3049" s="5" t="s">
        <v>20</v>
      </c>
      <c r="I3049" s="5" t="s">
        <v>6930</v>
      </c>
      <c r="J3049" s="12" t="str">
        <f>HYPERLINK("https://www.boe.es/gazeta/dias/1806/09/16/pdfs/GMD-1806-76.pdf#page=7","Abrir facsímil")</f>
        <v>Abrir facsímil</v>
      </c>
      <c r="K3049" s="15" t="s">
        <v>22</v>
      </c>
    </row>
    <row r="3050" spans="1:11" ht="42" customHeight="1">
      <c r="A3050" s="4" t="s">
        <v>6931</v>
      </c>
      <c r="B3050" s="5" t="s">
        <v>6931</v>
      </c>
      <c r="C3050" s="5" t="s">
        <v>31</v>
      </c>
      <c r="D3050" s="5" t="s">
        <v>32</v>
      </c>
      <c r="E3050" s="5" t="s">
        <v>76</v>
      </c>
      <c r="F3050" s="9">
        <v>98</v>
      </c>
      <c r="G3050" s="9">
        <v>1043</v>
      </c>
      <c r="H3050" s="5" t="s">
        <v>20</v>
      </c>
      <c r="I3050" s="5" t="s">
        <v>6932</v>
      </c>
      <c r="J3050" s="12" t="str">
        <f>HYPERLINK("https://www.boe.es/gazeta/dias/1806/12/02/pdfs/GMD-1806-98.pdf#page=11","Abrir facsímil")</f>
        <v>Abrir facsímil</v>
      </c>
      <c r="K3050" s="15" t="s">
        <v>22</v>
      </c>
    </row>
    <row r="3051" spans="1:11" ht="42" customHeight="1">
      <c r="A3051" s="4" t="s">
        <v>6933</v>
      </c>
      <c r="B3051" s="5" t="s">
        <v>6933</v>
      </c>
      <c r="C3051" s="5" t="s">
        <v>17</v>
      </c>
      <c r="D3051" s="5" t="s">
        <v>18</v>
      </c>
      <c r="E3051" s="5" t="s">
        <v>213</v>
      </c>
      <c r="F3051" s="9">
        <v>73</v>
      </c>
      <c r="G3051" s="9">
        <v>757</v>
      </c>
      <c r="H3051" s="5" t="s">
        <v>20</v>
      </c>
      <c r="I3051" s="5" t="s">
        <v>6934</v>
      </c>
      <c r="J3051" s="12" t="str">
        <f>HYPERLINK("https://www.boe.es/gazeta/dias/1806/09/05/pdfs/GMD-1806-73.pdf#page=5","Abrir facsímil")</f>
        <v>Abrir facsímil</v>
      </c>
      <c r="K3051" s="15" t="s">
        <v>22</v>
      </c>
    </row>
    <row r="3052" spans="1:11" ht="42" customHeight="1">
      <c r="A3052" s="4" t="s">
        <v>6935</v>
      </c>
      <c r="B3052" s="5" t="s">
        <v>6935</v>
      </c>
      <c r="C3052" s="5" t="s">
        <v>31</v>
      </c>
      <c r="D3052" s="5" t="s">
        <v>32</v>
      </c>
      <c r="E3052" s="5" t="s">
        <v>689</v>
      </c>
      <c r="F3052" s="9">
        <v>37</v>
      </c>
      <c r="G3052" s="9">
        <v>361</v>
      </c>
      <c r="H3052" s="5" t="s">
        <v>20</v>
      </c>
      <c r="I3052" s="5" t="s">
        <v>6936</v>
      </c>
      <c r="J3052" s="12" t="str">
        <f>HYPERLINK("https://www.boe.es/gazeta/dias/1806/05/02/pdfs/GMD-1806-37.pdf#page=9","Abrir facsímil")</f>
        <v>Abrir facsímil</v>
      </c>
      <c r="K3052" s="15" t="s">
        <v>22</v>
      </c>
    </row>
    <row r="3053" spans="1:11" ht="42" customHeight="1">
      <c r="A3053" s="4" t="s">
        <v>6937</v>
      </c>
      <c r="B3053" s="5" t="s">
        <v>6938</v>
      </c>
      <c r="C3053" s="5" t="s">
        <v>69</v>
      </c>
      <c r="D3053" s="5" t="s">
        <v>70</v>
      </c>
      <c r="E3053" s="5" t="s">
        <v>121</v>
      </c>
      <c r="F3053" s="9">
        <v>19</v>
      </c>
      <c r="G3053" s="9">
        <v>170</v>
      </c>
      <c r="H3053" s="5" t="s">
        <v>20</v>
      </c>
      <c r="I3053" s="5" t="s">
        <v>6939</v>
      </c>
      <c r="J3053" s="12" t="str">
        <f>HYPERLINK("https://www.boe.es/gazeta/dias/1806/02/28/pdfs/GMD-1806-19.pdf#page=6","Abrir facsímil")</f>
        <v>Abrir facsímil</v>
      </c>
      <c r="K3053" s="15" t="s">
        <v>22</v>
      </c>
    </row>
    <row r="3054" spans="1:11" ht="42" customHeight="1">
      <c r="A3054" s="4" t="s">
        <v>6937</v>
      </c>
      <c r="B3054" s="5" t="s">
        <v>6938</v>
      </c>
      <c r="C3054" s="5" t="s">
        <v>69</v>
      </c>
      <c r="D3054" s="5" t="s">
        <v>70</v>
      </c>
      <c r="E3054" s="5" t="s">
        <v>55</v>
      </c>
      <c r="F3054" s="9">
        <v>20</v>
      </c>
      <c r="G3054" s="9">
        <v>182</v>
      </c>
      <c r="H3054" s="5" t="s">
        <v>20</v>
      </c>
      <c r="I3054" s="5" t="s">
        <v>6940</v>
      </c>
      <c r="J3054" s="12" t="str">
        <f>HYPERLINK("https://www.boe.es/gazeta/dias/1806/03/04/pdfs/GMD-1806-20.pdf#page=6","Abrir facsímil")</f>
        <v>Abrir facsímil</v>
      </c>
      <c r="K3054" s="15" t="s">
        <v>22</v>
      </c>
    </row>
    <row r="3055" spans="1:11" ht="42" customHeight="1">
      <c r="A3055" s="4" t="s">
        <v>6941</v>
      </c>
      <c r="B3055" s="5" t="s">
        <v>6941</v>
      </c>
      <c r="C3055" s="5" t="s">
        <v>31</v>
      </c>
      <c r="D3055" s="5" t="s">
        <v>32</v>
      </c>
      <c r="E3055" s="5" t="s">
        <v>118</v>
      </c>
      <c r="F3055" s="9">
        <v>15</v>
      </c>
      <c r="G3055" s="9">
        <v>134</v>
      </c>
      <c r="H3055" s="5" t="s">
        <v>20</v>
      </c>
      <c r="I3055" s="5" t="s">
        <v>6942</v>
      </c>
      <c r="J3055" s="12" t="str">
        <f>HYPERLINK("https://www.boe.es/gazeta/dias/1806/02/14/pdfs/GMD-1806-15.pdf#page=10","Abrir facsímil")</f>
        <v>Abrir facsímil</v>
      </c>
      <c r="K3055" s="15" t="s">
        <v>22</v>
      </c>
    </row>
    <row r="3056" spans="1:11" ht="42" customHeight="1">
      <c r="A3056" s="4" t="s">
        <v>6943</v>
      </c>
      <c r="B3056" s="5" t="s">
        <v>6943</v>
      </c>
      <c r="C3056" s="5" t="s">
        <v>31</v>
      </c>
      <c r="D3056" s="5" t="s">
        <v>32</v>
      </c>
      <c r="E3056" s="5" t="s">
        <v>44</v>
      </c>
      <c r="F3056" s="9">
        <v>42</v>
      </c>
      <c r="G3056" s="9">
        <v>421</v>
      </c>
      <c r="H3056" s="5" t="s">
        <v>20</v>
      </c>
      <c r="I3056" s="5" t="s">
        <v>6944</v>
      </c>
      <c r="J3056" s="12" t="str">
        <f>HYPERLINK("https://www.boe.es/gazeta/dias/1806/05/20/pdfs/GMD-1806-42.pdf#page=9","Abrir facsímil")</f>
        <v>Abrir facsímil</v>
      </c>
      <c r="K3056" s="15" t="s">
        <v>22</v>
      </c>
    </row>
    <row r="3057" spans="1:11" ht="42" customHeight="1">
      <c r="A3057" s="4" t="s">
        <v>6945</v>
      </c>
      <c r="B3057" s="5" t="s">
        <v>6945</v>
      </c>
      <c r="C3057" s="5" t="s">
        <v>31</v>
      </c>
      <c r="D3057" s="5" t="s">
        <v>32</v>
      </c>
      <c r="E3057" s="5" t="s">
        <v>600</v>
      </c>
      <c r="F3057" s="9">
        <v>77</v>
      </c>
      <c r="G3057" s="9">
        <v>794</v>
      </c>
      <c r="H3057" s="5" t="s">
        <v>20</v>
      </c>
      <c r="I3057" s="5" t="s">
        <v>6946</v>
      </c>
      <c r="J3057" s="12" t="str">
        <f>HYPERLINK("https://www.boe.es/gazeta/dias/1806/09/19/pdfs/GMD-1806-77.pdf#page=6","Abrir facsímil")</f>
        <v>Abrir facsímil</v>
      </c>
      <c r="K3057" s="15" t="s">
        <v>22</v>
      </c>
    </row>
    <row r="3058" spans="1:11" ht="42" customHeight="1">
      <c r="A3058" s="4" t="s">
        <v>6947</v>
      </c>
      <c r="B3058" s="5" t="s">
        <v>6947</v>
      </c>
      <c r="C3058" s="5" t="s">
        <v>17</v>
      </c>
      <c r="D3058" s="5" t="s">
        <v>18</v>
      </c>
      <c r="E3058" s="5" t="s">
        <v>297</v>
      </c>
      <c r="F3058" s="9">
        <v>94</v>
      </c>
      <c r="G3058" s="9">
        <v>991</v>
      </c>
      <c r="H3058" s="5" t="s">
        <v>20</v>
      </c>
      <c r="I3058" s="5" t="s">
        <v>6948</v>
      </c>
      <c r="J3058" s="12" t="str">
        <f>HYPERLINK("https://www.boe.es/gazeta/dias/1806/11/18/pdfs/GMD-1806-94.pdf#page=11","Abrir facsímil")</f>
        <v>Abrir facsímil</v>
      </c>
      <c r="K3058" s="15" t="s">
        <v>22</v>
      </c>
    </row>
    <row r="3059" spans="1:11" ht="42" customHeight="1">
      <c r="A3059" s="4" t="s">
        <v>6949</v>
      </c>
      <c r="B3059" s="5" t="s">
        <v>6949</v>
      </c>
      <c r="C3059" s="5" t="s">
        <v>17</v>
      </c>
      <c r="D3059" s="5" t="s">
        <v>18</v>
      </c>
      <c r="E3059" s="5" t="s">
        <v>312</v>
      </c>
      <c r="F3059" s="9">
        <v>100</v>
      </c>
      <c r="G3059" s="9">
        <v>1066</v>
      </c>
      <c r="H3059" s="5" t="s">
        <v>20</v>
      </c>
      <c r="I3059" s="5" t="s">
        <v>6950</v>
      </c>
      <c r="J3059" s="12" t="str">
        <f>HYPERLINK("https://www.boe.es/gazeta/dias/1806/12/09/pdfs/GMD-1806-100.pdf#page=10","Abrir facsímil")</f>
        <v>Abrir facsímil</v>
      </c>
      <c r="K3059" s="15" t="s">
        <v>22</v>
      </c>
    </row>
    <row r="3060" spans="1:11" ht="42" customHeight="1">
      <c r="A3060" s="4" t="s">
        <v>6951</v>
      </c>
      <c r="B3060" s="5" t="s">
        <v>6951</v>
      </c>
      <c r="C3060" s="5" t="s">
        <v>31</v>
      </c>
      <c r="D3060" s="5" t="s">
        <v>32</v>
      </c>
      <c r="E3060" s="5" t="s">
        <v>227</v>
      </c>
      <c r="F3060" s="9">
        <v>27</v>
      </c>
      <c r="G3060" s="9">
        <v>269</v>
      </c>
      <c r="H3060" s="5" t="s">
        <v>20</v>
      </c>
      <c r="I3060" s="5" t="s">
        <v>6952</v>
      </c>
      <c r="J3060" s="12" t="str">
        <f>HYPERLINK("https://www.boe.es/gazeta/dias/1806/03/28/pdfs/GMD-1806-27.pdf#page=9","Abrir facsímil")</f>
        <v>Abrir facsímil</v>
      </c>
      <c r="K3060" s="15" t="s">
        <v>22</v>
      </c>
    </row>
    <row r="3061" spans="1:11" ht="42" customHeight="1">
      <c r="A3061" s="4" t="s">
        <v>6953</v>
      </c>
      <c r="B3061" s="5" t="s">
        <v>6953</v>
      </c>
      <c r="C3061" s="5" t="s">
        <v>447</v>
      </c>
      <c r="D3061" s="5" t="s">
        <v>448</v>
      </c>
      <c r="E3061" s="5" t="s">
        <v>304</v>
      </c>
      <c r="F3061" s="9">
        <v>47</v>
      </c>
      <c r="G3061" s="9">
        <v>483</v>
      </c>
      <c r="H3061" s="5" t="s">
        <v>20</v>
      </c>
      <c r="I3061" s="5" t="s">
        <v>6954</v>
      </c>
      <c r="J3061" s="12" t="str">
        <f>HYPERLINK("https://www.boe.es/gazeta/dias/1806/06/06/pdfs/GMD-C-1806-47.pdf#page=3","Abrir facsímil")</f>
        <v>Abrir facsímil</v>
      </c>
      <c r="K3061" s="15" t="s">
        <v>22</v>
      </c>
    </row>
    <row r="3062" spans="1:11" ht="42" customHeight="1">
      <c r="A3062" s="4" t="s">
        <v>6955</v>
      </c>
      <c r="B3062" s="5" t="s">
        <v>6955</v>
      </c>
      <c r="C3062" s="5" t="s">
        <v>36</v>
      </c>
      <c r="D3062" s="5" t="s">
        <v>37</v>
      </c>
      <c r="E3062" s="5" t="s">
        <v>290</v>
      </c>
      <c r="F3062" s="9">
        <v>1</v>
      </c>
      <c r="G3062" s="9">
        <v>10</v>
      </c>
      <c r="H3062" s="5" t="s">
        <v>20</v>
      </c>
      <c r="I3062" s="5" t="s">
        <v>6956</v>
      </c>
      <c r="J3062" s="12" t="str">
        <f>HYPERLINK("https://www.boe.es/gazeta/dias/1806/01/03/pdfs/GMD-1806-1.pdf#page=10","Abrir facsímil")</f>
        <v>Abrir facsímil</v>
      </c>
      <c r="K3062" s="15" t="s">
        <v>22</v>
      </c>
    </row>
    <row r="3063" spans="1:11" ht="42" customHeight="1">
      <c r="A3063" s="4" t="s">
        <v>6957</v>
      </c>
      <c r="B3063" s="5" t="s">
        <v>6957</v>
      </c>
      <c r="C3063" s="5" t="s">
        <v>31</v>
      </c>
      <c r="D3063" s="5" t="s">
        <v>32</v>
      </c>
      <c r="E3063" s="5" t="s">
        <v>209</v>
      </c>
      <c r="F3063" s="9">
        <v>95</v>
      </c>
      <c r="G3063" s="9">
        <v>1005</v>
      </c>
      <c r="H3063" s="5" t="s">
        <v>20</v>
      </c>
      <c r="I3063" s="5" t="s">
        <v>6958</v>
      </c>
      <c r="J3063" s="12" t="str">
        <f>HYPERLINK("https://www.boe.es/gazeta/dias/1806/11/21/pdfs/GMD-1806-95.pdf#page=13","Abrir facsímil")</f>
        <v>Abrir facsímil</v>
      </c>
      <c r="K3063" s="15" t="s">
        <v>22</v>
      </c>
    </row>
    <row r="3064" spans="1:11" ht="42" customHeight="1">
      <c r="A3064" s="4" t="s">
        <v>6959</v>
      </c>
      <c r="B3064" s="5" t="s">
        <v>6959</v>
      </c>
      <c r="C3064" s="5" t="s">
        <v>31</v>
      </c>
      <c r="D3064" s="5" t="s">
        <v>32</v>
      </c>
      <c r="E3064" s="5" t="s">
        <v>188</v>
      </c>
      <c r="F3064" s="9">
        <v>2</v>
      </c>
      <c r="G3064" s="9">
        <v>18</v>
      </c>
      <c r="H3064" s="5" t="s">
        <v>20</v>
      </c>
      <c r="I3064" s="5" t="s">
        <v>6960</v>
      </c>
      <c r="J3064" s="12" t="str">
        <f>HYPERLINK("https://www.boe.es/gazeta/dias/1806/01/07/pdfs/GMD-1806-2.pdf#page=6","Abrir facsímil")</f>
        <v>Abrir facsímil</v>
      </c>
      <c r="K3064" s="15" t="s">
        <v>22</v>
      </c>
    </row>
    <row r="3065" spans="1:11" ht="42" customHeight="1">
      <c r="A3065" s="4" t="s">
        <v>6961</v>
      </c>
      <c r="B3065" s="5" t="s">
        <v>6961</v>
      </c>
      <c r="C3065" s="5" t="s">
        <v>17</v>
      </c>
      <c r="D3065" s="5" t="s">
        <v>18</v>
      </c>
      <c r="E3065" s="5" t="s">
        <v>689</v>
      </c>
      <c r="F3065" s="9">
        <v>37</v>
      </c>
      <c r="G3065" s="9">
        <v>361</v>
      </c>
      <c r="H3065" s="5" t="s">
        <v>20</v>
      </c>
      <c r="I3065" s="5" t="s">
        <v>6962</v>
      </c>
      <c r="J3065" s="12" t="str">
        <f>HYPERLINK("https://www.boe.es/gazeta/dias/1806/05/02/pdfs/GMD-1806-37.pdf#page=9","Abrir facsímil")</f>
        <v>Abrir facsímil</v>
      </c>
      <c r="K3065" s="15" t="s">
        <v>22</v>
      </c>
    </row>
    <row r="3066" spans="1:11" ht="42" customHeight="1">
      <c r="A3066" s="4" t="s">
        <v>6963</v>
      </c>
      <c r="B3066" s="5" t="s">
        <v>6964</v>
      </c>
      <c r="C3066" s="5" t="s">
        <v>31</v>
      </c>
      <c r="D3066" s="5" t="s">
        <v>32</v>
      </c>
      <c r="E3066" s="5" t="s">
        <v>71</v>
      </c>
      <c r="F3066" s="9">
        <v>29</v>
      </c>
      <c r="G3066" s="9">
        <v>287</v>
      </c>
      <c r="H3066" s="5" t="s">
        <v>20</v>
      </c>
      <c r="I3066" s="5" t="s">
        <v>6965</v>
      </c>
      <c r="J3066" s="12" t="str">
        <f>HYPERLINK("https://www.boe.es/gazeta/dias/1806/04/04/pdfs/GMD-1806-29.pdf#page=7","Abrir facsímil")</f>
        <v>Abrir facsímil</v>
      </c>
      <c r="K3066" s="15" t="s">
        <v>22</v>
      </c>
    </row>
    <row r="3067" spans="1:11" ht="42" customHeight="1">
      <c r="A3067" s="4" t="s">
        <v>6966</v>
      </c>
      <c r="B3067" s="5" t="s">
        <v>6966</v>
      </c>
      <c r="C3067" s="5" t="s">
        <v>42</v>
      </c>
      <c r="D3067" s="5" t="s">
        <v>43</v>
      </c>
      <c r="E3067" s="5" t="s">
        <v>44</v>
      </c>
      <c r="F3067" s="9">
        <v>42</v>
      </c>
      <c r="G3067" s="9">
        <v>421</v>
      </c>
      <c r="H3067" s="5" t="s">
        <v>20</v>
      </c>
      <c r="I3067" s="5" t="s">
        <v>6967</v>
      </c>
      <c r="J3067" s="12" t="str">
        <f>HYPERLINK("https://www.boe.es/gazeta/dias/1806/05/20/pdfs/GMD-1806-42.pdf#page=9","Abrir facsímil")</f>
        <v>Abrir facsímil</v>
      </c>
      <c r="K3067" s="15" t="s">
        <v>22</v>
      </c>
    </row>
    <row r="3068" spans="1:11" ht="42" customHeight="1">
      <c r="A3068" s="4" t="s">
        <v>6968</v>
      </c>
      <c r="B3068" s="5" t="s">
        <v>6969</v>
      </c>
      <c r="C3068" s="5" t="s">
        <v>31</v>
      </c>
      <c r="D3068" s="5" t="s">
        <v>32</v>
      </c>
      <c r="E3068" s="5" t="s">
        <v>178</v>
      </c>
      <c r="F3068" s="9">
        <v>36</v>
      </c>
      <c r="G3068" s="9">
        <v>350</v>
      </c>
      <c r="H3068" s="5" t="s">
        <v>20</v>
      </c>
      <c r="I3068" s="5" t="s">
        <v>6970</v>
      </c>
      <c r="J3068" s="12" t="str">
        <f>HYPERLINK("https://www.boe.es/gazeta/dias/1806/04/29/pdfs/GMD-1806-36.pdf#page=6","Abrir facsímil")</f>
        <v>Abrir facsímil</v>
      </c>
      <c r="K3068" s="15" t="s">
        <v>22</v>
      </c>
    </row>
    <row r="3069" spans="1:11" ht="42" customHeight="1">
      <c r="A3069" s="4" t="s">
        <v>6971</v>
      </c>
      <c r="B3069" s="5" t="s">
        <v>6971</v>
      </c>
      <c r="C3069" s="5" t="s">
        <v>31</v>
      </c>
      <c r="D3069" s="5" t="s">
        <v>32</v>
      </c>
      <c r="E3069" s="5" t="s">
        <v>554</v>
      </c>
      <c r="F3069" s="9">
        <v>90</v>
      </c>
      <c r="G3069" s="9">
        <v>934</v>
      </c>
      <c r="H3069" s="5" t="s">
        <v>20</v>
      </c>
      <c r="I3069" s="5" t="s">
        <v>6972</v>
      </c>
      <c r="J3069" s="12" t="str">
        <f>HYPERLINK("https://www.boe.es/gazeta/dias/1806/11/04/pdfs/GMD-1806-90.pdf#page=10","Abrir facsímil")</f>
        <v>Abrir facsímil</v>
      </c>
      <c r="K3069" s="15" t="s">
        <v>22</v>
      </c>
    </row>
    <row r="3070" spans="1:11" ht="42" customHeight="1">
      <c r="A3070" s="4" t="s">
        <v>6973</v>
      </c>
      <c r="B3070" s="5" t="s">
        <v>6973</v>
      </c>
      <c r="C3070" s="5" t="s">
        <v>42</v>
      </c>
      <c r="D3070" s="5" t="s">
        <v>43</v>
      </c>
      <c r="E3070" s="5" t="s">
        <v>71</v>
      </c>
      <c r="F3070" s="9">
        <v>29</v>
      </c>
      <c r="G3070" s="9">
        <v>287</v>
      </c>
      <c r="H3070" s="5" t="s">
        <v>20</v>
      </c>
      <c r="I3070" s="5" t="s">
        <v>6974</v>
      </c>
      <c r="J3070" s="12" t="str">
        <f>HYPERLINK("https://www.boe.es/gazeta/dias/1806/04/04/pdfs/GMD-1806-29.pdf#page=7","Abrir facsímil")</f>
        <v>Abrir facsímil</v>
      </c>
      <c r="K3070" s="15" t="s">
        <v>22</v>
      </c>
    </row>
    <row r="3071" spans="1:11" ht="42" customHeight="1">
      <c r="A3071" s="4" t="s">
        <v>6975</v>
      </c>
      <c r="B3071" s="5" t="s">
        <v>6976</v>
      </c>
      <c r="C3071" s="5" t="s">
        <v>447</v>
      </c>
      <c r="D3071" s="5" t="s">
        <v>448</v>
      </c>
      <c r="E3071" s="5" t="s">
        <v>304</v>
      </c>
      <c r="F3071" s="9">
        <v>47</v>
      </c>
      <c r="G3071" s="9">
        <v>483</v>
      </c>
      <c r="H3071" s="5" t="s">
        <v>20</v>
      </c>
      <c r="I3071" s="5" t="s">
        <v>6977</v>
      </c>
      <c r="J3071" s="12" t="str">
        <f>HYPERLINK("https://www.boe.es/gazeta/dias/1806/06/06/pdfs/GMD-C-1806-47.pdf#page=3","Abrir facsímil")</f>
        <v>Abrir facsímil</v>
      </c>
      <c r="K3071" s="15" t="s">
        <v>22</v>
      </c>
    </row>
    <row r="3072" spans="1:11" ht="42" customHeight="1">
      <c r="A3072" s="4" t="s">
        <v>6978</v>
      </c>
      <c r="B3072" s="5" t="s">
        <v>6978</v>
      </c>
      <c r="C3072" s="5" t="s">
        <v>31</v>
      </c>
      <c r="D3072" s="5" t="s">
        <v>32</v>
      </c>
      <c r="E3072" s="5" t="s">
        <v>127</v>
      </c>
      <c r="F3072" s="9">
        <v>81</v>
      </c>
      <c r="G3072" s="9">
        <v>838</v>
      </c>
      <c r="H3072" s="5" t="s">
        <v>20</v>
      </c>
      <c r="I3072" s="5" t="s">
        <v>6979</v>
      </c>
      <c r="J3072" s="12" t="str">
        <f>HYPERLINK("https://www.boe.es/gazeta/dias/1806/10/03/pdfs/GMD-1806-81.pdf#page=6","Abrir facsímil")</f>
        <v>Abrir facsímil</v>
      </c>
      <c r="K3072" s="15" t="s">
        <v>22</v>
      </c>
    </row>
    <row r="3073" spans="1:11" ht="42" customHeight="1">
      <c r="A3073" s="4" t="s">
        <v>6980</v>
      </c>
      <c r="B3073" s="5" t="s">
        <v>6981</v>
      </c>
      <c r="C3073" s="5" t="s">
        <v>42</v>
      </c>
      <c r="D3073" s="5" t="s">
        <v>43</v>
      </c>
      <c r="E3073" s="5" t="s">
        <v>103</v>
      </c>
      <c r="F3073" s="9">
        <v>61</v>
      </c>
      <c r="G3073" s="9">
        <v>635</v>
      </c>
      <c r="H3073" s="5" t="s">
        <v>20</v>
      </c>
      <c r="I3073" s="5" t="s">
        <v>6982</v>
      </c>
      <c r="J3073" s="12" t="str">
        <f>HYPERLINK("https://www.boe.es/gazeta/dias/1806/07/25/pdfs/GMD-1806-61.pdf#page=7","Abrir facsímil")</f>
        <v>Abrir facsímil</v>
      </c>
      <c r="K3073" s="15" t="s">
        <v>22</v>
      </c>
    </row>
    <row r="3074" spans="1:11" ht="42" customHeight="1">
      <c r="A3074" s="4" t="s">
        <v>6983</v>
      </c>
      <c r="B3074" s="5" t="s">
        <v>6983</v>
      </c>
      <c r="C3074" s="5" t="s">
        <v>31</v>
      </c>
      <c r="D3074" s="5" t="s">
        <v>32</v>
      </c>
      <c r="E3074" s="5" t="s">
        <v>301</v>
      </c>
      <c r="F3074" s="9">
        <v>75</v>
      </c>
      <c r="G3074" s="9">
        <v>777</v>
      </c>
      <c r="H3074" s="5" t="s">
        <v>20</v>
      </c>
      <c r="I3074" s="5" t="s">
        <v>6984</v>
      </c>
      <c r="J3074" s="12" t="str">
        <f>HYPERLINK("https://www.boe.es/gazeta/dias/1806/09/12/pdfs/GMD-1806-75.pdf#page=9","Abrir facsímil")</f>
        <v>Abrir facsímil</v>
      </c>
      <c r="K3074" s="15" t="s">
        <v>22</v>
      </c>
    </row>
    <row r="3075" spans="1:11" ht="42" customHeight="1">
      <c r="A3075" s="4" t="s">
        <v>6985</v>
      </c>
      <c r="B3075" s="5" t="s">
        <v>6985</v>
      </c>
      <c r="C3075" s="5" t="s">
        <v>31</v>
      </c>
      <c r="D3075" s="5" t="s">
        <v>32</v>
      </c>
      <c r="E3075" s="5" t="s">
        <v>19</v>
      </c>
      <c r="F3075" s="9">
        <v>3</v>
      </c>
      <c r="G3075" s="9">
        <v>26</v>
      </c>
      <c r="H3075" s="5" t="s">
        <v>20</v>
      </c>
      <c r="I3075" s="5" t="s">
        <v>6986</v>
      </c>
      <c r="J3075" s="12" t="str">
        <f>HYPERLINK("https://www.boe.es/gazeta/dias/1806/01/10/pdfs/GMD-1806-3.pdf#page=6","Abrir facsímil")</f>
        <v>Abrir facsímil</v>
      </c>
      <c r="K3075" s="15" t="s">
        <v>22</v>
      </c>
    </row>
    <row r="3076" spans="1:11" ht="42" customHeight="1">
      <c r="A3076" s="4" t="s">
        <v>6987</v>
      </c>
      <c r="B3076" s="5" t="s">
        <v>6987</v>
      </c>
      <c r="C3076" s="5" t="s">
        <v>17</v>
      </c>
      <c r="D3076" s="5" t="s">
        <v>18</v>
      </c>
      <c r="E3076" s="5" t="s">
        <v>161</v>
      </c>
      <c r="F3076" s="9">
        <v>11</v>
      </c>
      <c r="G3076" s="9">
        <v>97</v>
      </c>
      <c r="H3076" s="5" t="s">
        <v>20</v>
      </c>
      <c r="I3076" s="5" t="s">
        <v>6988</v>
      </c>
      <c r="J3076" s="12" t="str">
        <f>HYPERLINK("https://www.boe.es/gazeta/dias/1806/01/31/pdfs/GMD-1806-11.pdf#page=5","Abrir facsímil")</f>
        <v>Abrir facsímil</v>
      </c>
      <c r="K3076" s="15" t="s">
        <v>22</v>
      </c>
    </row>
    <row r="3077" spans="1:11" ht="42" customHeight="1">
      <c r="A3077" s="4" t="s">
        <v>6989</v>
      </c>
      <c r="B3077" s="5" t="s">
        <v>6989</v>
      </c>
      <c r="C3077" s="5" t="s">
        <v>36</v>
      </c>
      <c r="D3077" s="5" t="s">
        <v>37</v>
      </c>
      <c r="E3077" s="5" t="s">
        <v>213</v>
      </c>
      <c r="F3077" s="9">
        <v>73</v>
      </c>
      <c r="G3077" s="9">
        <v>759</v>
      </c>
      <c r="H3077" s="5" t="s">
        <v>20</v>
      </c>
      <c r="I3077" s="5" t="s">
        <v>6990</v>
      </c>
      <c r="J3077" s="12" t="str">
        <f>HYPERLINK("https://www.boe.es/gazeta/dias/1806/09/05/pdfs/GMD-1806-73.pdf#page=7","Abrir facsímil")</f>
        <v>Abrir facsímil</v>
      </c>
      <c r="K3077" s="15" t="s">
        <v>22</v>
      </c>
    </row>
    <row r="3078" spans="1:11" ht="42" customHeight="1">
      <c r="A3078" s="4" t="s">
        <v>6991</v>
      </c>
      <c r="B3078" s="5" t="s">
        <v>6991</v>
      </c>
      <c r="C3078" s="5" t="s">
        <v>36</v>
      </c>
      <c r="D3078" s="5" t="s">
        <v>37</v>
      </c>
      <c r="E3078" s="5" t="s">
        <v>1031</v>
      </c>
      <c r="F3078" s="9">
        <v>107</v>
      </c>
      <c r="G3078" s="9">
        <v>1132</v>
      </c>
      <c r="H3078" s="5" t="s">
        <v>20</v>
      </c>
      <c r="I3078" s="5" t="s">
        <v>6992</v>
      </c>
      <c r="J3078" s="12" t="str">
        <f>HYPERLINK("https://www.boe.es/gazeta/dias/1806/12/30/pdfs/GMD-1806-107.pdf#page=8","Abrir facsímil")</f>
        <v>Abrir facsímil</v>
      </c>
      <c r="K3078" s="15" t="s">
        <v>22</v>
      </c>
    </row>
    <row r="3079" spans="1:11" ht="42" customHeight="1">
      <c r="A3079" s="4" t="s">
        <v>6993</v>
      </c>
      <c r="B3079" s="5" t="s">
        <v>6993</v>
      </c>
      <c r="C3079" s="5" t="s">
        <v>31</v>
      </c>
      <c r="D3079" s="5" t="s">
        <v>32</v>
      </c>
      <c r="E3079" s="5" t="s">
        <v>455</v>
      </c>
      <c r="F3079" s="9">
        <v>85</v>
      </c>
      <c r="G3079" s="9">
        <v>881</v>
      </c>
      <c r="H3079" s="5" t="s">
        <v>20</v>
      </c>
      <c r="I3079" s="5" t="s">
        <v>6994</v>
      </c>
      <c r="J3079" s="12" t="str">
        <f>HYPERLINK("https://www.boe.es/gazeta/dias/1806/10/17/pdfs/GMD-1806-85.pdf#page=9","Abrir facsímil")</f>
        <v>Abrir facsímil</v>
      </c>
      <c r="K3079" s="15" t="s">
        <v>22</v>
      </c>
    </row>
    <row r="3080" spans="1:11" ht="42" customHeight="1">
      <c r="A3080" s="4" t="s">
        <v>6995</v>
      </c>
      <c r="B3080" s="5" t="s">
        <v>6995</v>
      </c>
      <c r="C3080" s="5" t="s">
        <v>42</v>
      </c>
      <c r="D3080" s="5" t="s">
        <v>43</v>
      </c>
      <c r="E3080" s="5" t="s">
        <v>28</v>
      </c>
      <c r="F3080" s="9">
        <v>102</v>
      </c>
      <c r="G3080" s="9">
        <v>1085</v>
      </c>
      <c r="H3080" s="5" t="s">
        <v>20</v>
      </c>
      <c r="I3080" s="5" t="s">
        <v>6996</v>
      </c>
      <c r="J3080" s="12" t="str">
        <f>HYPERLINK("https://www.boe.es/gazeta/dias/1806/12/16/pdfs/GMD-1806-102.pdf#page=9","Abrir facsímil")</f>
        <v>Abrir facsímil</v>
      </c>
      <c r="K3080" s="15" t="s">
        <v>22</v>
      </c>
    </row>
    <row r="3081" spans="1:11" ht="42" customHeight="1">
      <c r="A3081" s="4" t="s">
        <v>6997</v>
      </c>
      <c r="B3081" s="5" t="s">
        <v>6997</v>
      </c>
      <c r="C3081" s="5" t="s">
        <v>31</v>
      </c>
      <c r="D3081" s="5" t="s">
        <v>32</v>
      </c>
      <c r="E3081" s="5" t="s">
        <v>172</v>
      </c>
      <c r="F3081" s="9">
        <v>17</v>
      </c>
      <c r="G3081" s="9">
        <v>151</v>
      </c>
      <c r="H3081" s="5" t="s">
        <v>20</v>
      </c>
      <c r="I3081" s="5" t="s">
        <v>6998</v>
      </c>
      <c r="J3081" s="12" t="str">
        <f>HYPERLINK("https://www.boe.es/gazeta/dias/1806/02/21/pdfs/GMD-1806-17.pdf#page=7","Abrir facsímil")</f>
        <v>Abrir facsímil</v>
      </c>
      <c r="K3081" s="15" t="s">
        <v>22</v>
      </c>
    </row>
    <row r="3082" spans="1:11" ht="42" customHeight="1">
      <c r="A3082" s="4" t="s">
        <v>6999</v>
      </c>
      <c r="B3082" s="5" t="s">
        <v>7000</v>
      </c>
      <c r="C3082" s="5" t="s">
        <v>31</v>
      </c>
      <c r="D3082" s="5" t="s">
        <v>32</v>
      </c>
      <c r="E3082" s="5" t="s">
        <v>297</v>
      </c>
      <c r="F3082" s="9">
        <v>94</v>
      </c>
      <c r="G3082" s="9">
        <v>989</v>
      </c>
      <c r="H3082" s="5" t="s">
        <v>20</v>
      </c>
      <c r="I3082" s="5" t="s">
        <v>7001</v>
      </c>
      <c r="J3082" s="12" t="str">
        <f>HYPERLINK("https://www.boe.es/gazeta/dias/1806/11/18/pdfs/GMD-1806-94.pdf#page=9","Abrir facsímil")</f>
        <v>Abrir facsímil</v>
      </c>
      <c r="K3082" s="15" t="s">
        <v>22</v>
      </c>
    </row>
    <row r="3083" spans="1:11" ht="42" customHeight="1">
      <c r="A3083" s="4" t="s">
        <v>7002</v>
      </c>
      <c r="B3083" s="5" t="s">
        <v>7002</v>
      </c>
      <c r="C3083" s="5" t="s">
        <v>31</v>
      </c>
      <c r="D3083" s="5" t="s">
        <v>32</v>
      </c>
      <c r="E3083" s="5" t="s">
        <v>59</v>
      </c>
      <c r="F3083" s="9">
        <v>21</v>
      </c>
      <c r="G3083" s="9">
        <v>196</v>
      </c>
      <c r="H3083" s="5" t="s">
        <v>20</v>
      </c>
      <c r="I3083" s="5" t="s">
        <v>7003</v>
      </c>
      <c r="J3083" s="12" t="str">
        <f>HYPERLINK("https://www.boe.es/gazeta/dias/1806/03/07/pdfs/GMD-1806-21.pdf#page=8","Abrir facsímil")</f>
        <v>Abrir facsímil</v>
      </c>
      <c r="K3083" s="15" t="s">
        <v>22</v>
      </c>
    </row>
    <row r="3084" spans="1:11" ht="42" customHeight="1">
      <c r="A3084" s="4" t="s">
        <v>7004</v>
      </c>
      <c r="B3084" s="5" t="s">
        <v>7004</v>
      </c>
      <c r="C3084" s="5" t="s">
        <v>17</v>
      </c>
      <c r="D3084" s="5" t="s">
        <v>18</v>
      </c>
      <c r="E3084" s="5" t="s">
        <v>185</v>
      </c>
      <c r="F3084" s="9">
        <v>46</v>
      </c>
      <c r="G3084" s="9">
        <v>469</v>
      </c>
      <c r="H3084" s="5" t="s">
        <v>20</v>
      </c>
      <c r="I3084" s="5" t="s">
        <v>7005</v>
      </c>
      <c r="J3084" s="12" t="str">
        <f>HYPERLINK("https://www.boe.es/gazeta/dias/1806/06/03/pdfs/GMD-1806-46.pdf#page=9","Abrir facsímil")</f>
        <v>Abrir facsímil</v>
      </c>
      <c r="K3084" s="15" t="s">
        <v>22</v>
      </c>
    </row>
    <row r="3085" spans="1:11" ht="42" customHeight="1">
      <c r="A3085" s="4" t="s">
        <v>7006</v>
      </c>
      <c r="B3085" s="5" t="s">
        <v>7006</v>
      </c>
      <c r="C3085" s="5" t="s">
        <v>31</v>
      </c>
      <c r="D3085" s="5" t="s">
        <v>32</v>
      </c>
      <c r="E3085" s="5" t="s">
        <v>205</v>
      </c>
      <c r="F3085" s="9">
        <v>57</v>
      </c>
      <c r="G3085" s="9">
        <v>594</v>
      </c>
      <c r="H3085" s="5" t="s">
        <v>20</v>
      </c>
      <c r="I3085" s="5" t="s">
        <v>7007</v>
      </c>
      <c r="J3085" s="12" t="str">
        <f>HYPERLINK("https://www.boe.es/gazeta/dias/1806/07/11/pdfs/GMD-1806-57.pdf#page=6","Abrir facsímil")</f>
        <v>Abrir facsímil</v>
      </c>
      <c r="K3085" s="15" t="s">
        <v>22</v>
      </c>
    </row>
    <row r="3086" spans="1:11" ht="42" customHeight="1">
      <c r="A3086" s="4" t="s">
        <v>7008</v>
      </c>
      <c r="B3086" s="5" t="s">
        <v>7008</v>
      </c>
      <c r="C3086" s="5" t="s">
        <v>42</v>
      </c>
      <c r="D3086" s="5" t="s">
        <v>43</v>
      </c>
      <c r="E3086" s="5" t="s">
        <v>127</v>
      </c>
      <c r="F3086" s="9">
        <v>81</v>
      </c>
      <c r="G3086" s="9">
        <v>840</v>
      </c>
      <c r="H3086" s="5" t="s">
        <v>20</v>
      </c>
      <c r="I3086" s="5" t="s">
        <v>7009</v>
      </c>
      <c r="J3086" s="12" t="str">
        <f>HYPERLINK("https://www.boe.es/gazeta/dias/1806/10/03/pdfs/GMD-1806-81.pdf#page=8","Abrir facsímil")</f>
        <v>Abrir facsímil</v>
      </c>
      <c r="K3086" s="15" t="s">
        <v>22</v>
      </c>
    </row>
    <row r="3087" spans="1:11" ht="42" customHeight="1">
      <c r="A3087" s="4" t="s">
        <v>7010</v>
      </c>
      <c r="B3087" s="5" t="s">
        <v>7010</v>
      </c>
      <c r="C3087" s="5" t="s">
        <v>75</v>
      </c>
      <c r="D3087" s="5" t="s">
        <v>43</v>
      </c>
      <c r="E3087" s="5" t="s">
        <v>859</v>
      </c>
      <c r="F3087" s="9">
        <v>63</v>
      </c>
      <c r="G3087" s="9">
        <v>663</v>
      </c>
      <c r="H3087" s="5" t="s">
        <v>20</v>
      </c>
      <c r="I3087" s="5" t="s">
        <v>7011</v>
      </c>
      <c r="J3087" s="12" t="str">
        <f>HYPERLINK("https://www.boe.es/gazeta/dias/1806/08/01/pdfs/GMD-1806-63.pdf#page=11","Abrir facsímil")</f>
        <v>Abrir facsímil</v>
      </c>
      <c r="K3087" s="15" t="s">
        <v>22</v>
      </c>
    </row>
    <row r="3088" spans="1:11" ht="42" customHeight="1">
      <c r="A3088" s="4" t="s">
        <v>7012</v>
      </c>
      <c r="B3088" s="5" t="s">
        <v>7012</v>
      </c>
      <c r="C3088" s="5" t="s">
        <v>31</v>
      </c>
      <c r="D3088" s="5" t="s">
        <v>32</v>
      </c>
      <c r="E3088" s="5" t="s">
        <v>689</v>
      </c>
      <c r="F3088" s="9">
        <v>37</v>
      </c>
      <c r="G3088" s="9">
        <v>361</v>
      </c>
      <c r="H3088" s="5" t="s">
        <v>20</v>
      </c>
      <c r="I3088" s="5" t="s">
        <v>7013</v>
      </c>
      <c r="J3088" s="12" t="str">
        <f>HYPERLINK("https://www.boe.es/gazeta/dias/1806/05/02/pdfs/GMD-1806-37.pdf#page=9","Abrir facsímil")</f>
        <v>Abrir facsímil</v>
      </c>
      <c r="K3088" s="15" t="s">
        <v>22</v>
      </c>
    </row>
    <row r="3089" spans="1:11" ht="42" customHeight="1">
      <c r="A3089" s="4" t="s">
        <v>7014</v>
      </c>
      <c r="B3089" s="5" t="s">
        <v>7014</v>
      </c>
      <c r="C3089" s="5" t="s">
        <v>17</v>
      </c>
      <c r="D3089" s="5" t="s">
        <v>18</v>
      </c>
      <c r="E3089" s="5" t="s">
        <v>188</v>
      </c>
      <c r="F3089" s="9">
        <v>2</v>
      </c>
      <c r="G3089" s="9">
        <v>18</v>
      </c>
      <c r="H3089" s="5" t="s">
        <v>20</v>
      </c>
      <c r="I3089" s="5" t="s">
        <v>7015</v>
      </c>
      <c r="J3089" s="12" t="str">
        <f>HYPERLINK("https://www.boe.es/gazeta/dias/1806/01/07/pdfs/GMD-1806-2.pdf#page=6","Abrir facsímil")</f>
        <v>Abrir facsímil</v>
      </c>
      <c r="K3089" s="15" t="s">
        <v>22</v>
      </c>
    </row>
    <row r="3090" spans="1:11" ht="42" customHeight="1">
      <c r="A3090" s="4" t="s">
        <v>7016</v>
      </c>
      <c r="B3090" s="5" t="s">
        <v>7016</v>
      </c>
      <c r="C3090" s="5" t="s">
        <v>31</v>
      </c>
      <c r="D3090" s="5" t="s">
        <v>32</v>
      </c>
      <c r="E3090" s="5" t="s">
        <v>946</v>
      </c>
      <c r="F3090" s="9" t="s">
        <v>947</v>
      </c>
      <c r="G3090" s="9">
        <v>1115</v>
      </c>
      <c r="H3090" s="5" t="s">
        <v>20</v>
      </c>
      <c r="I3090" s="5" t="s">
        <v>7017</v>
      </c>
      <c r="J3090" s="12" t="str">
        <f>HYPERLINK("https://www.boe.es/gazeta/dias/1806/12/24/pdfs/GMD-1806-105E.pdf#page=3","Abrir facsímil")</f>
        <v>Abrir facsímil</v>
      </c>
      <c r="K3090" s="15" t="s">
        <v>22</v>
      </c>
    </row>
    <row r="3091" spans="1:11" ht="42" customHeight="1">
      <c r="A3091" s="4" t="s">
        <v>7018</v>
      </c>
      <c r="B3091" s="5" t="s">
        <v>7018</v>
      </c>
      <c r="C3091" s="5" t="s">
        <v>36</v>
      </c>
      <c r="D3091" s="5" t="s">
        <v>37</v>
      </c>
      <c r="E3091" s="5" t="s">
        <v>304</v>
      </c>
      <c r="F3091" s="9">
        <v>47</v>
      </c>
      <c r="G3091" s="9">
        <v>483</v>
      </c>
      <c r="H3091" s="5" t="s">
        <v>20</v>
      </c>
      <c r="I3091" s="5" t="s">
        <v>7019</v>
      </c>
      <c r="J3091" s="12" t="str">
        <f>HYPERLINK("https://www.boe.es/gazeta/dias/1806/06/06/pdfs/GMD-C-1806-47.pdf#page=3","Abrir facsímil")</f>
        <v>Abrir facsímil</v>
      </c>
      <c r="K3091" s="15" t="s">
        <v>22</v>
      </c>
    </row>
    <row r="3092" spans="1:11" ht="42" customHeight="1">
      <c r="A3092" s="4" t="s">
        <v>7020</v>
      </c>
      <c r="B3092" s="5" t="s">
        <v>7020</v>
      </c>
      <c r="C3092" s="5" t="s">
        <v>31</v>
      </c>
      <c r="D3092" s="5" t="s">
        <v>32</v>
      </c>
      <c r="E3092" s="5" t="s">
        <v>297</v>
      </c>
      <c r="F3092" s="9">
        <v>94</v>
      </c>
      <c r="G3092" s="9">
        <v>989</v>
      </c>
      <c r="H3092" s="5" t="s">
        <v>20</v>
      </c>
      <c r="I3092" s="5" t="s">
        <v>7021</v>
      </c>
      <c r="J3092" s="12" t="str">
        <f>HYPERLINK("https://www.boe.es/gazeta/dias/1806/11/18/pdfs/GMD-1806-94.pdf#page=9","Abrir facsímil")</f>
        <v>Abrir facsímil</v>
      </c>
      <c r="K3092" s="15" t="s">
        <v>22</v>
      </c>
    </row>
    <row r="3093" spans="1:11" ht="42" customHeight="1">
      <c r="A3093" s="4" t="s">
        <v>7022</v>
      </c>
      <c r="B3093" s="5" t="s">
        <v>7023</v>
      </c>
      <c r="C3093" s="5" t="s">
        <v>31</v>
      </c>
      <c r="D3093" s="5" t="s">
        <v>32</v>
      </c>
      <c r="E3093" s="5" t="s">
        <v>837</v>
      </c>
      <c r="F3093" s="9">
        <v>26</v>
      </c>
      <c r="G3093" s="9">
        <v>257</v>
      </c>
      <c r="H3093" s="5" t="s">
        <v>20</v>
      </c>
      <c r="I3093" s="5" t="s">
        <v>7024</v>
      </c>
      <c r="J3093" s="12" t="str">
        <f>HYPERLINK("https://www.boe.es/gazeta/dias/1806/03/25/pdfs/GMD-1806-26.pdf#page=9","Abrir facsímil")</f>
        <v>Abrir facsímil</v>
      </c>
      <c r="K3093" s="15" t="s">
        <v>22</v>
      </c>
    </row>
    <row r="3094" spans="1:11" ht="42" customHeight="1">
      <c r="A3094" s="4" t="s">
        <v>7025</v>
      </c>
      <c r="B3094" s="5" t="s">
        <v>7025</v>
      </c>
      <c r="C3094" s="5" t="s">
        <v>31</v>
      </c>
      <c r="D3094" s="5" t="s">
        <v>32</v>
      </c>
      <c r="E3094" s="5" t="s">
        <v>348</v>
      </c>
      <c r="F3094" s="9">
        <v>88</v>
      </c>
      <c r="G3094" s="9">
        <v>910</v>
      </c>
      <c r="H3094" s="5" t="s">
        <v>20</v>
      </c>
      <c r="I3094" s="5" t="s">
        <v>7026</v>
      </c>
      <c r="J3094" s="12" t="str">
        <f>HYPERLINK("https://www.boe.es/gazeta/dias/1806/10/28/pdfs/GMD-1806-88.pdf#page=6","Abrir facsímil")</f>
        <v>Abrir facsímil</v>
      </c>
      <c r="K3094" s="15" t="s">
        <v>22</v>
      </c>
    </row>
    <row r="3095" spans="1:11" ht="42" customHeight="1">
      <c r="A3095" s="4" t="s">
        <v>7027</v>
      </c>
      <c r="B3095" s="5" t="s">
        <v>7027</v>
      </c>
      <c r="C3095" s="5" t="s">
        <v>31</v>
      </c>
      <c r="D3095" s="5" t="s">
        <v>32</v>
      </c>
      <c r="E3095" s="5" t="s">
        <v>24</v>
      </c>
      <c r="F3095" s="9">
        <v>32</v>
      </c>
      <c r="G3095" s="9">
        <v>316</v>
      </c>
      <c r="H3095" s="5" t="s">
        <v>20</v>
      </c>
      <c r="I3095" s="5" t="s">
        <v>7028</v>
      </c>
      <c r="J3095" s="12" t="str">
        <f>HYPERLINK("https://www.boe.es/gazeta/dias/1806/04/15/pdfs/GMD-1806-32.pdf#page=8","Abrir facsímil")</f>
        <v>Abrir facsímil</v>
      </c>
      <c r="K3095" s="15" t="s">
        <v>22</v>
      </c>
    </row>
    <row r="3096" spans="1:11" ht="42" customHeight="1">
      <c r="A3096" s="4" t="s">
        <v>7029</v>
      </c>
      <c r="B3096" s="5" t="s">
        <v>7029</v>
      </c>
      <c r="C3096" s="5" t="s">
        <v>42</v>
      </c>
      <c r="D3096" s="5" t="s">
        <v>43</v>
      </c>
      <c r="E3096" s="5" t="s">
        <v>24</v>
      </c>
      <c r="F3096" s="9">
        <v>32</v>
      </c>
      <c r="G3096" s="9">
        <v>315</v>
      </c>
      <c r="H3096" s="5" t="s">
        <v>20</v>
      </c>
      <c r="I3096" s="5" t="s">
        <v>7030</v>
      </c>
      <c r="J3096" s="12" t="str">
        <f>HYPERLINK("https://www.boe.es/gazeta/dias/1806/04/15/pdfs/GMD-1806-32.pdf#page=7","Abrir facsímil")</f>
        <v>Abrir facsímil</v>
      </c>
      <c r="K3096" s="15" t="s">
        <v>22</v>
      </c>
    </row>
    <row r="3097" spans="1:11" ht="42" customHeight="1">
      <c r="A3097" s="4" t="s">
        <v>7031</v>
      </c>
      <c r="B3097" s="5" t="s">
        <v>7031</v>
      </c>
      <c r="C3097" s="5" t="s">
        <v>17</v>
      </c>
      <c r="D3097" s="5" t="s">
        <v>18</v>
      </c>
      <c r="E3097" s="5" t="s">
        <v>55</v>
      </c>
      <c r="F3097" s="9">
        <v>20</v>
      </c>
      <c r="G3097" s="9">
        <v>184</v>
      </c>
      <c r="H3097" s="5" t="s">
        <v>20</v>
      </c>
      <c r="I3097" s="5" t="s">
        <v>7032</v>
      </c>
      <c r="J3097" s="12" t="str">
        <f>HYPERLINK("https://www.boe.es/gazeta/dias/1806/03/04/pdfs/GMD-1806-20.pdf#page=8","Abrir facsímil")</f>
        <v>Abrir facsímil</v>
      </c>
      <c r="K3097" s="15" t="s">
        <v>22</v>
      </c>
    </row>
    <row r="3098" spans="1:11" ht="42" customHeight="1">
      <c r="A3098" s="4" t="s">
        <v>7031</v>
      </c>
      <c r="B3098" s="5" t="s">
        <v>7031</v>
      </c>
      <c r="C3098" s="5" t="s">
        <v>75</v>
      </c>
      <c r="D3098" s="5" t="s">
        <v>43</v>
      </c>
      <c r="E3098" s="5" t="s">
        <v>44</v>
      </c>
      <c r="F3098" s="9">
        <v>42</v>
      </c>
      <c r="G3098" s="9">
        <v>422</v>
      </c>
      <c r="H3098" s="5" t="s">
        <v>20</v>
      </c>
      <c r="I3098" s="5" t="s">
        <v>7033</v>
      </c>
      <c r="J3098" s="12" t="str">
        <f>HYPERLINK("https://www.boe.es/gazeta/dias/1806/05/20/pdfs/GMD-1806-42.pdf#page=10","Abrir facsímil")</f>
        <v>Abrir facsímil</v>
      </c>
      <c r="K3098" s="15" t="s">
        <v>22</v>
      </c>
    </row>
    <row r="3099" spans="1:11" ht="42" customHeight="1">
      <c r="A3099" s="4" t="s">
        <v>7031</v>
      </c>
      <c r="B3099" s="5" t="s">
        <v>7031</v>
      </c>
      <c r="C3099" s="5" t="s">
        <v>36</v>
      </c>
      <c r="D3099" s="5" t="s">
        <v>37</v>
      </c>
      <c r="E3099" s="5" t="s">
        <v>110</v>
      </c>
      <c r="F3099" s="9">
        <v>55</v>
      </c>
      <c r="G3099" s="9">
        <v>573</v>
      </c>
      <c r="H3099" s="5" t="s">
        <v>20</v>
      </c>
      <c r="I3099" s="5" t="s">
        <v>7034</v>
      </c>
      <c r="J3099" s="12" t="str">
        <f>HYPERLINK("https://www.boe.es/gazeta/dias/1806/07/04/pdfs/GMD-1806-55.pdf#page=9","Abrir facsímil")</f>
        <v>Abrir facsímil</v>
      </c>
      <c r="K3099" s="15" t="s">
        <v>22</v>
      </c>
    </row>
    <row r="3100" spans="1:11" ht="42" customHeight="1">
      <c r="A3100" s="4" t="s">
        <v>7031</v>
      </c>
      <c r="B3100" s="5" t="s">
        <v>7031</v>
      </c>
      <c r="C3100" s="5" t="s">
        <v>75</v>
      </c>
      <c r="D3100" s="5" t="s">
        <v>43</v>
      </c>
      <c r="E3100" s="5" t="s">
        <v>405</v>
      </c>
      <c r="F3100" s="9">
        <v>80</v>
      </c>
      <c r="G3100" s="9">
        <v>831</v>
      </c>
      <c r="H3100" s="5" t="s">
        <v>20</v>
      </c>
      <c r="I3100" s="5" t="s">
        <v>7035</v>
      </c>
      <c r="J3100" s="12" t="str">
        <f>HYPERLINK("https://www.boe.es/gazeta/dias/1806/09/30/pdfs/GMD-1806-80.pdf#page=11","Abrir facsímil")</f>
        <v>Abrir facsímil</v>
      </c>
      <c r="K3100" s="15" t="s">
        <v>22</v>
      </c>
    </row>
    <row r="3101" spans="1:11" ht="42" customHeight="1">
      <c r="A3101" s="4" t="s">
        <v>7036</v>
      </c>
      <c r="B3101" s="5" t="s">
        <v>7036</v>
      </c>
      <c r="C3101" s="5" t="s">
        <v>31</v>
      </c>
      <c r="D3101" s="5" t="s">
        <v>32</v>
      </c>
      <c r="E3101" s="5" t="s">
        <v>271</v>
      </c>
      <c r="F3101" s="9">
        <v>6</v>
      </c>
      <c r="G3101" s="9">
        <v>54</v>
      </c>
      <c r="H3101" s="5" t="s">
        <v>20</v>
      </c>
      <c r="I3101" s="5" t="s">
        <v>7037</v>
      </c>
      <c r="J3101" s="12" t="str">
        <f>HYPERLINK("https://www.boe.es/gazeta/dias/1806/01/17/pdfs/GMD-1806-6.pdf#page=10","Abrir facsímil")</f>
        <v>Abrir facsímil</v>
      </c>
      <c r="K3101" s="15" t="s">
        <v>22</v>
      </c>
    </row>
    <row r="3102" spans="1:11" ht="42" customHeight="1">
      <c r="A3102" s="4" t="s">
        <v>7038</v>
      </c>
      <c r="B3102" s="5" t="s">
        <v>7038</v>
      </c>
      <c r="C3102" s="5" t="s">
        <v>31</v>
      </c>
      <c r="D3102" s="5" t="s">
        <v>32</v>
      </c>
      <c r="E3102" s="5" t="s">
        <v>946</v>
      </c>
      <c r="F3102" s="9" t="s">
        <v>947</v>
      </c>
      <c r="G3102" s="9">
        <v>1115</v>
      </c>
      <c r="H3102" s="5" t="s">
        <v>20</v>
      </c>
      <c r="I3102" s="5" t="s">
        <v>7039</v>
      </c>
      <c r="J3102" s="12" t="str">
        <f>HYPERLINK("https://www.boe.es/gazeta/dias/1806/12/24/pdfs/GMD-1806-105E.pdf#page=3","Abrir facsímil")</f>
        <v>Abrir facsímil</v>
      </c>
      <c r="K3102" s="15" t="s">
        <v>22</v>
      </c>
    </row>
    <row r="3103" spans="1:11" ht="42" customHeight="1">
      <c r="A3103" s="4" t="s">
        <v>7040</v>
      </c>
      <c r="B3103" s="5" t="s">
        <v>7040</v>
      </c>
      <c r="C3103" s="5" t="s">
        <v>36</v>
      </c>
      <c r="D3103" s="5" t="s">
        <v>37</v>
      </c>
      <c r="E3103" s="5" t="s">
        <v>202</v>
      </c>
      <c r="F3103" s="9">
        <v>30</v>
      </c>
      <c r="G3103" s="9">
        <v>296</v>
      </c>
      <c r="H3103" s="5" t="s">
        <v>20</v>
      </c>
      <c r="I3103" s="5" t="s">
        <v>7041</v>
      </c>
      <c r="J3103" s="12" t="str">
        <f>HYPERLINK("https://www.boe.es/gazeta/dias/1806/04/08/pdfs/GMD-1806-30.pdf#page=8","Abrir facsímil")</f>
        <v>Abrir facsímil</v>
      </c>
      <c r="K3103" s="15" t="s">
        <v>22</v>
      </c>
    </row>
    <row r="3104" spans="1:11" ht="42" customHeight="1">
      <c r="A3104" s="4" t="s">
        <v>7042</v>
      </c>
      <c r="B3104" s="5" t="s">
        <v>7042</v>
      </c>
      <c r="C3104" s="5" t="s">
        <v>17</v>
      </c>
      <c r="D3104" s="5" t="s">
        <v>18</v>
      </c>
      <c r="E3104" s="5" t="s">
        <v>55</v>
      </c>
      <c r="F3104" s="9">
        <v>20</v>
      </c>
      <c r="G3104" s="9">
        <v>183</v>
      </c>
      <c r="H3104" s="5" t="s">
        <v>20</v>
      </c>
      <c r="I3104" s="5" t="s">
        <v>7043</v>
      </c>
      <c r="J3104" s="12" t="str">
        <f>HYPERLINK("https://www.boe.es/gazeta/dias/1806/03/04/pdfs/GMD-1806-20.pdf#page=7","Abrir facsímil")</f>
        <v>Abrir facsímil</v>
      </c>
      <c r="K3104" s="15" t="s">
        <v>22</v>
      </c>
    </row>
    <row r="3105" spans="1:11" ht="42" customHeight="1">
      <c r="A3105" s="4" t="s">
        <v>7042</v>
      </c>
      <c r="B3105" s="5" t="s">
        <v>7042</v>
      </c>
      <c r="C3105" s="5" t="s">
        <v>17</v>
      </c>
      <c r="D3105" s="5" t="s">
        <v>18</v>
      </c>
      <c r="E3105" s="5" t="s">
        <v>90</v>
      </c>
      <c r="F3105" s="9">
        <v>60</v>
      </c>
      <c r="G3105" s="9">
        <v>626</v>
      </c>
      <c r="H3105" s="5" t="s">
        <v>20</v>
      </c>
      <c r="I3105" s="5" t="s">
        <v>7044</v>
      </c>
      <c r="J3105" s="12" t="str">
        <f>HYPERLINK("https://www.boe.es/gazeta/dias/1806/07/22/pdfs/GMD-1806-60.pdf#page=10","Abrir facsímil")</f>
        <v>Abrir facsímil</v>
      </c>
      <c r="K3105" s="15" t="s">
        <v>22</v>
      </c>
    </row>
    <row r="3106" spans="1:11" ht="42" customHeight="1">
      <c r="A3106" s="4" t="s">
        <v>7042</v>
      </c>
      <c r="B3106" s="5" t="s">
        <v>7042</v>
      </c>
      <c r="C3106" s="5" t="s">
        <v>17</v>
      </c>
      <c r="D3106" s="5" t="s">
        <v>18</v>
      </c>
      <c r="E3106" s="5" t="s">
        <v>213</v>
      </c>
      <c r="F3106" s="9">
        <v>73</v>
      </c>
      <c r="G3106" s="9">
        <v>757</v>
      </c>
      <c r="H3106" s="5" t="s">
        <v>20</v>
      </c>
      <c r="I3106" s="5" t="s">
        <v>7045</v>
      </c>
      <c r="J3106" s="12" t="str">
        <f>HYPERLINK("https://www.boe.es/gazeta/dias/1806/09/05/pdfs/GMD-1806-73.pdf#page=5","Abrir facsímil")</f>
        <v>Abrir facsímil</v>
      </c>
      <c r="K3106" s="15" t="s">
        <v>22</v>
      </c>
    </row>
    <row r="3107" spans="1:11" ht="42" customHeight="1">
      <c r="A3107" s="4" t="s">
        <v>7046</v>
      </c>
      <c r="B3107" s="5" t="s">
        <v>7046</v>
      </c>
      <c r="C3107" s="5" t="s">
        <v>17</v>
      </c>
      <c r="D3107" s="5" t="s">
        <v>18</v>
      </c>
      <c r="E3107" s="5" t="s">
        <v>279</v>
      </c>
      <c r="F3107" s="9">
        <v>52</v>
      </c>
      <c r="G3107" s="9">
        <v>543</v>
      </c>
      <c r="H3107" s="5" t="s">
        <v>20</v>
      </c>
      <c r="I3107" s="5" t="s">
        <v>7047</v>
      </c>
      <c r="J3107" s="12" t="str">
        <f>HYPERLINK("https://www.boe.es/gazeta/dias/1806/06/24/pdfs/GMD-1806-52.pdf#page=11","Abrir facsímil")</f>
        <v>Abrir facsímil</v>
      </c>
      <c r="K3107" s="15" t="s">
        <v>22</v>
      </c>
    </row>
    <row r="3108" spans="1:11" ht="42" customHeight="1">
      <c r="A3108" s="4" t="s">
        <v>7046</v>
      </c>
      <c r="B3108" s="5" t="s">
        <v>7046</v>
      </c>
      <c r="C3108" s="5" t="s">
        <v>75</v>
      </c>
      <c r="D3108" s="5" t="s">
        <v>43</v>
      </c>
      <c r="E3108" s="5" t="s">
        <v>48</v>
      </c>
      <c r="F3108" s="9">
        <v>67</v>
      </c>
      <c r="G3108" s="9">
        <v>703</v>
      </c>
      <c r="H3108" s="5" t="s">
        <v>20</v>
      </c>
      <c r="I3108" s="5" t="s">
        <v>7048</v>
      </c>
      <c r="J3108" s="12" t="str">
        <f>HYPERLINK("https://www.boe.es/gazeta/dias/1806/08/15/pdfs/GMD-1806-67.pdf#page=11","Abrir facsímil")</f>
        <v>Abrir facsímil</v>
      </c>
      <c r="K3108" s="15" t="s">
        <v>22</v>
      </c>
    </row>
    <row r="3109" spans="1:11" ht="42" customHeight="1">
      <c r="A3109" s="4" t="s">
        <v>7049</v>
      </c>
      <c r="B3109" s="5" t="s">
        <v>7049</v>
      </c>
      <c r="C3109" s="5" t="s">
        <v>31</v>
      </c>
      <c r="D3109" s="5" t="s">
        <v>32</v>
      </c>
      <c r="E3109" s="5" t="s">
        <v>24</v>
      </c>
      <c r="F3109" s="9">
        <v>32</v>
      </c>
      <c r="G3109" s="9">
        <v>315</v>
      </c>
      <c r="H3109" s="5" t="s">
        <v>20</v>
      </c>
      <c r="I3109" s="5" t="s">
        <v>7050</v>
      </c>
      <c r="J3109" s="12" t="str">
        <f>HYPERLINK("https://www.boe.es/gazeta/dias/1806/04/15/pdfs/GMD-1806-32.pdf#page=7","Abrir facsímil")</f>
        <v>Abrir facsímil</v>
      </c>
      <c r="K3109" s="15" t="s">
        <v>22</v>
      </c>
    </row>
    <row r="3110" spans="1:11" ht="42" customHeight="1">
      <c r="A3110" s="4" t="s">
        <v>7051</v>
      </c>
      <c r="B3110" s="5" t="s">
        <v>7051</v>
      </c>
      <c r="C3110" s="5" t="s">
        <v>42</v>
      </c>
      <c r="D3110" s="5" t="s">
        <v>43</v>
      </c>
      <c r="E3110" s="5" t="s">
        <v>383</v>
      </c>
      <c r="F3110" s="9">
        <v>54</v>
      </c>
      <c r="G3110" s="9">
        <v>562</v>
      </c>
      <c r="H3110" s="5" t="s">
        <v>20</v>
      </c>
      <c r="I3110" s="5" t="s">
        <v>7052</v>
      </c>
      <c r="J3110" s="12" t="str">
        <f>HYPERLINK("https://www.boe.es/gazeta/dias/1806/07/01/pdfs/GMD-1806-54.pdf#page=6","Abrir facsímil")</f>
        <v>Abrir facsímil</v>
      </c>
      <c r="K3110" s="15" t="s">
        <v>22</v>
      </c>
    </row>
    <row r="3111" spans="1:11" ht="42" customHeight="1">
      <c r="A3111" s="4" t="s">
        <v>7053</v>
      </c>
      <c r="B3111" s="5" t="s">
        <v>7053</v>
      </c>
      <c r="C3111" s="5" t="s">
        <v>42</v>
      </c>
      <c r="D3111" s="5" t="s">
        <v>43</v>
      </c>
      <c r="E3111" s="5" t="s">
        <v>213</v>
      </c>
      <c r="F3111" s="9">
        <v>73</v>
      </c>
      <c r="G3111" s="9">
        <v>758</v>
      </c>
      <c r="H3111" s="5" t="s">
        <v>20</v>
      </c>
      <c r="I3111" s="5" t="s">
        <v>7054</v>
      </c>
      <c r="J3111" s="12" t="str">
        <f>HYPERLINK("https://www.boe.es/gazeta/dias/1806/09/05/pdfs/GMD-1806-73.pdf#page=6","Abrir facsímil")</f>
        <v>Abrir facsímil</v>
      </c>
      <c r="K3111" s="15" t="s">
        <v>22</v>
      </c>
    </row>
    <row r="3112" spans="1:11" ht="42" customHeight="1">
      <c r="A3112" s="4" t="s">
        <v>7055</v>
      </c>
      <c r="B3112" s="5" t="s">
        <v>7055</v>
      </c>
      <c r="C3112" s="5" t="s">
        <v>31</v>
      </c>
      <c r="D3112" s="5" t="s">
        <v>32</v>
      </c>
      <c r="E3112" s="5" t="s">
        <v>810</v>
      </c>
      <c r="F3112" s="9">
        <v>71</v>
      </c>
      <c r="G3112" s="9">
        <v>739</v>
      </c>
      <c r="H3112" s="5" t="s">
        <v>20</v>
      </c>
      <c r="I3112" s="5" t="s">
        <v>7056</v>
      </c>
      <c r="J3112" s="12" t="str">
        <f>HYPERLINK("https://www.boe.es/gazeta/dias/1806/08/29/pdfs/GMD-1806-71.pdf#page=7","Abrir facsímil")</f>
        <v>Abrir facsímil</v>
      </c>
      <c r="K3112" s="15" t="s">
        <v>22</v>
      </c>
    </row>
    <row r="3113" spans="1:11" ht="42" customHeight="1">
      <c r="A3113" s="4" t="s">
        <v>7057</v>
      </c>
      <c r="B3113" s="5" t="s">
        <v>7057</v>
      </c>
      <c r="C3113" s="5" t="s">
        <v>31</v>
      </c>
      <c r="D3113" s="5" t="s">
        <v>32</v>
      </c>
      <c r="E3113" s="5" t="s">
        <v>24</v>
      </c>
      <c r="F3113" s="9">
        <v>32</v>
      </c>
      <c r="G3113" s="9">
        <v>315</v>
      </c>
      <c r="H3113" s="5" t="s">
        <v>20</v>
      </c>
      <c r="I3113" s="5" t="s">
        <v>7058</v>
      </c>
      <c r="J3113" s="12" t="str">
        <f>HYPERLINK("https://www.boe.es/gazeta/dias/1806/04/15/pdfs/GMD-1806-32.pdf#page=7","Abrir facsímil")</f>
        <v>Abrir facsímil</v>
      </c>
      <c r="K3113" s="15" t="s">
        <v>22</v>
      </c>
    </row>
    <row r="3114" spans="1:11" ht="42" customHeight="1">
      <c r="A3114" s="4" t="s">
        <v>7059</v>
      </c>
      <c r="B3114" s="5" t="s">
        <v>7059</v>
      </c>
      <c r="C3114" s="5" t="s">
        <v>31</v>
      </c>
      <c r="D3114" s="5" t="s">
        <v>32</v>
      </c>
      <c r="E3114" s="5" t="s">
        <v>118</v>
      </c>
      <c r="F3114" s="9">
        <v>15</v>
      </c>
      <c r="G3114" s="9">
        <v>134</v>
      </c>
      <c r="H3114" s="5" t="s">
        <v>20</v>
      </c>
      <c r="I3114" s="5" t="s">
        <v>7060</v>
      </c>
      <c r="J3114" s="12" t="str">
        <f>HYPERLINK("https://www.boe.es/gazeta/dias/1806/02/14/pdfs/GMD-1806-15.pdf#page=10","Abrir facsímil")</f>
        <v>Abrir facsímil</v>
      </c>
      <c r="K3114" s="15" t="s">
        <v>22</v>
      </c>
    </row>
    <row r="3115" spans="1:11" ht="42" customHeight="1">
      <c r="A3115" s="4" t="s">
        <v>7061</v>
      </c>
      <c r="B3115" s="5" t="s">
        <v>7061</v>
      </c>
      <c r="C3115" s="5" t="s">
        <v>42</v>
      </c>
      <c r="D3115" s="5" t="s">
        <v>43</v>
      </c>
      <c r="E3115" s="5" t="s">
        <v>259</v>
      </c>
      <c r="F3115" s="9">
        <v>34</v>
      </c>
      <c r="G3115" s="9">
        <v>335</v>
      </c>
      <c r="H3115" s="5" t="s">
        <v>20</v>
      </c>
      <c r="I3115" s="5" t="s">
        <v>7062</v>
      </c>
      <c r="J3115" s="12" t="str">
        <f>HYPERLINK("https://www.boe.es/gazeta/dias/1806/04/22/pdfs/GMD-1806-34.pdf#page=7","Abrir facsímil")</f>
        <v>Abrir facsímil</v>
      </c>
      <c r="K3115" s="15" t="s">
        <v>22</v>
      </c>
    </row>
    <row r="3116" spans="1:11" ht="42" customHeight="1">
      <c r="A3116" s="4" t="s">
        <v>7063</v>
      </c>
      <c r="B3116" s="5" t="s">
        <v>7063</v>
      </c>
      <c r="C3116" s="5" t="s">
        <v>75</v>
      </c>
      <c r="D3116" s="5" t="s">
        <v>43</v>
      </c>
      <c r="E3116" s="5" t="s">
        <v>93</v>
      </c>
      <c r="F3116" s="9">
        <v>72</v>
      </c>
      <c r="G3116" s="9">
        <v>750</v>
      </c>
      <c r="H3116" s="5" t="s">
        <v>20</v>
      </c>
      <c r="I3116" s="5" t="s">
        <v>7064</v>
      </c>
      <c r="J3116" s="12" t="str">
        <f>HYPERLINK("https://www.boe.es/gazeta/dias/1806/09/02/pdfs/GMD-1806-72.pdf#page=10","Abrir facsímil")</f>
        <v>Abrir facsímil</v>
      </c>
      <c r="K3116" s="15" t="s">
        <v>22</v>
      </c>
    </row>
    <row r="3117" spans="1:11" ht="42" customHeight="1">
      <c r="A3117" s="4" t="s">
        <v>7065</v>
      </c>
      <c r="B3117" s="5" t="s">
        <v>7065</v>
      </c>
      <c r="C3117" s="5" t="s">
        <v>42</v>
      </c>
      <c r="D3117" s="5" t="s">
        <v>43</v>
      </c>
      <c r="E3117" s="5" t="s">
        <v>383</v>
      </c>
      <c r="F3117" s="9">
        <v>54</v>
      </c>
      <c r="G3117" s="9">
        <v>562</v>
      </c>
      <c r="H3117" s="5" t="s">
        <v>20</v>
      </c>
      <c r="I3117" s="5" t="s">
        <v>7066</v>
      </c>
      <c r="J3117" s="12" t="str">
        <f>HYPERLINK("https://www.boe.es/gazeta/dias/1806/07/01/pdfs/GMD-1806-54.pdf#page=6","Abrir facsímil")</f>
        <v>Abrir facsímil</v>
      </c>
      <c r="K3117" s="15" t="s">
        <v>22</v>
      </c>
    </row>
    <row r="3118" spans="1:11" ht="42" customHeight="1">
      <c r="A3118" s="4" t="s">
        <v>7067</v>
      </c>
      <c r="B3118" s="5" t="s">
        <v>7068</v>
      </c>
      <c r="C3118" s="5" t="s">
        <v>31</v>
      </c>
      <c r="D3118" s="5" t="s">
        <v>32</v>
      </c>
      <c r="E3118" s="5" t="s">
        <v>400</v>
      </c>
      <c r="F3118" s="9">
        <v>22</v>
      </c>
      <c r="G3118" s="9">
        <v>208</v>
      </c>
      <c r="H3118" s="5" t="s">
        <v>20</v>
      </c>
      <c r="I3118" s="5" t="s">
        <v>7069</v>
      </c>
      <c r="J3118" s="12" t="str">
        <f>HYPERLINK("https://www.boe.es/gazeta/dias/1806/03/11/pdfs/GMD-1806-22.pdf#page=8","Abrir facsímil")</f>
        <v>Abrir facsímil</v>
      </c>
      <c r="K3118" s="15" t="s">
        <v>22</v>
      </c>
    </row>
    <row r="3119" spans="1:11" ht="42" customHeight="1">
      <c r="A3119" s="4" t="s">
        <v>7070</v>
      </c>
      <c r="B3119" s="5" t="s">
        <v>7070</v>
      </c>
      <c r="C3119" s="5" t="s">
        <v>42</v>
      </c>
      <c r="D3119" s="5" t="s">
        <v>43</v>
      </c>
      <c r="E3119" s="5" t="s">
        <v>121</v>
      </c>
      <c r="F3119" s="9">
        <v>19</v>
      </c>
      <c r="G3119" s="9">
        <v>175</v>
      </c>
      <c r="H3119" s="5" t="s">
        <v>20</v>
      </c>
      <c r="I3119" s="5" t="s">
        <v>7071</v>
      </c>
      <c r="J3119" s="12" t="str">
        <f>HYPERLINK("https://www.boe.es/gazeta/dias/1806/02/28/pdfs/GMD-1806-19.pdf#page=11","Abrir facsímil")</f>
        <v>Abrir facsímil</v>
      </c>
      <c r="K3119" s="15" t="s">
        <v>22</v>
      </c>
    </row>
    <row r="3120" spans="1:11" ht="42" customHeight="1">
      <c r="A3120" s="4" t="s">
        <v>7072</v>
      </c>
      <c r="B3120" s="5" t="s">
        <v>7072</v>
      </c>
      <c r="C3120" s="5" t="s">
        <v>42</v>
      </c>
      <c r="D3120" s="5" t="s">
        <v>43</v>
      </c>
      <c r="E3120" s="5" t="s">
        <v>33</v>
      </c>
      <c r="F3120" s="9">
        <v>82</v>
      </c>
      <c r="G3120" s="9">
        <v>850</v>
      </c>
      <c r="H3120" s="5" t="s">
        <v>20</v>
      </c>
      <c r="I3120" s="5" t="s">
        <v>7073</v>
      </c>
      <c r="J3120" s="12" t="str">
        <f>HYPERLINK("https://www.boe.es/gazeta/dias/1806/10/07/pdfs/GMD-1806-82.pdf#page=10","Abrir facsímil")</f>
        <v>Abrir facsímil</v>
      </c>
      <c r="K3120" s="15" t="s">
        <v>22</v>
      </c>
    </row>
    <row r="3121" spans="1:11" ht="42" customHeight="1">
      <c r="A3121" s="4" t="s">
        <v>7074</v>
      </c>
      <c r="B3121" s="5" t="s">
        <v>7074</v>
      </c>
      <c r="C3121" s="5" t="s">
        <v>31</v>
      </c>
      <c r="D3121" s="5" t="s">
        <v>32</v>
      </c>
      <c r="E3121" s="5" t="s">
        <v>297</v>
      </c>
      <c r="F3121" s="9">
        <v>94</v>
      </c>
      <c r="G3121" s="9">
        <v>990</v>
      </c>
      <c r="H3121" s="5" t="s">
        <v>20</v>
      </c>
      <c r="I3121" s="5" t="s">
        <v>7075</v>
      </c>
      <c r="J3121" s="12" t="str">
        <f>HYPERLINK("https://www.boe.es/gazeta/dias/1806/11/18/pdfs/GMD-1806-94.pdf#page=10","Abrir facsímil")</f>
        <v>Abrir facsímil</v>
      </c>
      <c r="K3121" s="15" t="s">
        <v>22</v>
      </c>
    </row>
    <row r="3122" spans="1:11" ht="42" customHeight="1">
      <c r="A3122" s="4" t="s">
        <v>7076</v>
      </c>
      <c r="B3122" s="5" t="s">
        <v>7076</v>
      </c>
      <c r="C3122" s="5" t="s">
        <v>31</v>
      </c>
      <c r="D3122" s="5" t="s">
        <v>32</v>
      </c>
      <c r="E3122" s="5" t="s">
        <v>148</v>
      </c>
      <c r="F3122" s="9">
        <v>78</v>
      </c>
      <c r="G3122" s="9">
        <v>803</v>
      </c>
      <c r="H3122" s="5" t="s">
        <v>20</v>
      </c>
      <c r="I3122" s="5" t="s">
        <v>7077</v>
      </c>
      <c r="J3122" s="12" t="str">
        <f>HYPERLINK("https://www.boe.es/gazeta/dias/1806/09/23/pdfs/GMD-1806-78.pdf#page=7","Abrir facsímil")</f>
        <v>Abrir facsímil</v>
      </c>
      <c r="K3122" s="15" t="s">
        <v>22</v>
      </c>
    </row>
    <row r="3123" spans="1:11" ht="42" customHeight="1">
      <c r="A3123" s="4" t="s">
        <v>7078</v>
      </c>
      <c r="B3123" s="5" t="s">
        <v>7078</v>
      </c>
      <c r="C3123" s="5" t="s">
        <v>31</v>
      </c>
      <c r="D3123" s="5" t="s">
        <v>32</v>
      </c>
      <c r="E3123" s="5" t="s">
        <v>455</v>
      </c>
      <c r="F3123" s="9">
        <v>85</v>
      </c>
      <c r="G3123" s="9">
        <v>881</v>
      </c>
      <c r="H3123" s="5" t="s">
        <v>20</v>
      </c>
      <c r="I3123" s="5" t="s">
        <v>7079</v>
      </c>
      <c r="J3123" s="12" t="str">
        <f>HYPERLINK("https://www.boe.es/gazeta/dias/1806/10/17/pdfs/GMD-1806-85.pdf#page=9","Abrir facsímil")</f>
        <v>Abrir facsímil</v>
      </c>
      <c r="K3123" s="15" t="s">
        <v>22</v>
      </c>
    </row>
    <row r="3124" spans="1:11" ht="42" customHeight="1">
      <c r="A3124" s="4" t="s">
        <v>7080</v>
      </c>
      <c r="B3124" s="5" t="s">
        <v>7080</v>
      </c>
      <c r="C3124" s="5" t="s">
        <v>75</v>
      </c>
      <c r="D3124" s="5" t="s">
        <v>43</v>
      </c>
      <c r="E3124" s="5" t="s">
        <v>100</v>
      </c>
      <c r="F3124" s="9">
        <v>7</v>
      </c>
      <c r="G3124" s="9">
        <v>67</v>
      </c>
      <c r="H3124" s="5" t="s">
        <v>20</v>
      </c>
      <c r="I3124" s="5" t="s">
        <v>7081</v>
      </c>
      <c r="J3124" s="12" t="str">
        <f>HYPERLINK("https://www.boe.es/gazeta/dias/1806/01/21/pdfs/GMD-1806-7.pdf#page=11","Abrir facsímil")</f>
        <v>Abrir facsímil</v>
      </c>
      <c r="K3124" s="15" t="s">
        <v>22</v>
      </c>
    </row>
    <row r="3125" spans="1:11" ht="42" customHeight="1">
      <c r="A3125" s="4" t="s">
        <v>7082</v>
      </c>
      <c r="B3125" s="5" t="s">
        <v>7082</v>
      </c>
      <c r="C3125" s="5" t="s">
        <v>31</v>
      </c>
      <c r="D3125" s="5" t="s">
        <v>32</v>
      </c>
      <c r="E3125" s="5" t="s">
        <v>181</v>
      </c>
      <c r="F3125" s="9">
        <v>99</v>
      </c>
      <c r="G3125" s="9">
        <v>1053</v>
      </c>
      <c r="H3125" s="5" t="s">
        <v>20</v>
      </c>
      <c r="I3125" s="5" t="s">
        <v>7083</v>
      </c>
      <c r="J3125" s="12" t="str">
        <f>HYPERLINK("https://www.boe.es/gazeta/dias/1806/12/05/pdfs/GMD-1806-99.pdf#page=9","Abrir facsímil")</f>
        <v>Abrir facsímil</v>
      </c>
      <c r="K3125" s="15" t="s">
        <v>22</v>
      </c>
    </row>
    <row r="3126" spans="1:11" ht="42" customHeight="1">
      <c r="A3126" s="4" t="s">
        <v>7084</v>
      </c>
      <c r="B3126" s="5" t="s">
        <v>7084</v>
      </c>
      <c r="C3126" s="5" t="s">
        <v>31</v>
      </c>
      <c r="D3126" s="5" t="s">
        <v>32</v>
      </c>
      <c r="E3126" s="5" t="s">
        <v>185</v>
      </c>
      <c r="F3126" s="9">
        <v>46</v>
      </c>
      <c r="G3126" s="9">
        <v>469</v>
      </c>
      <c r="H3126" s="5" t="s">
        <v>20</v>
      </c>
      <c r="I3126" s="5" t="s">
        <v>7085</v>
      </c>
      <c r="J3126" s="12" t="str">
        <f>HYPERLINK("https://www.boe.es/gazeta/dias/1806/06/03/pdfs/GMD-1806-46.pdf#page=9","Abrir facsímil")</f>
        <v>Abrir facsímil</v>
      </c>
      <c r="K3126" s="15" t="s">
        <v>22</v>
      </c>
    </row>
    <row r="3127" spans="1:11" ht="42" customHeight="1">
      <c r="A3127" s="4" t="s">
        <v>7086</v>
      </c>
      <c r="B3127" s="5" t="s">
        <v>7086</v>
      </c>
      <c r="C3127" s="5" t="s">
        <v>31</v>
      </c>
      <c r="D3127" s="5" t="s">
        <v>32</v>
      </c>
      <c r="E3127" s="5" t="s">
        <v>483</v>
      </c>
      <c r="F3127" s="9">
        <v>58</v>
      </c>
      <c r="G3127" s="9">
        <v>602</v>
      </c>
      <c r="H3127" s="5" t="s">
        <v>20</v>
      </c>
      <c r="I3127" s="5" t="s">
        <v>7087</v>
      </c>
      <c r="J3127" s="12" t="str">
        <f>HYPERLINK("https://www.boe.es/gazeta/dias/1806/07/15/pdfs/GMD-1806-58.pdf#page=6","Abrir facsímil")</f>
        <v>Abrir facsímil</v>
      </c>
      <c r="K3127" s="15" t="s">
        <v>22</v>
      </c>
    </row>
    <row r="3128" spans="1:11" ht="42" customHeight="1">
      <c r="A3128" s="4" t="s">
        <v>7088</v>
      </c>
      <c r="B3128" s="5" t="s">
        <v>7088</v>
      </c>
      <c r="C3128" s="5" t="s">
        <v>31</v>
      </c>
      <c r="D3128" s="5" t="s">
        <v>32</v>
      </c>
      <c r="E3128" s="5" t="s">
        <v>100</v>
      </c>
      <c r="F3128" s="9">
        <v>7</v>
      </c>
      <c r="G3128" s="9">
        <v>65</v>
      </c>
      <c r="H3128" s="5" t="s">
        <v>20</v>
      </c>
      <c r="I3128" s="5" t="s">
        <v>7089</v>
      </c>
      <c r="J3128" s="12" t="str">
        <f>HYPERLINK("https://www.boe.es/gazeta/dias/1806/01/21/pdfs/GMD-1806-7.pdf#page=9","Abrir facsímil")</f>
        <v>Abrir facsímil</v>
      </c>
      <c r="K3128" s="15" t="s">
        <v>22</v>
      </c>
    </row>
    <row r="3129" spans="1:11" ht="42" customHeight="1">
      <c r="A3129" s="4" t="s">
        <v>7088</v>
      </c>
      <c r="B3129" s="5" t="s">
        <v>7088</v>
      </c>
      <c r="C3129" s="5" t="s">
        <v>31</v>
      </c>
      <c r="D3129" s="5" t="s">
        <v>32</v>
      </c>
      <c r="E3129" s="5" t="s">
        <v>161</v>
      </c>
      <c r="F3129" s="9">
        <v>11</v>
      </c>
      <c r="G3129" s="9">
        <v>98</v>
      </c>
      <c r="H3129" s="5" t="s">
        <v>20</v>
      </c>
      <c r="I3129" s="5" t="s">
        <v>7090</v>
      </c>
      <c r="J3129" s="12" t="str">
        <f>HYPERLINK("https://www.boe.es/gazeta/dias/1806/01/31/pdfs/GMD-1806-11.pdf#page=6","Abrir facsímil")</f>
        <v>Abrir facsímil</v>
      </c>
      <c r="K3129" s="15" t="s">
        <v>22</v>
      </c>
    </row>
    <row r="3130" spans="1:11" ht="42" customHeight="1">
      <c r="A3130" s="4" t="s">
        <v>7091</v>
      </c>
      <c r="B3130" s="5" t="s">
        <v>7091</v>
      </c>
      <c r="C3130" s="5" t="s">
        <v>447</v>
      </c>
      <c r="D3130" s="5" t="s">
        <v>448</v>
      </c>
      <c r="E3130" s="5" t="s">
        <v>304</v>
      </c>
      <c r="F3130" s="9">
        <v>47</v>
      </c>
      <c r="G3130" s="9">
        <v>483</v>
      </c>
      <c r="H3130" s="5" t="s">
        <v>20</v>
      </c>
      <c r="I3130" s="5" t="s">
        <v>7092</v>
      </c>
      <c r="J3130" s="12" t="str">
        <f>HYPERLINK("https://www.boe.es/gazeta/dias/1806/06/06/pdfs/GMD-C-1806-47.pdf#page=3","Abrir facsímil")</f>
        <v>Abrir facsímil</v>
      </c>
      <c r="K3130" s="15" t="s">
        <v>22</v>
      </c>
    </row>
    <row r="3131" spans="1:11" ht="42" customHeight="1">
      <c r="A3131" s="4" t="s">
        <v>7093</v>
      </c>
      <c r="B3131" s="5" t="s">
        <v>7094</v>
      </c>
      <c r="C3131" s="5" t="s">
        <v>75</v>
      </c>
      <c r="D3131" s="5" t="s">
        <v>43</v>
      </c>
      <c r="E3131" s="5" t="s">
        <v>24</v>
      </c>
      <c r="F3131" s="9">
        <v>32</v>
      </c>
      <c r="G3131" s="9">
        <v>317</v>
      </c>
      <c r="H3131" s="5" t="s">
        <v>20</v>
      </c>
      <c r="I3131" s="5" t="s">
        <v>7095</v>
      </c>
      <c r="J3131" s="12" t="str">
        <f>HYPERLINK("https://www.boe.es/gazeta/dias/1806/04/15/pdfs/GMD-1806-32.pdf#page=9","Abrir facsímil")</f>
        <v>Abrir facsímil</v>
      </c>
      <c r="K3131" s="15" t="s">
        <v>22</v>
      </c>
    </row>
    <row r="3132" spans="1:11" ht="42" customHeight="1">
      <c r="A3132" s="4" t="s">
        <v>7093</v>
      </c>
      <c r="B3132" s="5" t="s">
        <v>7094</v>
      </c>
      <c r="C3132" s="5" t="s">
        <v>31</v>
      </c>
      <c r="D3132" s="5" t="s">
        <v>32</v>
      </c>
      <c r="E3132" s="5" t="s">
        <v>870</v>
      </c>
      <c r="F3132" s="9">
        <v>35</v>
      </c>
      <c r="G3132" s="9">
        <v>344</v>
      </c>
      <c r="H3132" s="5" t="s">
        <v>20</v>
      </c>
      <c r="I3132" s="5" t="s">
        <v>7096</v>
      </c>
      <c r="J3132" s="12" t="str">
        <f>HYPERLINK("https://www.boe.es/gazeta/dias/1806/04/25/pdfs/GMD-1806-35.pdf#page=8","Abrir facsímil")</f>
        <v>Abrir facsímil</v>
      </c>
      <c r="K3132" s="15" t="s">
        <v>22</v>
      </c>
    </row>
    <row r="3133" spans="1:11" ht="42" customHeight="1">
      <c r="A3133" s="4" t="s">
        <v>7093</v>
      </c>
      <c r="B3133" s="5" t="s">
        <v>7094</v>
      </c>
      <c r="C3133" s="5" t="s">
        <v>75</v>
      </c>
      <c r="D3133" s="5" t="s">
        <v>43</v>
      </c>
      <c r="E3133" s="5" t="s">
        <v>309</v>
      </c>
      <c r="F3133" s="9">
        <v>41</v>
      </c>
      <c r="G3133" s="9">
        <v>410</v>
      </c>
      <c r="H3133" s="5" t="s">
        <v>20</v>
      </c>
      <c r="I3133" s="5" t="s">
        <v>7097</v>
      </c>
      <c r="J3133" s="12" t="str">
        <f>HYPERLINK("https://www.boe.es/gazeta/dias/1806/05/16/pdfs/GMD-1806-41.pdf#page=10","Abrir facsímil")</f>
        <v>Abrir facsímil</v>
      </c>
      <c r="K3133" s="15" t="s">
        <v>22</v>
      </c>
    </row>
    <row r="3134" spans="1:11" ht="42" customHeight="1">
      <c r="A3134" s="4" t="s">
        <v>7093</v>
      </c>
      <c r="B3134" s="5" t="s">
        <v>7094</v>
      </c>
      <c r="C3134" s="5" t="s">
        <v>31</v>
      </c>
      <c r="D3134" s="5" t="s">
        <v>32</v>
      </c>
      <c r="E3134" s="5" t="s">
        <v>62</v>
      </c>
      <c r="F3134" s="9">
        <v>45</v>
      </c>
      <c r="G3134" s="9">
        <v>458</v>
      </c>
      <c r="H3134" s="5" t="s">
        <v>20</v>
      </c>
      <c r="I3134" s="5" t="s">
        <v>7098</v>
      </c>
      <c r="J3134" s="12" t="str">
        <f>HYPERLINK("https://www.boe.es/gazeta/dias/1806/05/30/pdfs/GMD-1806-45.pdf#page=10","Abrir facsímil")</f>
        <v>Abrir facsímil</v>
      </c>
      <c r="K3134" s="15" t="s">
        <v>22</v>
      </c>
    </row>
    <row r="3135" spans="1:11" ht="42" customHeight="1">
      <c r="A3135" s="4" t="s">
        <v>7093</v>
      </c>
      <c r="B3135" s="5" t="s">
        <v>7094</v>
      </c>
      <c r="C3135" s="5" t="s">
        <v>36</v>
      </c>
      <c r="D3135" s="5" t="s">
        <v>37</v>
      </c>
      <c r="E3135" s="5" t="s">
        <v>62</v>
      </c>
      <c r="F3135" s="9">
        <v>45</v>
      </c>
      <c r="G3135" s="9">
        <v>459</v>
      </c>
      <c r="H3135" s="5" t="s">
        <v>20</v>
      </c>
      <c r="I3135" s="5" t="s">
        <v>7099</v>
      </c>
      <c r="J3135" s="12" t="str">
        <f>HYPERLINK("https://www.boe.es/gazeta/dias/1806/05/30/pdfs/GMD-1806-45.pdf#page=11","Abrir facsímil")</f>
        <v>Abrir facsímil</v>
      </c>
      <c r="K3135" s="15" t="s">
        <v>22</v>
      </c>
    </row>
    <row r="3136" spans="1:11" ht="42" customHeight="1">
      <c r="A3136" s="4" t="s">
        <v>7093</v>
      </c>
      <c r="B3136" s="5" t="s">
        <v>7094</v>
      </c>
      <c r="C3136" s="5" t="s">
        <v>75</v>
      </c>
      <c r="D3136" s="5" t="s">
        <v>43</v>
      </c>
      <c r="E3136" s="5" t="s">
        <v>103</v>
      </c>
      <c r="F3136" s="9">
        <v>61</v>
      </c>
      <c r="G3136" s="9">
        <v>638</v>
      </c>
      <c r="H3136" s="5" t="s">
        <v>20</v>
      </c>
      <c r="I3136" s="5" t="s">
        <v>7100</v>
      </c>
      <c r="J3136" s="12" t="str">
        <f>HYPERLINK("https://www.boe.es/gazeta/dias/1806/07/25/pdfs/GMD-1806-61.pdf#page=10","Abrir facsímil")</f>
        <v>Abrir facsímil</v>
      </c>
      <c r="K3136" s="15" t="s">
        <v>22</v>
      </c>
    </row>
    <row r="3137" spans="1:11" ht="42" customHeight="1">
      <c r="A3137" s="4" t="s">
        <v>7101</v>
      </c>
      <c r="B3137" s="5" t="s">
        <v>7101</v>
      </c>
      <c r="C3137" s="5" t="s">
        <v>75</v>
      </c>
      <c r="D3137" s="5" t="s">
        <v>43</v>
      </c>
      <c r="E3137" s="5" t="s">
        <v>297</v>
      </c>
      <c r="F3137" s="9">
        <v>94</v>
      </c>
      <c r="G3137" s="9">
        <v>991</v>
      </c>
      <c r="H3137" s="5" t="s">
        <v>20</v>
      </c>
      <c r="I3137" s="5" t="s">
        <v>7102</v>
      </c>
      <c r="J3137" s="12" t="str">
        <f>HYPERLINK("https://www.boe.es/gazeta/dias/1806/11/18/pdfs/GMD-1806-94.pdf#page=11","Abrir facsímil")</f>
        <v>Abrir facsímil</v>
      </c>
      <c r="K3137" s="15" t="s">
        <v>22</v>
      </c>
    </row>
    <row r="3138" spans="1:11" ht="42" customHeight="1">
      <c r="A3138" s="4" t="s">
        <v>7103</v>
      </c>
      <c r="B3138" s="5" t="s">
        <v>7103</v>
      </c>
      <c r="C3138" s="5" t="s">
        <v>75</v>
      </c>
      <c r="D3138" s="5" t="s">
        <v>43</v>
      </c>
      <c r="E3138" s="5" t="s">
        <v>600</v>
      </c>
      <c r="F3138" s="9">
        <v>77</v>
      </c>
      <c r="G3138" s="9">
        <v>795</v>
      </c>
      <c r="H3138" s="5" t="s">
        <v>20</v>
      </c>
      <c r="I3138" s="5" t="s">
        <v>7104</v>
      </c>
      <c r="J3138" s="12" t="str">
        <f>HYPERLINK("https://www.boe.es/gazeta/dias/1806/09/19/pdfs/GMD-1806-77.pdf#page=7","Abrir facsímil")</f>
        <v>Abrir facsímil</v>
      </c>
      <c r="K3138" s="15" t="s">
        <v>22</v>
      </c>
    </row>
    <row r="3139" spans="1:11" ht="42" customHeight="1">
      <c r="A3139" s="4" t="s">
        <v>7105</v>
      </c>
      <c r="B3139" s="5" t="s">
        <v>7105</v>
      </c>
      <c r="C3139" s="5" t="s">
        <v>75</v>
      </c>
      <c r="D3139" s="5" t="s">
        <v>43</v>
      </c>
      <c r="E3139" s="5" t="s">
        <v>301</v>
      </c>
      <c r="F3139" s="9">
        <v>75</v>
      </c>
      <c r="G3139" s="9">
        <v>778</v>
      </c>
      <c r="H3139" s="5" t="s">
        <v>20</v>
      </c>
      <c r="I3139" s="5" t="s">
        <v>7106</v>
      </c>
      <c r="J3139" s="12" t="str">
        <f>HYPERLINK("https://www.boe.es/gazeta/dias/1806/09/12/pdfs/GMD-1806-75.pdf#page=10","Abrir facsímil")</f>
        <v>Abrir facsímil</v>
      </c>
      <c r="K3139" s="15" t="s">
        <v>22</v>
      </c>
    </row>
    <row r="3140" spans="1:11" ht="42" customHeight="1">
      <c r="A3140" s="4" t="s">
        <v>7105</v>
      </c>
      <c r="B3140" s="5" t="s">
        <v>7105</v>
      </c>
      <c r="C3140" s="5" t="s">
        <v>75</v>
      </c>
      <c r="D3140" s="5" t="s">
        <v>43</v>
      </c>
      <c r="E3140" s="5" t="s">
        <v>231</v>
      </c>
      <c r="F3140" s="9">
        <v>89</v>
      </c>
      <c r="G3140" s="9">
        <v>922</v>
      </c>
      <c r="H3140" s="5" t="s">
        <v>20</v>
      </c>
      <c r="I3140" s="5" t="s">
        <v>7107</v>
      </c>
      <c r="J3140" s="12" t="str">
        <f>HYPERLINK("https://www.boe.es/gazeta/dias/1806/10/31/pdfs/GMD-1806-89.pdf#page=10","Abrir facsímil")</f>
        <v>Abrir facsímil</v>
      </c>
      <c r="K3140" s="15" t="s">
        <v>22</v>
      </c>
    </row>
    <row r="3141" spans="1:11" ht="42" customHeight="1">
      <c r="A3141" s="4" t="s">
        <v>7105</v>
      </c>
      <c r="B3141" s="5" t="s">
        <v>7105</v>
      </c>
      <c r="C3141" s="5" t="s">
        <v>17</v>
      </c>
      <c r="D3141" s="5" t="s">
        <v>18</v>
      </c>
      <c r="E3141" s="5" t="s">
        <v>245</v>
      </c>
      <c r="F3141" s="9">
        <v>106</v>
      </c>
      <c r="G3141" s="9">
        <v>1122</v>
      </c>
      <c r="H3141" s="5" t="s">
        <v>20</v>
      </c>
      <c r="I3141" s="5" t="s">
        <v>7108</v>
      </c>
      <c r="J3141" s="12" t="str">
        <f>HYPERLINK("https://www.boe.es/gazeta/dias/1806/12/26/pdfs/GMD-1806-106.pdf#page=6","Abrir facsímil")</f>
        <v>Abrir facsímil</v>
      </c>
      <c r="K3141" s="15" t="s">
        <v>22</v>
      </c>
    </row>
    <row r="3142" spans="1:11" ht="42" customHeight="1">
      <c r="A3142" s="4" t="s">
        <v>7109</v>
      </c>
      <c r="B3142" s="5" t="s">
        <v>7109</v>
      </c>
      <c r="C3142" s="5" t="s">
        <v>31</v>
      </c>
      <c r="D3142" s="5" t="s">
        <v>32</v>
      </c>
      <c r="E3142" s="5" t="s">
        <v>227</v>
      </c>
      <c r="F3142" s="9">
        <v>27</v>
      </c>
      <c r="G3142" s="9">
        <v>269</v>
      </c>
      <c r="H3142" s="5" t="s">
        <v>20</v>
      </c>
      <c r="I3142" s="5" t="s">
        <v>7110</v>
      </c>
      <c r="J3142" s="12" t="str">
        <f>HYPERLINK("https://www.boe.es/gazeta/dias/1806/03/28/pdfs/GMD-1806-27.pdf#page=9","Abrir facsímil")</f>
        <v>Abrir facsímil</v>
      </c>
      <c r="K3142" s="15" t="s">
        <v>22</v>
      </c>
    </row>
    <row r="3143" spans="1:11" ht="42" customHeight="1">
      <c r="A3143" s="4" t="s">
        <v>7111</v>
      </c>
      <c r="B3143" s="5" t="s">
        <v>7111</v>
      </c>
      <c r="C3143" s="5" t="s">
        <v>36</v>
      </c>
      <c r="D3143" s="5" t="s">
        <v>37</v>
      </c>
      <c r="E3143" s="5" t="s">
        <v>580</v>
      </c>
      <c r="F3143" s="9">
        <v>23</v>
      </c>
      <c r="G3143" s="9">
        <v>224</v>
      </c>
      <c r="H3143" s="5" t="s">
        <v>20</v>
      </c>
      <c r="I3143" s="5" t="s">
        <v>7112</v>
      </c>
      <c r="J3143" s="12" t="str">
        <f>HYPERLINK("https://www.boe.es/gazeta/dias/1806/03/14/pdfs/GMD-1806-23.pdf#page=12","Abrir facsímil")</f>
        <v>Abrir facsímil</v>
      </c>
      <c r="K3143" s="15" t="s">
        <v>22</v>
      </c>
    </row>
    <row r="3144" spans="1:11" ht="42" customHeight="1">
      <c r="A3144" s="4" t="s">
        <v>7111</v>
      </c>
      <c r="B3144" s="5" t="s">
        <v>7111</v>
      </c>
      <c r="C3144" s="5" t="s">
        <v>17</v>
      </c>
      <c r="D3144" s="5" t="s">
        <v>18</v>
      </c>
      <c r="E3144" s="5" t="s">
        <v>279</v>
      </c>
      <c r="F3144" s="9">
        <v>52</v>
      </c>
      <c r="G3144" s="9">
        <v>540</v>
      </c>
      <c r="H3144" s="5" t="s">
        <v>20</v>
      </c>
      <c r="I3144" s="5" t="s">
        <v>7113</v>
      </c>
      <c r="J3144" s="12" t="str">
        <f>HYPERLINK("https://www.boe.es/gazeta/dias/1806/06/24/pdfs/GMD-1806-52.pdf#page=8","Abrir facsímil")</f>
        <v>Abrir facsímil</v>
      </c>
      <c r="K3144" s="15" t="s">
        <v>22</v>
      </c>
    </row>
    <row r="3145" spans="1:11" ht="42" customHeight="1">
      <c r="A3145" s="4" t="s">
        <v>7114</v>
      </c>
      <c r="B3145" s="5" t="s">
        <v>7114</v>
      </c>
      <c r="C3145" s="5" t="s">
        <v>31</v>
      </c>
      <c r="D3145" s="5" t="s">
        <v>32</v>
      </c>
      <c r="E3145" s="5" t="s">
        <v>285</v>
      </c>
      <c r="F3145" s="9">
        <v>13</v>
      </c>
      <c r="G3145" s="9">
        <v>114</v>
      </c>
      <c r="H3145" s="5" t="s">
        <v>20</v>
      </c>
      <c r="I3145" s="5" t="s">
        <v>7115</v>
      </c>
      <c r="J3145" s="12" t="str">
        <f>HYPERLINK("https://www.boe.es/gazeta/dias/1806/02/07/pdfs/GMD-1806-13.pdf#page=6","Abrir facsímil")</f>
        <v>Abrir facsímil</v>
      </c>
      <c r="K3145" s="15" t="s">
        <v>22</v>
      </c>
    </row>
    <row r="3146" spans="1:11" ht="42" customHeight="1">
      <c r="A3146" s="4" t="s">
        <v>7116</v>
      </c>
      <c r="B3146" s="5" t="s">
        <v>7116</v>
      </c>
      <c r="C3146" s="5" t="s">
        <v>75</v>
      </c>
      <c r="D3146" s="5" t="s">
        <v>43</v>
      </c>
      <c r="E3146" s="5" t="s">
        <v>26</v>
      </c>
      <c r="F3146" s="9">
        <v>65</v>
      </c>
      <c r="G3146" s="9">
        <v>682</v>
      </c>
      <c r="H3146" s="5" t="s">
        <v>20</v>
      </c>
      <c r="I3146" s="5" t="s">
        <v>7117</v>
      </c>
      <c r="J3146" s="12" t="str">
        <f>HYPERLINK("https://www.boe.es/gazeta/dias/1806/08/08/pdfs/GMD-1806-65.pdf#page=10","Abrir facsímil")</f>
        <v>Abrir facsímil</v>
      </c>
      <c r="K3146" s="15" t="s">
        <v>22</v>
      </c>
    </row>
    <row r="3147" spans="1:11" ht="42" customHeight="1">
      <c r="A3147" s="4" t="s">
        <v>7118</v>
      </c>
      <c r="B3147" s="5" t="s">
        <v>7118</v>
      </c>
      <c r="C3147" s="5" t="s">
        <v>42</v>
      </c>
      <c r="D3147" s="5" t="s">
        <v>43</v>
      </c>
      <c r="E3147" s="5" t="s">
        <v>1568</v>
      </c>
      <c r="F3147" s="9">
        <v>84</v>
      </c>
      <c r="G3147" s="9">
        <v>870</v>
      </c>
      <c r="H3147" s="5" t="s">
        <v>20</v>
      </c>
      <c r="I3147" s="5" t="s">
        <v>7119</v>
      </c>
      <c r="J3147" s="12" t="str">
        <f>HYPERLINK("https://www.boe.es/gazeta/dias/1806/10/14/pdfs/GMD-1806-84.pdf#page=6","Abrir facsímil")</f>
        <v>Abrir facsímil</v>
      </c>
      <c r="K3147" s="15" t="s">
        <v>22</v>
      </c>
    </row>
    <row r="3148" spans="1:11" ht="42" customHeight="1">
      <c r="A3148" s="4" t="s">
        <v>7120</v>
      </c>
      <c r="B3148" s="5" t="s">
        <v>7120</v>
      </c>
      <c r="C3148" s="5" t="s">
        <v>75</v>
      </c>
      <c r="D3148" s="5" t="s">
        <v>43</v>
      </c>
      <c r="E3148" s="5" t="s">
        <v>327</v>
      </c>
      <c r="F3148" s="9">
        <v>104</v>
      </c>
      <c r="G3148" s="9">
        <v>1111</v>
      </c>
      <c r="H3148" s="5" t="s">
        <v>20</v>
      </c>
      <c r="I3148" s="5" t="s">
        <v>7121</v>
      </c>
      <c r="J3148" s="12" t="str">
        <f>HYPERLINK("https://www.boe.es/gazeta/dias/1806/12/23/pdfs/GMD-1806-104.pdf#page=11","Abrir facsímil")</f>
        <v>Abrir facsímil</v>
      </c>
      <c r="K3148" s="15" t="s">
        <v>22</v>
      </c>
    </row>
    <row r="3149" spans="1:11" ht="42" customHeight="1">
      <c r="A3149" s="4" t="s">
        <v>7122</v>
      </c>
      <c r="B3149" s="5" t="s">
        <v>7122</v>
      </c>
      <c r="C3149" s="5" t="s">
        <v>17</v>
      </c>
      <c r="D3149" s="5" t="s">
        <v>18</v>
      </c>
      <c r="E3149" s="5" t="s">
        <v>312</v>
      </c>
      <c r="F3149" s="9">
        <v>100</v>
      </c>
      <c r="G3149" s="9">
        <v>1066</v>
      </c>
      <c r="H3149" s="5" t="s">
        <v>20</v>
      </c>
      <c r="I3149" s="5" t="s">
        <v>7123</v>
      </c>
      <c r="J3149" s="12" t="str">
        <f>HYPERLINK("https://www.boe.es/gazeta/dias/1806/12/09/pdfs/GMD-1806-100.pdf#page=10","Abrir facsímil")</f>
        <v>Abrir facsímil</v>
      </c>
      <c r="K3149" s="15" t="s">
        <v>22</v>
      </c>
    </row>
    <row r="3150" spans="1:11" ht="42" customHeight="1">
      <c r="A3150" s="4" t="s">
        <v>7124</v>
      </c>
      <c r="B3150" s="5" t="s">
        <v>7124</v>
      </c>
      <c r="C3150" s="5" t="s">
        <v>31</v>
      </c>
      <c r="D3150" s="5" t="s">
        <v>32</v>
      </c>
      <c r="E3150" s="5" t="s">
        <v>327</v>
      </c>
      <c r="F3150" s="9">
        <v>104</v>
      </c>
      <c r="G3150" s="9">
        <v>1110</v>
      </c>
      <c r="H3150" s="5" t="s">
        <v>20</v>
      </c>
      <c r="I3150" s="5" t="s">
        <v>7125</v>
      </c>
      <c r="J3150" s="12" t="str">
        <f>HYPERLINK("https://www.boe.es/gazeta/dias/1806/12/23/pdfs/GMD-1806-104.pdf#page=10","Abrir facsímil")</f>
        <v>Abrir facsímil</v>
      </c>
      <c r="K3150" s="15" t="s">
        <v>22</v>
      </c>
    </row>
    <row r="3151" spans="1:11" ht="42" customHeight="1">
      <c r="A3151" s="4" t="s">
        <v>7126</v>
      </c>
      <c r="B3151" s="5" t="s">
        <v>7126</v>
      </c>
      <c r="C3151" s="5" t="s">
        <v>17</v>
      </c>
      <c r="D3151" s="5" t="s">
        <v>18</v>
      </c>
      <c r="E3151" s="5" t="s">
        <v>195</v>
      </c>
      <c r="F3151" s="9">
        <v>4</v>
      </c>
      <c r="G3151" s="9">
        <v>35</v>
      </c>
      <c r="H3151" s="5" t="s">
        <v>20</v>
      </c>
      <c r="I3151" s="5" t="s">
        <v>7127</v>
      </c>
      <c r="J3151" s="12" t="str">
        <f>HYPERLINK("https://www.boe.es/gazeta/dias/1806/01/14/pdfs/GMD-1806-4.pdf#page=7","Abrir facsímil")</f>
        <v>Abrir facsímil</v>
      </c>
      <c r="K3151" s="15" t="s">
        <v>22</v>
      </c>
    </row>
    <row r="3152" spans="1:11" ht="42" customHeight="1">
      <c r="A3152" s="4" t="s">
        <v>7128</v>
      </c>
      <c r="B3152" s="5" t="s">
        <v>7128</v>
      </c>
      <c r="C3152" s="5" t="s">
        <v>17</v>
      </c>
      <c r="D3152" s="5" t="s">
        <v>18</v>
      </c>
      <c r="E3152" s="5" t="s">
        <v>127</v>
      </c>
      <c r="F3152" s="9">
        <v>81</v>
      </c>
      <c r="G3152" s="9">
        <v>838</v>
      </c>
      <c r="H3152" s="5" t="s">
        <v>20</v>
      </c>
      <c r="I3152" s="5" t="s">
        <v>7129</v>
      </c>
      <c r="J3152" s="12" t="str">
        <f>HYPERLINK("https://www.boe.es/gazeta/dias/1806/10/03/pdfs/GMD-1806-81.pdf#page=6","Abrir facsímil")</f>
        <v>Abrir facsímil</v>
      </c>
      <c r="K3152" s="15" t="s">
        <v>22</v>
      </c>
    </row>
    <row r="3153" spans="1:11" ht="42" customHeight="1">
      <c r="A3153" s="4" t="s">
        <v>7128</v>
      </c>
      <c r="B3153" s="5" t="s">
        <v>7128</v>
      </c>
      <c r="C3153" s="5" t="s">
        <v>17</v>
      </c>
      <c r="D3153" s="5" t="s">
        <v>18</v>
      </c>
      <c r="E3153" s="5" t="s">
        <v>127</v>
      </c>
      <c r="F3153" s="9">
        <v>81</v>
      </c>
      <c r="G3153" s="9">
        <v>839</v>
      </c>
      <c r="H3153" s="5" t="s">
        <v>20</v>
      </c>
      <c r="I3153" s="5" t="s">
        <v>7130</v>
      </c>
      <c r="J3153" s="12" t="str">
        <f>HYPERLINK("https://www.boe.es/gazeta/dias/1806/10/03/pdfs/GMD-1806-81.pdf#page=7","Abrir facsímil")</f>
        <v>Abrir facsímil</v>
      </c>
      <c r="K3153" s="15" t="s">
        <v>22</v>
      </c>
    </row>
    <row r="3154" spans="1:11" ht="42" customHeight="1">
      <c r="A3154" s="4" t="s">
        <v>7128</v>
      </c>
      <c r="B3154" s="5" t="s">
        <v>7128</v>
      </c>
      <c r="C3154" s="5" t="s">
        <v>17</v>
      </c>
      <c r="D3154" s="5" t="s">
        <v>18</v>
      </c>
      <c r="E3154" s="5" t="s">
        <v>312</v>
      </c>
      <c r="F3154" s="9">
        <v>100</v>
      </c>
      <c r="G3154" s="9">
        <v>1066</v>
      </c>
      <c r="H3154" s="5" t="s">
        <v>20</v>
      </c>
      <c r="I3154" s="5" t="s">
        <v>7131</v>
      </c>
      <c r="J3154" s="12" t="str">
        <f>HYPERLINK("https://www.boe.es/gazeta/dias/1806/12/09/pdfs/GMD-1806-100.pdf#page=10","Abrir facsímil")</f>
        <v>Abrir facsímil</v>
      </c>
      <c r="K3154" s="15" t="s">
        <v>22</v>
      </c>
    </row>
    <row r="3155" spans="1:11" ht="42" customHeight="1">
      <c r="A3155" s="4" t="s">
        <v>7132</v>
      </c>
      <c r="B3155" s="5" t="s">
        <v>7132</v>
      </c>
      <c r="C3155" s="5" t="s">
        <v>31</v>
      </c>
      <c r="D3155" s="5" t="s">
        <v>32</v>
      </c>
      <c r="E3155" s="5" t="s">
        <v>348</v>
      </c>
      <c r="F3155" s="9">
        <v>88</v>
      </c>
      <c r="G3155" s="9">
        <v>910</v>
      </c>
      <c r="H3155" s="5" t="s">
        <v>20</v>
      </c>
      <c r="I3155" s="5" t="s">
        <v>7133</v>
      </c>
      <c r="J3155" s="12" t="str">
        <f>HYPERLINK("https://www.boe.es/gazeta/dias/1806/10/28/pdfs/GMD-1806-88.pdf#page=6","Abrir facsímil")</f>
        <v>Abrir facsímil</v>
      </c>
      <c r="K3155" s="15" t="s">
        <v>22</v>
      </c>
    </row>
    <row r="3156" spans="1:11" ht="42" customHeight="1">
      <c r="A3156" s="4" t="s">
        <v>7134</v>
      </c>
      <c r="B3156" s="5" t="s">
        <v>7134</v>
      </c>
      <c r="C3156" s="5" t="s">
        <v>42</v>
      </c>
      <c r="D3156" s="5" t="s">
        <v>43</v>
      </c>
      <c r="E3156" s="5" t="s">
        <v>780</v>
      </c>
      <c r="F3156" s="9">
        <v>33</v>
      </c>
      <c r="G3156" s="9">
        <v>326</v>
      </c>
      <c r="H3156" s="5" t="s">
        <v>20</v>
      </c>
      <c r="I3156" s="5" t="s">
        <v>7135</v>
      </c>
      <c r="J3156" s="12" t="str">
        <f>HYPERLINK("https://www.boe.es/gazeta/dias/1806/04/18/pdfs/GMD-1806-33.pdf#page=6","Abrir facsímil")</f>
        <v>Abrir facsímil</v>
      </c>
      <c r="K3156" s="15" t="s">
        <v>22</v>
      </c>
    </row>
    <row r="3157" spans="1:11" ht="42" customHeight="1">
      <c r="A3157" s="4" t="s">
        <v>7136</v>
      </c>
      <c r="B3157" s="5" t="s">
        <v>7136</v>
      </c>
      <c r="C3157" s="5" t="s">
        <v>31</v>
      </c>
      <c r="D3157" s="5" t="s">
        <v>32</v>
      </c>
      <c r="E3157" s="5" t="s">
        <v>554</v>
      </c>
      <c r="F3157" s="9">
        <v>90</v>
      </c>
      <c r="G3157" s="9">
        <v>934</v>
      </c>
      <c r="H3157" s="5" t="s">
        <v>20</v>
      </c>
      <c r="I3157" s="5" t="s">
        <v>7137</v>
      </c>
      <c r="J3157" s="12" t="str">
        <f>HYPERLINK("https://www.boe.es/gazeta/dias/1806/11/04/pdfs/GMD-1806-90.pdf#page=10","Abrir facsímil")</f>
        <v>Abrir facsímil</v>
      </c>
      <c r="K3157" s="15" t="s">
        <v>22</v>
      </c>
    </row>
    <row r="3158" spans="1:11" ht="42" customHeight="1">
      <c r="A3158" s="4" t="s">
        <v>7138</v>
      </c>
      <c r="B3158" s="5" t="s">
        <v>7138</v>
      </c>
      <c r="C3158" s="5" t="s">
        <v>31</v>
      </c>
      <c r="D3158" s="5" t="s">
        <v>32</v>
      </c>
      <c r="E3158" s="5" t="s">
        <v>185</v>
      </c>
      <c r="F3158" s="9">
        <v>46</v>
      </c>
      <c r="G3158" s="9">
        <v>469</v>
      </c>
      <c r="H3158" s="5" t="s">
        <v>20</v>
      </c>
      <c r="I3158" s="5" t="s">
        <v>7139</v>
      </c>
      <c r="J3158" s="12" t="str">
        <f>HYPERLINK("https://www.boe.es/gazeta/dias/1806/06/03/pdfs/GMD-1806-46.pdf#page=9","Abrir facsímil")</f>
        <v>Abrir facsímil</v>
      </c>
      <c r="K3158" s="15" t="s">
        <v>22</v>
      </c>
    </row>
    <row r="3159" spans="1:11" ht="42" customHeight="1">
      <c r="A3159" s="4" t="s">
        <v>7140</v>
      </c>
      <c r="B3159" s="5" t="s">
        <v>7140</v>
      </c>
      <c r="C3159" s="5" t="s">
        <v>17</v>
      </c>
      <c r="D3159" s="5" t="s">
        <v>18</v>
      </c>
      <c r="E3159" s="5" t="s">
        <v>580</v>
      </c>
      <c r="F3159" s="9">
        <v>23</v>
      </c>
      <c r="G3159" s="9">
        <v>219</v>
      </c>
      <c r="H3159" s="5" t="s">
        <v>20</v>
      </c>
      <c r="I3159" s="5" t="s">
        <v>7141</v>
      </c>
      <c r="J3159" s="12" t="str">
        <f>HYPERLINK("https://www.boe.es/gazeta/dias/1806/03/14/pdfs/GMD-1806-23.pdf#page=7","Abrir facsímil")</f>
        <v>Abrir facsímil</v>
      </c>
      <c r="K3159" s="15" t="s">
        <v>22</v>
      </c>
    </row>
    <row r="3160" spans="1:11" ht="42" customHeight="1">
      <c r="A3160" s="4" t="s">
        <v>7142</v>
      </c>
      <c r="B3160" s="5" t="s">
        <v>7142</v>
      </c>
      <c r="C3160" s="5" t="s">
        <v>42</v>
      </c>
      <c r="D3160" s="5" t="s">
        <v>43</v>
      </c>
      <c r="E3160" s="5" t="s">
        <v>188</v>
      </c>
      <c r="F3160" s="9">
        <v>2</v>
      </c>
      <c r="G3160" s="9">
        <v>19</v>
      </c>
      <c r="H3160" s="5" t="s">
        <v>20</v>
      </c>
      <c r="I3160" s="5" t="s">
        <v>7143</v>
      </c>
      <c r="J3160" s="12" t="str">
        <f>HYPERLINK("https://www.boe.es/gazeta/dias/1806/01/07/pdfs/GMD-1806-2.pdf#page=7","Abrir facsímil")</f>
        <v>Abrir facsímil</v>
      </c>
      <c r="K3160" s="15" t="s">
        <v>22</v>
      </c>
    </row>
    <row r="3161" spans="1:11" ht="42" customHeight="1">
      <c r="A3161" s="4" t="s">
        <v>7144</v>
      </c>
      <c r="B3161" s="5" t="s">
        <v>7144</v>
      </c>
      <c r="C3161" s="5" t="s">
        <v>42</v>
      </c>
      <c r="D3161" s="5" t="s">
        <v>43</v>
      </c>
      <c r="E3161" s="5" t="s">
        <v>185</v>
      </c>
      <c r="F3161" s="9">
        <v>46</v>
      </c>
      <c r="G3161" s="9">
        <v>469</v>
      </c>
      <c r="H3161" s="5" t="s">
        <v>20</v>
      </c>
      <c r="I3161" s="5" t="s">
        <v>7145</v>
      </c>
      <c r="J3161" s="12" t="str">
        <f>HYPERLINK("https://www.boe.es/gazeta/dias/1806/06/03/pdfs/GMD-1806-46.pdf#page=9","Abrir facsímil")</f>
        <v>Abrir facsímil</v>
      </c>
      <c r="K3161" s="15" t="s">
        <v>22</v>
      </c>
    </row>
    <row r="3162" spans="1:11" ht="42" customHeight="1">
      <c r="A3162" s="4" t="s">
        <v>7146</v>
      </c>
      <c r="B3162" s="5" t="s">
        <v>7146</v>
      </c>
      <c r="C3162" s="5" t="s">
        <v>31</v>
      </c>
      <c r="D3162" s="5" t="s">
        <v>32</v>
      </c>
      <c r="E3162" s="5" t="s">
        <v>202</v>
      </c>
      <c r="F3162" s="9">
        <v>30</v>
      </c>
      <c r="G3162" s="9">
        <v>295</v>
      </c>
      <c r="H3162" s="5" t="s">
        <v>20</v>
      </c>
      <c r="I3162" s="5" t="s">
        <v>7147</v>
      </c>
      <c r="J3162" s="12" t="str">
        <f>HYPERLINK("https://www.boe.es/gazeta/dias/1806/04/08/pdfs/GMD-1806-30.pdf#page=7","Abrir facsímil")</f>
        <v>Abrir facsímil</v>
      </c>
      <c r="K3162" s="15" t="s">
        <v>22</v>
      </c>
    </row>
    <row r="3163" spans="1:11" ht="42" customHeight="1">
      <c r="A3163" s="4" t="s">
        <v>7148</v>
      </c>
      <c r="B3163" s="5" t="s">
        <v>7148</v>
      </c>
      <c r="C3163" s="5" t="s">
        <v>31</v>
      </c>
      <c r="D3163" s="5" t="s">
        <v>32</v>
      </c>
      <c r="E3163" s="5" t="s">
        <v>689</v>
      </c>
      <c r="F3163" s="9">
        <v>37</v>
      </c>
      <c r="G3163" s="9">
        <v>361</v>
      </c>
      <c r="H3163" s="5" t="s">
        <v>20</v>
      </c>
      <c r="I3163" s="5" t="s">
        <v>7149</v>
      </c>
      <c r="J3163" s="12" t="str">
        <f>HYPERLINK("https://www.boe.es/gazeta/dias/1806/05/02/pdfs/GMD-1806-37.pdf#page=9","Abrir facsímil")</f>
        <v>Abrir facsímil</v>
      </c>
      <c r="K3163" s="15" t="s">
        <v>22</v>
      </c>
    </row>
    <row r="3164" spans="1:11" ht="42" customHeight="1">
      <c r="A3164" s="4" t="s">
        <v>7150</v>
      </c>
      <c r="B3164" s="5" t="s">
        <v>7151</v>
      </c>
      <c r="C3164" s="5" t="s">
        <v>42</v>
      </c>
      <c r="D3164" s="5" t="s">
        <v>43</v>
      </c>
      <c r="E3164" s="5" t="s">
        <v>309</v>
      </c>
      <c r="F3164" s="9">
        <v>41</v>
      </c>
      <c r="G3164" s="9">
        <v>407</v>
      </c>
      <c r="H3164" s="5" t="s">
        <v>20</v>
      </c>
      <c r="I3164" s="5" t="s">
        <v>7152</v>
      </c>
      <c r="J3164" s="12" t="str">
        <f>HYPERLINK("https://www.boe.es/gazeta/dias/1806/05/16/pdfs/GMD-1806-41.pdf#page=7","Abrir facsímil")</f>
        <v>Abrir facsímil</v>
      </c>
      <c r="K3164" s="15" t="s">
        <v>22</v>
      </c>
    </row>
    <row r="3165" spans="1:11" ht="42" customHeight="1">
      <c r="A3165" s="4" t="s">
        <v>7153</v>
      </c>
      <c r="B3165" s="5" t="s">
        <v>7153</v>
      </c>
      <c r="C3165" s="5" t="s">
        <v>31</v>
      </c>
      <c r="D3165" s="5" t="s">
        <v>32</v>
      </c>
      <c r="E3165" s="5" t="s">
        <v>175</v>
      </c>
      <c r="F3165" s="9">
        <v>40</v>
      </c>
      <c r="G3165" s="9">
        <v>395</v>
      </c>
      <c r="H3165" s="5" t="s">
        <v>20</v>
      </c>
      <c r="I3165" s="5" t="s">
        <v>7154</v>
      </c>
      <c r="J3165" s="12" t="str">
        <f>HYPERLINK("https://www.boe.es/gazeta/dias/1806/05/13/pdfs/GMD-1806-40.pdf#page=7","Abrir facsímil")</f>
        <v>Abrir facsímil</v>
      </c>
      <c r="K3165" s="15" t="s">
        <v>22</v>
      </c>
    </row>
    <row r="3166" spans="1:11" ht="42" customHeight="1">
      <c r="A3166" s="4" t="s">
        <v>7155</v>
      </c>
      <c r="B3166" s="5" t="s">
        <v>7155</v>
      </c>
      <c r="C3166" s="5" t="s">
        <v>31</v>
      </c>
      <c r="D3166" s="5" t="s">
        <v>32</v>
      </c>
      <c r="E3166" s="5" t="s">
        <v>367</v>
      </c>
      <c r="F3166" s="9">
        <v>87</v>
      </c>
      <c r="G3166" s="9">
        <v>901</v>
      </c>
      <c r="H3166" s="5" t="s">
        <v>20</v>
      </c>
      <c r="I3166" s="5" t="s">
        <v>7156</v>
      </c>
      <c r="J3166" s="12" t="str">
        <f>HYPERLINK("https://www.boe.es/gazeta/dias/1806/10/24/pdfs/GMD-1806-87.pdf#page=9","Abrir facsímil")</f>
        <v>Abrir facsímil</v>
      </c>
      <c r="K3166" s="15" t="s">
        <v>22</v>
      </c>
    </row>
    <row r="3167" spans="1:11" ht="42" customHeight="1">
      <c r="A3167" s="4" t="s">
        <v>7157</v>
      </c>
      <c r="B3167" s="5" t="s">
        <v>7157</v>
      </c>
      <c r="C3167" s="5" t="s">
        <v>31</v>
      </c>
      <c r="D3167" s="5" t="s">
        <v>32</v>
      </c>
      <c r="E3167" s="5" t="s">
        <v>455</v>
      </c>
      <c r="F3167" s="9">
        <v>85</v>
      </c>
      <c r="G3167" s="9">
        <v>881</v>
      </c>
      <c r="H3167" s="5" t="s">
        <v>20</v>
      </c>
      <c r="I3167" s="5" t="s">
        <v>7158</v>
      </c>
      <c r="J3167" s="12" t="str">
        <f>HYPERLINK("https://www.boe.es/gazeta/dias/1806/10/17/pdfs/GMD-1806-85.pdf#page=9","Abrir facsímil")</f>
        <v>Abrir facsímil</v>
      </c>
      <c r="K3167" s="15" t="s">
        <v>22</v>
      </c>
    </row>
    <row r="3168" spans="1:11" ht="42" customHeight="1">
      <c r="A3168" s="4" t="s">
        <v>7159</v>
      </c>
      <c r="B3168" s="5" t="s">
        <v>7159</v>
      </c>
      <c r="C3168" s="5" t="s">
        <v>42</v>
      </c>
      <c r="D3168" s="5" t="s">
        <v>43</v>
      </c>
      <c r="E3168" s="5" t="s">
        <v>657</v>
      </c>
      <c r="F3168" s="9">
        <v>96</v>
      </c>
      <c r="G3168" s="9">
        <v>1018</v>
      </c>
      <c r="H3168" s="5" t="s">
        <v>20</v>
      </c>
      <c r="I3168" s="5" t="s">
        <v>7160</v>
      </c>
      <c r="J3168" s="12" t="str">
        <f>HYPERLINK("https://www.boe.es/gazeta/dias/1806/11/25/pdfs/GMD-1806-96.pdf#page=10","Abrir facsímil")</f>
        <v>Abrir facsímil</v>
      </c>
      <c r="K3168" s="15" t="s">
        <v>22</v>
      </c>
    </row>
    <row r="3169" spans="1:11" ht="42" customHeight="1">
      <c r="A3169" s="4" t="s">
        <v>7161</v>
      </c>
      <c r="B3169" s="5" t="s">
        <v>7161</v>
      </c>
      <c r="C3169" s="5" t="s">
        <v>17</v>
      </c>
      <c r="D3169" s="5" t="s">
        <v>18</v>
      </c>
      <c r="E3169" s="5" t="s">
        <v>279</v>
      </c>
      <c r="F3169" s="9">
        <v>52</v>
      </c>
      <c r="G3169" s="9">
        <v>543</v>
      </c>
      <c r="H3169" s="5" t="s">
        <v>20</v>
      </c>
      <c r="I3169" s="5" t="s">
        <v>7162</v>
      </c>
      <c r="J3169" s="12" t="str">
        <f>HYPERLINK("https://www.boe.es/gazeta/dias/1806/06/24/pdfs/GMD-1806-52.pdf#page=11","Abrir facsímil")</f>
        <v>Abrir facsímil</v>
      </c>
      <c r="K3169" s="15" t="s">
        <v>22</v>
      </c>
    </row>
    <row r="3170" spans="1:11" ht="42" customHeight="1">
      <c r="A3170" s="4" t="s">
        <v>7161</v>
      </c>
      <c r="B3170" s="5" t="s">
        <v>7161</v>
      </c>
      <c r="C3170" s="5" t="s">
        <v>17</v>
      </c>
      <c r="D3170" s="5" t="s">
        <v>18</v>
      </c>
      <c r="E3170" s="5" t="s">
        <v>48</v>
      </c>
      <c r="F3170" s="9">
        <v>67</v>
      </c>
      <c r="G3170" s="9">
        <v>703</v>
      </c>
      <c r="H3170" s="5" t="s">
        <v>20</v>
      </c>
      <c r="I3170" s="5" t="s">
        <v>7163</v>
      </c>
      <c r="J3170" s="12" t="str">
        <f>HYPERLINK("https://www.boe.es/gazeta/dias/1806/08/15/pdfs/GMD-1806-67.pdf#page=11","Abrir facsímil")</f>
        <v>Abrir facsímil</v>
      </c>
      <c r="K3170" s="15" t="s">
        <v>22</v>
      </c>
    </row>
    <row r="3171" spans="1:11" ht="42" customHeight="1">
      <c r="A3171" s="4" t="s">
        <v>7164</v>
      </c>
      <c r="B3171" s="5" t="s">
        <v>7164</v>
      </c>
      <c r="C3171" s="5" t="s">
        <v>31</v>
      </c>
      <c r="D3171" s="5" t="s">
        <v>32</v>
      </c>
      <c r="E3171" s="5" t="s">
        <v>28</v>
      </c>
      <c r="F3171" s="9">
        <v>102</v>
      </c>
      <c r="G3171" s="9">
        <v>1088</v>
      </c>
      <c r="H3171" s="5" t="s">
        <v>20</v>
      </c>
      <c r="I3171" s="5" t="s">
        <v>7165</v>
      </c>
      <c r="J3171" s="12" t="str">
        <f>HYPERLINK("https://www.boe.es/gazeta/dias/1806/12/16/pdfs/GMD-1806-102.pdf#page=12","Abrir facsímil")</f>
        <v>Abrir facsímil</v>
      </c>
      <c r="K3171" s="15" t="s">
        <v>22</v>
      </c>
    </row>
    <row r="3172" spans="1:11" ht="42" customHeight="1">
      <c r="A3172" s="4" t="s">
        <v>7166</v>
      </c>
      <c r="B3172" s="5" t="s">
        <v>7166</v>
      </c>
      <c r="C3172" s="5" t="s">
        <v>31</v>
      </c>
      <c r="D3172" s="5" t="s">
        <v>32</v>
      </c>
      <c r="E3172" s="5" t="s">
        <v>28</v>
      </c>
      <c r="F3172" s="9">
        <v>102</v>
      </c>
      <c r="G3172" s="9">
        <v>1085</v>
      </c>
      <c r="H3172" s="5" t="s">
        <v>20</v>
      </c>
      <c r="I3172" s="5" t="s">
        <v>7167</v>
      </c>
      <c r="J3172" s="12" t="str">
        <f>HYPERLINK("https://www.boe.es/gazeta/dias/1806/12/16/pdfs/GMD-1806-102.pdf#page=9","Abrir facsímil")</f>
        <v>Abrir facsímil</v>
      </c>
      <c r="K3172" s="15" t="s">
        <v>22</v>
      </c>
    </row>
    <row r="3173" spans="1:11" ht="42" customHeight="1">
      <c r="A3173" s="4" t="s">
        <v>7168</v>
      </c>
      <c r="B3173" s="5" t="s">
        <v>7168</v>
      </c>
      <c r="C3173" s="5" t="s">
        <v>17</v>
      </c>
      <c r="D3173" s="5" t="s">
        <v>18</v>
      </c>
      <c r="E3173" s="5" t="s">
        <v>19</v>
      </c>
      <c r="F3173" s="9">
        <v>3</v>
      </c>
      <c r="G3173" s="9">
        <v>27</v>
      </c>
      <c r="H3173" s="5" t="s">
        <v>20</v>
      </c>
      <c r="I3173" s="5" t="s">
        <v>7169</v>
      </c>
      <c r="J3173" s="12" t="str">
        <f>HYPERLINK("https://www.boe.es/gazeta/dias/1806/01/10/pdfs/GMD-1806-3.pdf#page=7","Abrir facsímil")</f>
        <v>Abrir facsímil</v>
      </c>
      <c r="K3173" s="15" t="s">
        <v>22</v>
      </c>
    </row>
    <row r="3174" spans="1:11" ht="42" customHeight="1">
      <c r="A3174" s="4" t="s">
        <v>7170</v>
      </c>
      <c r="B3174" s="5" t="s">
        <v>7170</v>
      </c>
      <c r="C3174" s="5" t="s">
        <v>31</v>
      </c>
      <c r="D3174" s="5" t="s">
        <v>32</v>
      </c>
      <c r="E3174" s="5" t="s">
        <v>178</v>
      </c>
      <c r="F3174" s="9">
        <v>36</v>
      </c>
      <c r="G3174" s="9">
        <v>350</v>
      </c>
      <c r="H3174" s="5" t="s">
        <v>20</v>
      </c>
      <c r="I3174" s="5" t="s">
        <v>7171</v>
      </c>
      <c r="J3174" s="12" t="str">
        <f>HYPERLINK("https://www.boe.es/gazeta/dias/1806/04/29/pdfs/GMD-1806-36.pdf#page=6","Abrir facsímil")</f>
        <v>Abrir facsímil</v>
      </c>
      <c r="K3174" s="15" t="s">
        <v>22</v>
      </c>
    </row>
    <row r="3175" spans="1:11" ht="42" customHeight="1">
      <c r="A3175" s="4" t="s">
        <v>7172</v>
      </c>
      <c r="B3175" s="5" t="s">
        <v>7172</v>
      </c>
      <c r="C3175" s="5" t="s">
        <v>42</v>
      </c>
      <c r="D3175" s="5" t="s">
        <v>43</v>
      </c>
      <c r="E3175" s="5" t="s">
        <v>178</v>
      </c>
      <c r="F3175" s="9">
        <v>36</v>
      </c>
      <c r="G3175" s="9">
        <v>350</v>
      </c>
      <c r="H3175" s="5" t="s">
        <v>20</v>
      </c>
      <c r="I3175" s="5" t="s">
        <v>7173</v>
      </c>
      <c r="J3175" s="12" t="str">
        <f>HYPERLINK("https://www.boe.es/gazeta/dias/1806/04/29/pdfs/GMD-1806-36.pdf#page=6","Abrir facsímil")</f>
        <v>Abrir facsímil</v>
      </c>
      <c r="K3175" s="15" t="s">
        <v>22</v>
      </c>
    </row>
    <row r="3176" spans="1:11" ht="42" customHeight="1">
      <c r="A3176" s="4" t="s">
        <v>7174</v>
      </c>
      <c r="B3176" s="5" t="s">
        <v>7174</v>
      </c>
      <c r="C3176" s="5" t="s">
        <v>31</v>
      </c>
      <c r="D3176" s="5" t="s">
        <v>32</v>
      </c>
      <c r="E3176" s="5" t="s">
        <v>259</v>
      </c>
      <c r="F3176" s="9">
        <v>34</v>
      </c>
      <c r="G3176" s="9">
        <v>335</v>
      </c>
      <c r="H3176" s="5" t="s">
        <v>20</v>
      </c>
      <c r="I3176" s="5" t="s">
        <v>7175</v>
      </c>
      <c r="J3176" s="12" t="str">
        <f>HYPERLINK("https://www.boe.es/gazeta/dias/1806/04/22/pdfs/GMD-1806-34.pdf#page=7","Abrir facsímil")</f>
        <v>Abrir facsímil</v>
      </c>
      <c r="K3176" s="15" t="s">
        <v>22</v>
      </c>
    </row>
    <row r="3177" spans="1:11" ht="42" customHeight="1">
      <c r="A3177" s="4" t="s">
        <v>7176</v>
      </c>
      <c r="B3177" s="5" t="s">
        <v>7176</v>
      </c>
      <c r="C3177" s="5" t="s">
        <v>31</v>
      </c>
      <c r="D3177" s="5" t="s">
        <v>32</v>
      </c>
      <c r="E3177" s="5" t="s">
        <v>209</v>
      </c>
      <c r="F3177" s="9">
        <v>95</v>
      </c>
      <c r="G3177" s="9">
        <v>1005</v>
      </c>
      <c r="H3177" s="5" t="s">
        <v>20</v>
      </c>
      <c r="I3177" s="5" t="s">
        <v>7177</v>
      </c>
      <c r="J3177" s="12" t="str">
        <f>HYPERLINK("https://www.boe.es/gazeta/dias/1806/11/21/pdfs/GMD-1806-95.pdf#page=13","Abrir facsímil")</f>
        <v>Abrir facsímil</v>
      </c>
      <c r="K3177" s="15" t="s">
        <v>22</v>
      </c>
    </row>
    <row r="3178" spans="1:11" ht="42" customHeight="1">
      <c r="A3178" s="4" t="s">
        <v>7178</v>
      </c>
      <c r="B3178" s="5" t="s">
        <v>7178</v>
      </c>
      <c r="C3178" s="5" t="s">
        <v>42</v>
      </c>
      <c r="D3178" s="5" t="s">
        <v>43</v>
      </c>
      <c r="E3178" s="5" t="s">
        <v>140</v>
      </c>
      <c r="F3178" s="9">
        <v>83</v>
      </c>
      <c r="G3178" s="9">
        <v>860</v>
      </c>
      <c r="H3178" s="5" t="s">
        <v>20</v>
      </c>
      <c r="I3178" s="5" t="s">
        <v>7179</v>
      </c>
      <c r="J3178" s="12" t="str">
        <f>HYPERLINK("https://www.boe.es/gazeta/dias/1806/10/10/pdfs/GMD-1806-83.pdf#page=8","Abrir facsímil")</f>
        <v>Abrir facsímil</v>
      </c>
      <c r="K3178" s="15" t="s">
        <v>22</v>
      </c>
    </row>
    <row r="3179" spans="1:11" ht="42" customHeight="1">
      <c r="A3179" s="4" t="s">
        <v>7180</v>
      </c>
      <c r="B3179" s="5" t="s">
        <v>7180</v>
      </c>
      <c r="C3179" s="5" t="s">
        <v>31</v>
      </c>
      <c r="D3179" s="5" t="s">
        <v>32</v>
      </c>
      <c r="E3179" s="5" t="s">
        <v>24</v>
      </c>
      <c r="F3179" s="9">
        <v>32</v>
      </c>
      <c r="G3179" s="9">
        <v>315</v>
      </c>
      <c r="H3179" s="5" t="s">
        <v>20</v>
      </c>
      <c r="I3179" s="5" t="s">
        <v>7181</v>
      </c>
      <c r="J3179" s="12" t="str">
        <f>HYPERLINK("https://www.boe.es/gazeta/dias/1806/04/15/pdfs/GMD-1806-32.pdf#page=7","Abrir facsímil")</f>
        <v>Abrir facsímil</v>
      </c>
      <c r="K3179" s="15" t="s">
        <v>22</v>
      </c>
    </row>
    <row r="3180" spans="1:11" ht="42" customHeight="1">
      <c r="A3180" s="4" t="s">
        <v>7182</v>
      </c>
      <c r="B3180" s="5" t="s">
        <v>7182</v>
      </c>
      <c r="C3180" s="5" t="s">
        <v>42</v>
      </c>
      <c r="D3180" s="5" t="s">
        <v>43</v>
      </c>
      <c r="E3180" s="5" t="s">
        <v>113</v>
      </c>
      <c r="F3180" s="9">
        <v>28</v>
      </c>
      <c r="G3180" s="9">
        <v>278</v>
      </c>
      <c r="H3180" s="5" t="s">
        <v>20</v>
      </c>
      <c r="I3180" s="5" t="s">
        <v>7183</v>
      </c>
      <c r="J3180" s="12" t="str">
        <f>HYPERLINK("https://www.boe.es/gazeta/dias/1806/04/01/pdfs/GMD-1806-28.pdf#page=6","Abrir facsímil")</f>
        <v>Abrir facsímil</v>
      </c>
      <c r="K3180" s="15" t="s">
        <v>22</v>
      </c>
    </row>
    <row r="3181" spans="1:11" ht="42" customHeight="1">
      <c r="A3181" s="4" t="s">
        <v>7184</v>
      </c>
      <c r="B3181" s="5" t="s">
        <v>7184</v>
      </c>
      <c r="C3181" s="5" t="s">
        <v>31</v>
      </c>
      <c r="D3181" s="5" t="s">
        <v>32</v>
      </c>
      <c r="E3181" s="5" t="s">
        <v>178</v>
      </c>
      <c r="F3181" s="9">
        <v>36</v>
      </c>
      <c r="G3181" s="9">
        <v>350</v>
      </c>
      <c r="H3181" s="5" t="s">
        <v>20</v>
      </c>
      <c r="I3181" s="5" t="s">
        <v>7185</v>
      </c>
      <c r="J3181" s="12" t="str">
        <f>HYPERLINK("https://www.boe.es/gazeta/dias/1806/04/29/pdfs/GMD-1806-36.pdf#page=6","Abrir facsímil")</f>
        <v>Abrir facsímil</v>
      </c>
      <c r="K3181" s="15" t="s">
        <v>22</v>
      </c>
    </row>
    <row r="3182" spans="1:11" ht="42" customHeight="1">
      <c r="A3182" s="4" t="s">
        <v>7186</v>
      </c>
      <c r="B3182" s="5" t="s">
        <v>7187</v>
      </c>
      <c r="C3182" s="5" t="s">
        <v>17</v>
      </c>
      <c r="D3182" s="5" t="s">
        <v>18</v>
      </c>
      <c r="E3182" s="5" t="s">
        <v>55</v>
      </c>
      <c r="F3182" s="9">
        <v>20</v>
      </c>
      <c r="G3182" s="9">
        <v>184</v>
      </c>
      <c r="H3182" s="5" t="s">
        <v>20</v>
      </c>
      <c r="I3182" s="5" t="s">
        <v>7188</v>
      </c>
      <c r="J3182" s="12" t="str">
        <f>HYPERLINK("https://www.boe.es/gazeta/dias/1806/03/04/pdfs/GMD-1806-20.pdf#page=8","Abrir facsímil")</f>
        <v>Abrir facsímil</v>
      </c>
      <c r="K3182" s="15" t="s">
        <v>22</v>
      </c>
    </row>
    <row r="3183" spans="1:11" ht="42" customHeight="1">
      <c r="A3183" s="4" t="s">
        <v>7189</v>
      </c>
      <c r="B3183" s="5" t="s">
        <v>7189</v>
      </c>
      <c r="C3183" s="5" t="s">
        <v>42</v>
      </c>
      <c r="D3183" s="5" t="s">
        <v>43</v>
      </c>
      <c r="E3183" s="5" t="s">
        <v>113</v>
      </c>
      <c r="F3183" s="9">
        <v>28</v>
      </c>
      <c r="G3183" s="9">
        <v>277</v>
      </c>
      <c r="H3183" s="5" t="s">
        <v>20</v>
      </c>
      <c r="I3183" s="5" t="s">
        <v>7190</v>
      </c>
      <c r="J3183" s="12" t="str">
        <f>HYPERLINK("https://www.boe.es/gazeta/dias/1806/04/01/pdfs/GMD-1806-28.pdf#page=5","Abrir facsímil")</f>
        <v>Abrir facsímil</v>
      </c>
      <c r="K3183" s="15" t="s">
        <v>22</v>
      </c>
    </row>
    <row r="3184" spans="1:11" ht="42" customHeight="1">
      <c r="A3184" s="4" t="s">
        <v>7191</v>
      </c>
      <c r="B3184" s="5" t="s">
        <v>7191</v>
      </c>
      <c r="C3184" s="5" t="s">
        <v>31</v>
      </c>
      <c r="D3184" s="5" t="s">
        <v>32</v>
      </c>
      <c r="E3184" s="5" t="s">
        <v>175</v>
      </c>
      <c r="F3184" s="9">
        <v>40</v>
      </c>
      <c r="G3184" s="9">
        <v>394</v>
      </c>
      <c r="H3184" s="5" t="s">
        <v>20</v>
      </c>
      <c r="I3184" s="5" t="s">
        <v>7192</v>
      </c>
      <c r="J3184" s="12" t="str">
        <f>HYPERLINK("https://www.boe.es/gazeta/dias/1806/05/13/pdfs/GMD-1806-40.pdf#page=6","Abrir facsímil")</f>
        <v>Abrir facsímil</v>
      </c>
      <c r="K3184" s="15" t="s">
        <v>22</v>
      </c>
    </row>
    <row r="3185" spans="1:11" ht="42" customHeight="1">
      <c r="A3185" s="4" t="s">
        <v>7193</v>
      </c>
      <c r="B3185" s="5" t="s">
        <v>7194</v>
      </c>
      <c r="C3185" s="5" t="s">
        <v>42</v>
      </c>
      <c r="D3185" s="5" t="s">
        <v>43</v>
      </c>
      <c r="E3185" s="5" t="s">
        <v>96</v>
      </c>
      <c r="F3185" s="9">
        <v>62</v>
      </c>
      <c r="G3185" s="9">
        <v>651</v>
      </c>
      <c r="H3185" s="5" t="s">
        <v>20</v>
      </c>
      <c r="I3185" s="5" t="s">
        <v>7195</v>
      </c>
      <c r="J3185" s="12" t="str">
        <f>HYPERLINK("https://www.boe.es/gazeta/dias/1806/07/29/pdfs/GMD-1806-62.pdf#page=11","Abrir facsímil")</f>
        <v>Abrir facsímil</v>
      </c>
      <c r="K3185" s="15" t="s">
        <v>22</v>
      </c>
    </row>
    <row r="3186" spans="1:11" ht="42" customHeight="1">
      <c r="A3186" s="4" t="s">
        <v>7196</v>
      </c>
      <c r="B3186" s="5" t="s">
        <v>7196</v>
      </c>
      <c r="C3186" s="5" t="s">
        <v>31</v>
      </c>
      <c r="D3186" s="5" t="s">
        <v>32</v>
      </c>
      <c r="E3186" s="5" t="s">
        <v>93</v>
      </c>
      <c r="F3186" s="9">
        <v>72</v>
      </c>
      <c r="G3186" s="9">
        <v>748</v>
      </c>
      <c r="H3186" s="5" t="s">
        <v>20</v>
      </c>
      <c r="I3186" s="5" t="s">
        <v>7197</v>
      </c>
      <c r="J3186" s="12" t="str">
        <f>HYPERLINK("https://www.boe.es/gazeta/dias/1806/09/02/pdfs/GMD-1806-72.pdf#page=8","Abrir facsímil")</f>
        <v>Abrir facsímil</v>
      </c>
      <c r="K3186" s="15" t="s">
        <v>22</v>
      </c>
    </row>
    <row r="3187" spans="1:11" ht="42" customHeight="1">
      <c r="A3187" s="4" t="s">
        <v>7198</v>
      </c>
      <c r="B3187" s="5" t="s">
        <v>7198</v>
      </c>
      <c r="C3187" s="5" t="s">
        <v>31</v>
      </c>
      <c r="D3187" s="5" t="s">
        <v>32</v>
      </c>
      <c r="E3187" s="5" t="s">
        <v>28</v>
      </c>
      <c r="F3187" s="9">
        <v>102</v>
      </c>
      <c r="G3187" s="9">
        <v>1085</v>
      </c>
      <c r="H3187" s="5" t="s">
        <v>20</v>
      </c>
      <c r="I3187" s="5" t="s">
        <v>7199</v>
      </c>
      <c r="J3187" s="12" t="str">
        <f>HYPERLINK("https://www.boe.es/gazeta/dias/1806/12/16/pdfs/GMD-1806-102.pdf#page=9","Abrir facsímil")</f>
        <v>Abrir facsímil</v>
      </c>
      <c r="K3187" s="15" t="s">
        <v>22</v>
      </c>
    </row>
    <row r="3188" spans="1:11" ht="42" customHeight="1">
      <c r="A3188" s="4" t="s">
        <v>7200</v>
      </c>
      <c r="B3188" s="5" t="s">
        <v>7201</v>
      </c>
      <c r="C3188" s="5" t="s">
        <v>17</v>
      </c>
      <c r="D3188" s="5" t="s">
        <v>18</v>
      </c>
      <c r="E3188" s="5" t="s">
        <v>689</v>
      </c>
      <c r="F3188" s="9">
        <v>37</v>
      </c>
      <c r="G3188" s="9">
        <v>361</v>
      </c>
      <c r="H3188" s="5" t="s">
        <v>20</v>
      </c>
      <c r="I3188" s="5" t="s">
        <v>7202</v>
      </c>
      <c r="J3188" s="12" t="str">
        <f>HYPERLINK("https://www.boe.es/gazeta/dias/1806/05/02/pdfs/GMD-1806-37.pdf#page=9","Abrir facsímil")</f>
        <v>Abrir facsímil</v>
      </c>
      <c r="K3188" s="15" t="s">
        <v>22</v>
      </c>
    </row>
    <row r="3189" spans="1:11" ht="42" customHeight="1">
      <c r="A3189" s="4" t="s">
        <v>7203</v>
      </c>
      <c r="B3189" s="5" t="s">
        <v>7203</v>
      </c>
      <c r="C3189" s="5" t="s">
        <v>36</v>
      </c>
      <c r="D3189" s="5" t="s">
        <v>37</v>
      </c>
      <c r="E3189" s="5" t="s">
        <v>26</v>
      </c>
      <c r="F3189" s="9">
        <v>65</v>
      </c>
      <c r="G3189" s="9">
        <v>682</v>
      </c>
      <c r="H3189" s="5" t="s">
        <v>20</v>
      </c>
      <c r="I3189" s="5" t="s">
        <v>7204</v>
      </c>
      <c r="J3189" s="12" t="str">
        <f>HYPERLINK("https://www.boe.es/gazeta/dias/1806/08/08/pdfs/GMD-1806-65.pdf#page=10","Abrir facsímil")</f>
        <v>Abrir facsímil</v>
      </c>
      <c r="K3189" s="15" t="s">
        <v>22</v>
      </c>
    </row>
    <row r="3190" spans="1:11" ht="42" customHeight="1">
      <c r="A3190" s="4" t="s">
        <v>7205</v>
      </c>
      <c r="B3190" s="5" t="s">
        <v>7205</v>
      </c>
      <c r="C3190" s="5" t="s">
        <v>42</v>
      </c>
      <c r="D3190" s="5" t="s">
        <v>43</v>
      </c>
      <c r="E3190" s="5" t="s">
        <v>127</v>
      </c>
      <c r="F3190" s="9">
        <v>81</v>
      </c>
      <c r="G3190" s="9">
        <v>840</v>
      </c>
      <c r="H3190" s="5" t="s">
        <v>20</v>
      </c>
      <c r="I3190" s="5" t="s">
        <v>7206</v>
      </c>
      <c r="J3190" s="12" t="str">
        <f>HYPERLINK("https://www.boe.es/gazeta/dias/1806/10/03/pdfs/GMD-1806-81.pdf#page=8","Abrir facsímil")</f>
        <v>Abrir facsímil</v>
      </c>
      <c r="K3190" s="15" t="s">
        <v>22</v>
      </c>
    </row>
    <row r="3191" spans="1:11" ht="42" customHeight="1">
      <c r="A3191" s="4" t="s">
        <v>7207</v>
      </c>
      <c r="B3191" s="5" t="s">
        <v>7207</v>
      </c>
      <c r="C3191" s="5" t="s">
        <v>17</v>
      </c>
      <c r="D3191" s="5" t="s">
        <v>18</v>
      </c>
      <c r="E3191" s="5" t="s">
        <v>220</v>
      </c>
      <c r="F3191" s="9">
        <v>24</v>
      </c>
      <c r="G3191" s="9">
        <v>235</v>
      </c>
      <c r="H3191" s="5" t="s">
        <v>20</v>
      </c>
      <c r="I3191" s="5" t="s">
        <v>7208</v>
      </c>
      <c r="J3191" s="12" t="str">
        <f>HYPERLINK("https://www.boe.es/gazeta/dias/1806/03/18/pdfs/GMD-1806-24.pdf#page=11","Abrir facsímil")</f>
        <v>Abrir facsímil</v>
      </c>
      <c r="K3191" s="15" t="s">
        <v>22</v>
      </c>
    </row>
    <row r="3192" spans="1:11" ht="42" customHeight="1">
      <c r="A3192" s="4" t="s">
        <v>7207</v>
      </c>
      <c r="B3192" s="5" t="s">
        <v>7207</v>
      </c>
      <c r="C3192" s="5" t="s">
        <v>17</v>
      </c>
      <c r="D3192" s="5" t="s">
        <v>18</v>
      </c>
      <c r="E3192" s="5" t="s">
        <v>209</v>
      </c>
      <c r="F3192" s="9">
        <v>95</v>
      </c>
      <c r="G3192" s="9">
        <v>1007</v>
      </c>
      <c r="H3192" s="5" t="s">
        <v>20</v>
      </c>
      <c r="I3192" s="5" t="s">
        <v>7209</v>
      </c>
      <c r="J3192" s="12" t="str">
        <f>HYPERLINK("https://www.boe.es/gazeta/dias/1806/11/21/pdfs/GMD-1806-95.pdf#page=15","Abrir facsímil")</f>
        <v>Abrir facsímil</v>
      </c>
      <c r="K3192" s="15" t="s">
        <v>22</v>
      </c>
    </row>
    <row r="3193" spans="1:11" ht="42" customHeight="1">
      <c r="A3193" s="4" t="s">
        <v>7210</v>
      </c>
      <c r="B3193" s="5" t="s">
        <v>7210</v>
      </c>
      <c r="C3193" s="5" t="s">
        <v>31</v>
      </c>
      <c r="D3193" s="5" t="s">
        <v>32</v>
      </c>
      <c r="E3193" s="5" t="s">
        <v>271</v>
      </c>
      <c r="F3193" s="9">
        <v>6</v>
      </c>
      <c r="G3193" s="9">
        <v>54</v>
      </c>
      <c r="H3193" s="5" t="s">
        <v>20</v>
      </c>
      <c r="I3193" s="5" t="s">
        <v>7211</v>
      </c>
      <c r="J3193" s="12" t="str">
        <f>HYPERLINK("https://www.boe.es/gazeta/dias/1806/01/17/pdfs/GMD-1806-6.pdf#page=10","Abrir facsímil")</f>
        <v>Abrir facsímil</v>
      </c>
      <c r="K3193" s="15" t="s">
        <v>22</v>
      </c>
    </row>
    <row r="3194" spans="1:11" ht="42" customHeight="1">
      <c r="A3194" s="4" t="s">
        <v>7212</v>
      </c>
      <c r="B3194" s="5" t="s">
        <v>7212</v>
      </c>
      <c r="C3194" s="5" t="s">
        <v>17</v>
      </c>
      <c r="D3194" s="5" t="s">
        <v>18</v>
      </c>
      <c r="E3194" s="5" t="s">
        <v>148</v>
      </c>
      <c r="F3194" s="9">
        <v>78</v>
      </c>
      <c r="G3194" s="9">
        <v>804</v>
      </c>
      <c r="H3194" s="5" t="s">
        <v>20</v>
      </c>
      <c r="I3194" s="5" t="s">
        <v>7213</v>
      </c>
      <c r="J3194" s="12" t="str">
        <f>HYPERLINK("https://www.boe.es/gazeta/dias/1806/09/23/pdfs/GMD-1806-78.pdf#page=8","Abrir facsímil")</f>
        <v>Abrir facsímil</v>
      </c>
      <c r="K3194" s="15" t="s">
        <v>22</v>
      </c>
    </row>
    <row r="3195" spans="1:11" ht="42" customHeight="1">
      <c r="A3195" s="4" t="s">
        <v>7214</v>
      </c>
      <c r="B3195" s="5" t="s">
        <v>7214</v>
      </c>
      <c r="C3195" s="5" t="s">
        <v>17</v>
      </c>
      <c r="D3195" s="5" t="s">
        <v>18</v>
      </c>
      <c r="E3195" s="5" t="s">
        <v>51</v>
      </c>
      <c r="F3195" s="9">
        <v>44</v>
      </c>
      <c r="G3195" s="9">
        <v>446</v>
      </c>
      <c r="H3195" s="5" t="s">
        <v>20</v>
      </c>
      <c r="I3195" s="5" t="s">
        <v>7215</v>
      </c>
      <c r="J3195" s="12" t="str">
        <f>HYPERLINK("https://www.boe.es/gazeta/dias/1806/05/27/pdfs/GMD-1806-44.pdf#page=10","Abrir facsímil")</f>
        <v>Abrir facsímil</v>
      </c>
      <c r="K3195" s="15" t="s">
        <v>22</v>
      </c>
    </row>
    <row r="3196" spans="1:11" ht="42" customHeight="1">
      <c r="A3196" s="4" t="s">
        <v>7214</v>
      </c>
      <c r="B3196" s="5" t="s">
        <v>7214</v>
      </c>
      <c r="C3196" s="5" t="s">
        <v>31</v>
      </c>
      <c r="D3196" s="5" t="s">
        <v>32</v>
      </c>
      <c r="E3196" s="5" t="s">
        <v>859</v>
      </c>
      <c r="F3196" s="9">
        <v>63</v>
      </c>
      <c r="G3196" s="9">
        <v>662</v>
      </c>
      <c r="H3196" s="5" t="s">
        <v>20</v>
      </c>
      <c r="I3196" s="5" t="s">
        <v>7216</v>
      </c>
      <c r="J3196" s="12" t="str">
        <f>HYPERLINK("https://www.boe.es/gazeta/dias/1806/08/01/pdfs/GMD-1806-63.pdf#page=10","Abrir facsímil")</f>
        <v>Abrir facsímil</v>
      </c>
      <c r="K3196" s="15" t="s">
        <v>22</v>
      </c>
    </row>
    <row r="3197" spans="1:11" ht="42" customHeight="1">
      <c r="A3197" s="4" t="s">
        <v>7217</v>
      </c>
      <c r="B3197" s="5" t="s">
        <v>7217</v>
      </c>
      <c r="C3197" s="5" t="s">
        <v>17</v>
      </c>
      <c r="D3197" s="5" t="s">
        <v>18</v>
      </c>
      <c r="E3197" s="5" t="s">
        <v>103</v>
      </c>
      <c r="F3197" s="9">
        <v>61</v>
      </c>
      <c r="G3197" s="9">
        <v>635</v>
      </c>
      <c r="H3197" s="5" t="s">
        <v>20</v>
      </c>
      <c r="I3197" s="5" t="s">
        <v>7218</v>
      </c>
      <c r="J3197" s="12" t="str">
        <f>HYPERLINK("https://www.boe.es/gazeta/dias/1806/07/25/pdfs/GMD-1806-61.pdf#page=7","Abrir facsímil")</f>
        <v>Abrir facsímil</v>
      </c>
      <c r="K3197" s="15" t="s">
        <v>22</v>
      </c>
    </row>
    <row r="3198" spans="1:11" ht="42" customHeight="1">
      <c r="A3198" s="4" t="s">
        <v>7219</v>
      </c>
      <c r="B3198" s="5" t="s">
        <v>7219</v>
      </c>
      <c r="C3198" s="5" t="s">
        <v>42</v>
      </c>
      <c r="D3198" s="5" t="s">
        <v>43</v>
      </c>
      <c r="E3198" s="5" t="s">
        <v>661</v>
      </c>
      <c r="F3198" s="9">
        <v>38</v>
      </c>
      <c r="G3198" s="9">
        <v>373</v>
      </c>
      <c r="H3198" s="5" t="s">
        <v>20</v>
      </c>
      <c r="I3198" s="5" t="s">
        <v>7220</v>
      </c>
      <c r="J3198" s="12" t="str">
        <f>HYPERLINK("https://www.boe.es/gazeta/dias/1806/05/06/pdfs/GMD-1806-38.pdf#page=9","Abrir facsímil")</f>
        <v>Abrir facsímil</v>
      </c>
      <c r="K3198" s="15" t="s">
        <v>22</v>
      </c>
    </row>
    <row r="3199" spans="1:11" ht="42" customHeight="1">
      <c r="A3199" s="4" t="s">
        <v>7221</v>
      </c>
      <c r="B3199" s="5" t="s">
        <v>7221</v>
      </c>
      <c r="C3199" s="5" t="s">
        <v>31</v>
      </c>
      <c r="D3199" s="5" t="s">
        <v>32</v>
      </c>
      <c r="E3199" s="5" t="s">
        <v>121</v>
      </c>
      <c r="F3199" s="9">
        <v>19</v>
      </c>
      <c r="G3199" s="9">
        <v>172</v>
      </c>
      <c r="H3199" s="5" t="s">
        <v>20</v>
      </c>
      <c r="I3199" s="5" t="s">
        <v>7222</v>
      </c>
      <c r="J3199" s="12" t="str">
        <f>HYPERLINK("https://www.boe.es/gazeta/dias/1806/02/28/pdfs/GMD-1806-19.pdf#page=8","Abrir facsímil")</f>
        <v>Abrir facsímil</v>
      </c>
      <c r="K3199" s="15" t="s">
        <v>22</v>
      </c>
    </row>
    <row r="3200" spans="1:11" ht="42" customHeight="1">
      <c r="A3200" s="4" t="s">
        <v>7223</v>
      </c>
      <c r="B3200" s="5" t="s">
        <v>7223</v>
      </c>
      <c r="C3200" s="5" t="s">
        <v>31</v>
      </c>
      <c r="D3200" s="5" t="s">
        <v>32</v>
      </c>
      <c r="E3200" s="5" t="s">
        <v>82</v>
      </c>
      <c r="F3200" s="9">
        <v>48</v>
      </c>
      <c r="G3200" s="9">
        <v>496</v>
      </c>
      <c r="H3200" s="5" t="s">
        <v>20</v>
      </c>
      <c r="I3200" s="5" t="s">
        <v>7224</v>
      </c>
      <c r="J3200" s="12" t="str">
        <f>HYPERLINK("https://www.boe.es/gazeta/dias/1806/06/10/pdfs/GMD-1806-48.pdf#page=8","Abrir facsímil")</f>
        <v>Abrir facsímil</v>
      </c>
      <c r="K3200" s="15" t="s">
        <v>22</v>
      </c>
    </row>
    <row r="3201" spans="1:11" ht="42" customHeight="1">
      <c r="A3201" s="4" t="s">
        <v>7225</v>
      </c>
      <c r="B3201" s="5" t="s">
        <v>7225</v>
      </c>
      <c r="C3201" s="5" t="s">
        <v>36</v>
      </c>
      <c r="D3201" s="5" t="s">
        <v>37</v>
      </c>
      <c r="E3201" s="5" t="s">
        <v>279</v>
      </c>
      <c r="F3201" s="9">
        <v>52</v>
      </c>
      <c r="G3201" s="9">
        <v>544</v>
      </c>
      <c r="H3201" s="5" t="s">
        <v>20</v>
      </c>
      <c r="I3201" s="5" t="s">
        <v>7226</v>
      </c>
      <c r="J3201" s="12" t="str">
        <f>HYPERLINK("https://www.boe.es/gazeta/dias/1806/06/24/pdfs/GMD-1806-52.pdf#page=12","Abrir facsímil")</f>
        <v>Abrir facsímil</v>
      </c>
      <c r="K3201" s="15" t="s">
        <v>22</v>
      </c>
    </row>
    <row r="3202" spans="1:11" ht="42" customHeight="1">
      <c r="A3202" s="4" t="s">
        <v>7227</v>
      </c>
      <c r="B3202" s="5" t="s">
        <v>7227</v>
      </c>
      <c r="C3202" s="5" t="s">
        <v>31</v>
      </c>
      <c r="D3202" s="5" t="s">
        <v>32</v>
      </c>
      <c r="E3202" s="5" t="s">
        <v>430</v>
      </c>
      <c r="F3202" s="9">
        <v>12</v>
      </c>
      <c r="G3202" s="9">
        <v>106</v>
      </c>
      <c r="H3202" s="5" t="s">
        <v>20</v>
      </c>
      <c r="I3202" s="5" t="s">
        <v>7228</v>
      </c>
      <c r="J3202" s="12" t="str">
        <f>HYPERLINK("https://www.boe.es/gazeta/dias/1806/02/04/pdfs/GMD-1806-12.pdf#page=6","Abrir facsímil")</f>
        <v>Abrir facsímil</v>
      </c>
      <c r="K3202" s="15" t="s">
        <v>22</v>
      </c>
    </row>
    <row r="3203" spans="1:11" ht="42" customHeight="1">
      <c r="A3203" s="4" t="s">
        <v>7229</v>
      </c>
      <c r="B3203" s="5" t="s">
        <v>7229</v>
      </c>
      <c r="C3203" s="5" t="s">
        <v>31</v>
      </c>
      <c r="D3203" s="5" t="s">
        <v>32</v>
      </c>
      <c r="E3203" s="5" t="s">
        <v>285</v>
      </c>
      <c r="F3203" s="9">
        <v>13</v>
      </c>
      <c r="G3203" s="9">
        <v>114</v>
      </c>
      <c r="H3203" s="5" t="s">
        <v>20</v>
      </c>
      <c r="I3203" s="5" t="s">
        <v>7230</v>
      </c>
      <c r="J3203" s="12" t="str">
        <f>HYPERLINK("https://www.boe.es/gazeta/dias/1806/02/07/pdfs/GMD-1806-13.pdf#page=6","Abrir facsímil")</f>
        <v>Abrir facsímil</v>
      </c>
      <c r="K3203" s="15" t="s">
        <v>22</v>
      </c>
    </row>
    <row r="3204" spans="1:11" ht="42" customHeight="1">
      <c r="A3204" s="4" t="s">
        <v>7231</v>
      </c>
      <c r="B3204" s="5" t="s">
        <v>7232</v>
      </c>
      <c r="C3204" s="5" t="s">
        <v>31</v>
      </c>
      <c r="D3204" s="5" t="s">
        <v>32</v>
      </c>
      <c r="E3204" s="5" t="s">
        <v>297</v>
      </c>
      <c r="F3204" s="9">
        <v>94</v>
      </c>
      <c r="G3204" s="9">
        <v>989</v>
      </c>
      <c r="H3204" s="5" t="s">
        <v>20</v>
      </c>
      <c r="I3204" s="5" t="s">
        <v>7233</v>
      </c>
      <c r="J3204" s="12" t="str">
        <f>HYPERLINK("https://www.boe.es/gazeta/dias/1806/11/18/pdfs/GMD-1806-94.pdf#page=9","Abrir facsímil")</f>
        <v>Abrir facsímil</v>
      </c>
      <c r="K3204" s="15" t="s">
        <v>22</v>
      </c>
    </row>
    <row r="3205" spans="1:11" ht="42" customHeight="1">
      <c r="A3205" s="4" t="s">
        <v>7234</v>
      </c>
      <c r="B3205" s="5" t="s">
        <v>7234</v>
      </c>
      <c r="C3205" s="5" t="s">
        <v>31</v>
      </c>
      <c r="D3205" s="5" t="s">
        <v>32</v>
      </c>
      <c r="E3205" s="5" t="s">
        <v>28</v>
      </c>
      <c r="F3205" s="9">
        <v>102</v>
      </c>
      <c r="G3205" s="9">
        <v>1085</v>
      </c>
      <c r="H3205" s="5" t="s">
        <v>20</v>
      </c>
      <c r="I3205" s="5" t="s">
        <v>7235</v>
      </c>
      <c r="J3205" s="12" t="str">
        <f>HYPERLINK("https://www.boe.es/gazeta/dias/1806/12/16/pdfs/GMD-1806-102.pdf#page=9","Abrir facsímil")</f>
        <v>Abrir facsímil</v>
      </c>
      <c r="K3205" s="15" t="s">
        <v>22</v>
      </c>
    </row>
    <row r="3206" spans="1:11" ht="42" customHeight="1">
      <c r="A3206" s="4" t="s">
        <v>7236</v>
      </c>
      <c r="B3206" s="5" t="s">
        <v>7236</v>
      </c>
      <c r="C3206" s="5" t="s">
        <v>31</v>
      </c>
      <c r="D3206" s="5" t="s">
        <v>32</v>
      </c>
      <c r="E3206" s="5" t="s">
        <v>494</v>
      </c>
      <c r="F3206" s="9">
        <v>69</v>
      </c>
      <c r="G3206" s="9">
        <v>722</v>
      </c>
      <c r="H3206" s="5" t="s">
        <v>20</v>
      </c>
      <c r="I3206" s="5" t="s">
        <v>7237</v>
      </c>
      <c r="J3206" s="12" t="str">
        <f>HYPERLINK("https://www.boe.es/gazeta/dias/1806/08/22/pdfs/GMD-1806-69.pdf#page=10","Abrir facsímil")</f>
        <v>Abrir facsímil</v>
      </c>
      <c r="K3206" s="15" t="s">
        <v>22</v>
      </c>
    </row>
    <row r="3207" spans="1:11" ht="42" customHeight="1">
      <c r="A3207" s="4" t="s">
        <v>7238</v>
      </c>
      <c r="B3207" s="5" t="s">
        <v>7238</v>
      </c>
      <c r="C3207" s="5" t="s">
        <v>75</v>
      </c>
      <c r="D3207" s="5" t="s">
        <v>43</v>
      </c>
      <c r="E3207" s="5" t="s">
        <v>554</v>
      </c>
      <c r="F3207" s="9">
        <v>90</v>
      </c>
      <c r="G3207" s="9">
        <v>935</v>
      </c>
      <c r="H3207" s="5" t="s">
        <v>20</v>
      </c>
      <c r="I3207" s="5" t="s">
        <v>7239</v>
      </c>
      <c r="J3207" s="12" t="str">
        <f>HYPERLINK("https://www.boe.es/gazeta/dias/1806/11/04/pdfs/GMD-1806-90.pdf#page=11","Abrir facsímil")</f>
        <v>Abrir facsímil</v>
      </c>
      <c r="K3207" s="15" t="s">
        <v>22</v>
      </c>
    </row>
    <row r="3208" spans="1:11" ht="42" customHeight="1">
      <c r="A3208" s="4" t="s">
        <v>7240</v>
      </c>
      <c r="B3208" s="5" t="s">
        <v>7241</v>
      </c>
      <c r="C3208" s="5" t="s">
        <v>42</v>
      </c>
      <c r="D3208" s="5" t="s">
        <v>43</v>
      </c>
      <c r="E3208" s="5" t="s">
        <v>279</v>
      </c>
      <c r="F3208" s="9">
        <v>52</v>
      </c>
      <c r="G3208" s="9">
        <v>541</v>
      </c>
      <c r="H3208" s="5" t="s">
        <v>20</v>
      </c>
      <c r="I3208" s="5" t="s">
        <v>7242</v>
      </c>
      <c r="J3208" s="12" t="str">
        <f>HYPERLINK("https://www.boe.es/gazeta/dias/1806/06/24/pdfs/GMD-1806-52.pdf#page=9","Abrir facsímil")</f>
        <v>Abrir facsímil</v>
      </c>
      <c r="K3208" s="15" t="s">
        <v>22</v>
      </c>
    </row>
    <row r="3209" spans="1:11" ht="42" customHeight="1">
      <c r="A3209" s="4" t="s">
        <v>7243</v>
      </c>
      <c r="B3209" s="5" t="s">
        <v>7244</v>
      </c>
      <c r="C3209" s="5" t="s">
        <v>31</v>
      </c>
      <c r="D3209" s="5" t="s">
        <v>32</v>
      </c>
      <c r="E3209" s="5" t="s">
        <v>220</v>
      </c>
      <c r="F3209" s="9">
        <v>24</v>
      </c>
      <c r="G3209" s="9">
        <v>232</v>
      </c>
      <c r="H3209" s="5" t="s">
        <v>20</v>
      </c>
      <c r="I3209" s="5" t="s">
        <v>7245</v>
      </c>
      <c r="J3209" s="12" t="str">
        <f>HYPERLINK("https://www.boe.es/gazeta/dias/1806/03/18/pdfs/GMD-1806-24.pdf#page=8","Abrir facsímil")</f>
        <v>Abrir facsímil</v>
      </c>
      <c r="K3209" s="15" t="s">
        <v>22</v>
      </c>
    </row>
    <row r="3210" spans="1:11" ht="42" customHeight="1">
      <c r="A3210" s="4" t="s">
        <v>7246</v>
      </c>
      <c r="B3210" s="5" t="s">
        <v>7246</v>
      </c>
      <c r="C3210" s="5" t="s">
        <v>17</v>
      </c>
      <c r="D3210" s="5" t="s">
        <v>18</v>
      </c>
      <c r="E3210" s="5" t="s">
        <v>396</v>
      </c>
      <c r="F3210" s="9">
        <v>91</v>
      </c>
      <c r="G3210" s="9">
        <v>947</v>
      </c>
      <c r="H3210" s="5" t="s">
        <v>20</v>
      </c>
      <c r="I3210" s="5" t="s">
        <v>7247</v>
      </c>
      <c r="J3210" s="12" t="str">
        <f>HYPERLINK("https://www.boe.es/gazeta/dias/1806/11/07/pdfs/GMD-1806-91.pdf#page=11","Abrir facsímil")</f>
        <v>Abrir facsímil</v>
      </c>
      <c r="K3210" s="15" t="s">
        <v>22</v>
      </c>
    </row>
    <row r="3211" spans="1:11" ht="42" customHeight="1">
      <c r="A3211" s="4" t="s">
        <v>7248</v>
      </c>
      <c r="B3211" s="5" t="s">
        <v>7248</v>
      </c>
      <c r="C3211" s="5" t="s">
        <v>42</v>
      </c>
      <c r="D3211" s="5" t="s">
        <v>43</v>
      </c>
      <c r="E3211" s="5" t="s">
        <v>570</v>
      </c>
      <c r="F3211" s="9">
        <v>93</v>
      </c>
      <c r="G3211" s="9">
        <v>978</v>
      </c>
      <c r="H3211" s="5" t="s">
        <v>20</v>
      </c>
      <c r="I3211" s="5" t="s">
        <v>7249</v>
      </c>
      <c r="J3211" s="12" t="str">
        <f>HYPERLINK("https://www.boe.es/gazeta/dias/1806/11/14/pdfs/GMD-1806-93.pdf#page=14","Abrir facsímil")</f>
        <v>Abrir facsímil</v>
      </c>
      <c r="K3211" s="15" t="s">
        <v>22</v>
      </c>
    </row>
    <row r="3212" spans="1:11" ht="42" customHeight="1">
      <c r="A3212" s="4" t="s">
        <v>7250</v>
      </c>
      <c r="B3212" s="5" t="s">
        <v>7250</v>
      </c>
      <c r="C3212" s="5" t="s">
        <v>31</v>
      </c>
      <c r="D3212" s="5" t="s">
        <v>32</v>
      </c>
      <c r="E3212" s="5" t="s">
        <v>297</v>
      </c>
      <c r="F3212" s="9">
        <v>94</v>
      </c>
      <c r="G3212" s="9">
        <v>989</v>
      </c>
      <c r="H3212" s="5" t="s">
        <v>20</v>
      </c>
      <c r="I3212" s="5" t="s">
        <v>7251</v>
      </c>
      <c r="J3212" s="12" t="str">
        <f>HYPERLINK("https://www.boe.es/gazeta/dias/1806/11/18/pdfs/GMD-1806-94.pdf#page=9","Abrir facsímil")</f>
        <v>Abrir facsímil</v>
      </c>
      <c r="K3212" s="15" t="s">
        <v>22</v>
      </c>
    </row>
    <row r="3213" spans="1:11" ht="42" customHeight="1">
      <c r="A3213" s="4" t="s">
        <v>7252</v>
      </c>
      <c r="B3213" s="5" t="s">
        <v>7252</v>
      </c>
      <c r="C3213" s="5" t="s">
        <v>42</v>
      </c>
      <c r="D3213" s="5" t="s">
        <v>43</v>
      </c>
      <c r="E3213" s="5" t="s">
        <v>383</v>
      </c>
      <c r="F3213" s="9">
        <v>54</v>
      </c>
      <c r="G3213" s="9">
        <v>562</v>
      </c>
      <c r="H3213" s="5" t="s">
        <v>20</v>
      </c>
      <c r="I3213" s="5" t="s">
        <v>7253</v>
      </c>
      <c r="J3213" s="12" t="str">
        <f>HYPERLINK("https://www.boe.es/gazeta/dias/1806/07/01/pdfs/GMD-1806-54.pdf#page=6","Abrir facsímil")</f>
        <v>Abrir facsímil</v>
      </c>
      <c r="K3213" s="15" t="s">
        <v>22</v>
      </c>
    </row>
    <row r="3214" spans="1:11" ht="42" customHeight="1">
      <c r="A3214" s="4" t="s">
        <v>7254</v>
      </c>
      <c r="B3214" s="5" t="s">
        <v>7254</v>
      </c>
      <c r="C3214" s="5" t="s">
        <v>75</v>
      </c>
      <c r="D3214" s="5" t="s">
        <v>43</v>
      </c>
      <c r="E3214" s="5" t="s">
        <v>859</v>
      </c>
      <c r="F3214" s="9">
        <v>63</v>
      </c>
      <c r="G3214" s="9">
        <v>664</v>
      </c>
      <c r="H3214" s="5" t="s">
        <v>20</v>
      </c>
      <c r="I3214" s="5" t="s">
        <v>7255</v>
      </c>
      <c r="J3214" s="12" t="str">
        <f>HYPERLINK("https://www.boe.es/gazeta/dias/1806/08/01/pdfs/GMD-1806-63.pdf#page=12","Abrir facsímil")</f>
        <v>Abrir facsímil</v>
      </c>
      <c r="K3214" s="15" t="s">
        <v>22</v>
      </c>
    </row>
    <row r="3215" spans="1:11" ht="42" customHeight="1">
      <c r="A3215" s="4" t="s">
        <v>7256</v>
      </c>
      <c r="B3215" s="5" t="s">
        <v>7256</v>
      </c>
      <c r="C3215" s="5" t="s">
        <v>75</v>
      </c>
      <c r="D3215" s="5" t="s">
        <v>43</v>
      </c>
      <c r="E3215" s="5" t="s">
        <v>140</v>
      </c>
      <c r="F3215" s="9">
        <v>83</v>
      </c>
      <c r="G3215" s="9">
        <v>863</v>
      </c>
      <c r="H3215" s="5" t="s">
        <v>20</v>
      </c>
      <c r="I3215" s="5" t="s">
        <v>7257</v>
      </c>
      <c r="J3215" s="12" t="str">
        <f>HYPERLINK("https://www.boe.es/gazeta/dias/1806/10/10/pdfs/GMD-1806-83.pdf#page=11","Abrir facsímil")</f>
        <v>Abrir facsímil</v>
      </c>
      <c r="K3215" s="15" t="s">
        <v>22</v>
      </c>
    </row>
    <row r="3216" spans="1:11" ht="42" customHeight="1">
      <c r="A3216" s="4" t="s">
        <v>7258</v>
      </c>
      <c r="B3216" s="5" t="s">
        <v>7258</v>
      </c>
      <c r="C3216" s="5" t="s">
        <v>17</v>
      </c>
      <c r="D3216" s="5" t="s">
        <v>18</v>
      </c>
      <c r="E3216" s="5" t="s">
        <v>238</v>
      </c>
      <c r="F3216" s="9">
        <v>18</v>
      </c>
      <c r="G3216" s="9">
        <v>160</v>
      </c>
      <c r="H3216" s="5" t="s">
        <v>20</v>
      </c>
      <c r="I3216" s="5" t="s">
        <v>7259</v>
      </c>
      <c r="J3216" s="12" t="str">
        <f>HYPERLINK("https://www.boe.es/gazeta/dias/1806/02/25/pdfs/GMD-1806-18.pdf#page=8","Abrir facsímil")</f>
        <v>Abrir facsímil</v>
      </c>
      <c r="K3216" s="15" t="s">
        <v>22</v>
      </c>
    </row>
    <row r="3217" spans="1:11" ht="42" customHeight="1">
      <c r="A3217" s="4" t="s">
        <v>7260</v>
      </c>
      <c r="B3217" s="5" t="s">
        <v>7260</v>
      </c>
      <c r="C3217" s="5" t="s">
        <v>17</v>
      </c>
      <c r="D3217" s="5" t="s">
        <v>18</v>
      </c>
      <c r="E3217" s="5" t="s">
        <v>195</v>
      </c>
      <c r="F3217" s="9">
        <v>4</v>
      </c>
      <c r="G3217" s="9">
        <v>35</v>
      </c>
      <c r="H3217" s="5" t="s">
        <v>20</v>
      </c>
      <c r="I3217" s="5" t="s">
        <v>7261</v>
      </c>
      <c r="J3217" s="12" t="str">
        <f>HYPERLINK("https://www.boe.es/gazeta/dias/1806/01/14/pdfs/GMD-1806-4.pdf#page=7","Abrir facsímil")</f>
        <v>Abrir facsímil</v>
      </c>
      <c r="K3217" s="15" t="s">
        <v>22</v>
      </c>
    </row>
    <row r="3218" spans="1:11" ht="42" customHeight="1">
      <c r="A3218" s="4" t="s">
        <v>7262</v>
      </c>
      <c r="B3218" s="5" t="s">
        <v>7262</v>
      </c>
      <c r="C3218" s="5" t="s">
        <v>36</v>
      </c>
      <c r="D3218" s="5" t="s">
        <v>37</v>
      </c>
      <c r="E3218" s="5" t="s">
        <v>580</v>
      </c>
      <c r="F3218" s="9">
        <v>23</v>
      </c>
      <c r="G3218" s="9">
        <v>223</v>
      </c>
      <c r="H3218" s="5" t="s">
        <v>20</v>
      </c>
      <c r="I3218" s="5" t="s">
        <v>7263</v>
      </c>
      <c r="J3218" s="12" t="str">
        <f>HYPERLINK("https://www.boe.es/gazeta/dias/1806/03/14/pdfs/GMD-1806-23.pdf#page=11","Abrir facsímil")</f>
        <v>Abrir facsímil</v>
      </c>
      <c r="K3218" s="15" t="s">
        <v>22</v>
      </c>
    </row>
    <row r="3219" spans="1:11" ht="42" customHeight="1">
      <c r="A3219" s="4" t="s">
        <v>7262</v>
      </c>
      <c r="B3219" s="5" t="s">
        <v>7262</v>
      </c>
      <c r="C3219" s="5" t="s">
        <v>17</v>
      </c>
      <c r="D3219" s="5" t="s">
        <v>18</v>
      </c>
      <c r="E3219" s="5" t="s">
        <v>202</v>
      </c>
      <c r="F3219" s="9">
        <v>30</v>
      </c>
      <c r="G3219" s="9">
        <v>296</v>
      </c>
      <c r="H3219" s="5" t="s">
        <v>20</v>
      </c>
      <c r="I3219" s="5" t="s">
        <v>7264</v>
      </c>
      <c r="J3219" s="12" t="str">
        <f>HYPERLINK("https://www.boe.es/gazeta/dias/1806/04/08/pdfs/GMD-1806-30.pdf#page=8","Abrir facsímil")</f>
        <v>Abrir facsímil</v>
      </c>
      <c r="K3219" s="15" t="s">
        <v>22</v>
      </c>
    </row>
    <row r="3220" spans="1:11" ht="42" customHeight="1">
      <c r="A3220" s="4" t="s">
        <v>7265</v>
      </c>
      <c r="B3220" s="5" t="s">
        <v>7265</v>
      </c>
      <c r="C3220" s="5" t="s">
        <v>31</v>
      </c>
      <c r="D3220" s="5" t="s">
        <v>32</v>
      </c>
      <c r="E3220" s="5" t="s">
        <v>76</v>
      </c>
      <c r="F3220" s="9">
        <v>98</v>
      </c>
      <c r="G3220" s="9">
        <v>1043</v>
      </c>
      <c r="H3220" s="5" t="s">
        <v>20</v>
      </c>
      <c r="I3220" s="5" t="s">
        <v>7266</v>
      </c>
      <c r="J3220" s="12" t="str">
        <f>HYPERLINK("https://www.boe.es/gazeta/dias/1806/12/02/pdfs/GMD-1806-98.pdf#page=11","Abrir facsímil")</f>
        <v>Abrir facsímil</v>
      </c>
      <c r="K3220" s="15" t="s">
        <v>22</v>
      </c>
    </row>
    <row r="3221" spans="1:11" ht="42" customHeight="1">
      <c r="A3221" s="4" t="s">
        <v>7267</v>
      </c>
      <c r="B3221" s="5" t="s">
        <v>7267</v>
      </c>
      <c r="C3221" s="5" t="s">
        <v>31</v>
      </c>
      <c r="D3221" s="5" t="s">
        <v>32</v>
      </c>
      <c r="E3221" s="5" t="s">
        <v>205</v>
      </c>
      <c r="F3221" s="9">
        <v>57</v>
      </c>
      <c r="G3221" s="9">
        <v>594</v>
      </c>
      <c r="H3221" s="5" t="s">
        <v>20</v>
      </c>
      <c r="I3221" s="5" t="s">
        <v>7268</v>
      </c>
      <c r="J3221" s="12" t="str">
        <f>HYPERLINK("https://www.boe.es/gazeta/dias/1806/07/11/pdfs/GMD-1806-57.pdf#page=6","Abrir facsímil")</f>
        <v>Abrir facsímil</v>
      </c>
      <c r="K3221" s="15" t="s">
        <v>22</v>
      </c>
    </row>
    <row r="3222" spans="1:11" ht="42" customHeight="1">
      <c r="A3222" s="4" t="s">
        <v>7267</v>
      </c>
      <c r="B3222" s="5" t="s">
        <v>7267</v>
      </c>
      <c r="C3222" s="5" t="s">
        <v>31</v>
      </c>
      <c r="D3222" s="5" t="s">
        <v>32</v>
      </c>
      <c r="E3222" s="5" t="s">
        <v>140</v>
      </c>
      <c r="F3222" s="9">
        <v>83</v>
      </c>
      <c r="G3222" s="9">
        <v>860</v>
      </c>
      <c r="H3222" s="5" t="s">
        <v>20</v>
      </c>
      <c r="I3222" s="5" t="s">
        <v>7269</v>
      </c>
      <c r="J3222" s="12" t="str">
        <f>HYPERLINK("https://www.boe.es/gazeta/dias/1806/10/10/pdfs/GMD-1806-83.pdf#page=8","Abrir facsímil")</f>
        <v>Abrir facsímil</v>
      </c>
      <c r="K3222" s="15" t="s">
        <v>22</v>
      </c>
    </row>
    <row r="3223" spans="1:11" ht="42" customHeight="1">
      <c r="A3223" s="4" t="s">
        <v>7270</v>
      </c>
      <c r="B3223" s="5" t="s">
        <v>7270</v>
      </c>
      <c r="C3223" s="5" t="s">
        <v>31</v>
      </c>
      <c r="D3223" s="5" t="s">
        <v>32</v>
      </c>
      <c r="E3223" s="5" t="s">
        <v>810</v>
      </c>
      <c r="F3223" s="9">
        <v>71</v>
      </c>
      <c r="G3223" s="9">
        <v>739</v>
      </c>
      <c r="H3223" s="5" t="s">
        <v>20</v>
      </c>
      <c r="I3223" s="5" t="s">
        <v>7271</v>
      </c>
      <c r="J3223" s="12" t="str">
        <f>HYPERLINK("https://www.boe.es/gazeta/dias/1806/08/29/pdfs/GMD-1806-71.pdf#page=7","Abrir facsímil")</f>
        <v>Abrir facsímil</v>
      </c>
      <c r="K3223" s="15" t="s">
        <v>22</v>
      </c>
    </row>
    <row r="3224" spans="1:11" ht="42" customHeight="1">
      <c r="A3224" s="4" t="s">
        <v>7272</v>
      </c>
      <c r="B3224" s="5" t="s">
        <v>7272</v>
      </c>
      <c r="C3224" s="5" t="s">
        <v>31</v>
      </c>
      <c r="D3224" s="5" t="s">
        <v>32</v>
      </c>
      <c r="E3224" s="5" t="s">
        <v>93</v>
      </c>
      <c r="F3224" s="9">
        <v>72</v>
      </c>
      <c r="G3224" s="9">
        <v>748</v>
      </c>
      <c r="H3224" s="5" t="s">
        <v>20</v>
      </c>
      <c r="I3224" s="5" t="s">
        <v>7273</v>
      </c>
      <c r="J3224" s="12" t="str">
        <f>HYPERLINK("https://www.boe.es/gazeta/dias/1806/09/02/pdfs/GMD-1806-72.pdf#page=8","Abrir facsímil")</f>
        <v>Abrir facsímil</v>
      </c>
      <c r="K3224" s="15" t="s">
        <v>22</v>
      </c>
    </row>
    <row r="3225" spans="1:11" ht="42" customHeight="1">
      <c r="A3225" s="4" t="s">
        <v>7274</v>
      </c>
      <c r="B3225" s="5" t="s">
        <v>7274</v>
      </c>
      <c r="C3225" s="5" t="s">
        <v>31</v>
      </c>
      <c r="D3225" s="5" t="s">
        <v>32</v>
      </c>
      <c r="E3225" s="5" t="s">
        <v>580</v>
      </c>
      <c r="F3225" s="9">
        <v>23</v>
      </c>
      <c r="G3225" s="9">
        <v>219</v>
      </c>
      <c r="H3225" s="5" t="s">
        <v>20</v>
      </c>
      <c r="I3225" s="5" t="s">
        <v>7275</v>
      </c>
      <c r="J3225" s="12" t="str">
        <f>HYPERLINK("https://www.boe.es/gazeta/dias/1806/03/14/pdfs/GMD-1806-23.pdf#page=7","Abrir facsímil")</f>
        <v>Abrir facsímil</v>
      </c>
      <c r="K3225" s="15" t="s">
        <v>22</v>
      </c>
    </row>
    <row r="3226" spans="1:11" ht="42" customHeight="1">
      <c r="A3226" s="4" t="s">
        <v>7276</v>
      </c>
      <c r="B3226" s="5" t="s">
        <v>7276</v>
      </c>
      <c r="C3226" s="5" t="s">
        <v>17</v>
      </c>
      <c r="D3226" s="5" t="s">
        <v>18</v>
      </c>
      <c r="E3226" s="5" t="s">
        <v>580</v>
      </c>
      <c r="F3226" s="9">
        <v>23</v>
      </c>
      <c r="G3226" s="9">
        <v>219</v>
      </c>
      <c r="H3226" s="5" t="s">
        <v>20</v>
      </c>
      <c r="I3226" s="5" t="s">
        <v>7277</v>
      </c>
      <c r="J3226" s="12" t="str">
        <f>HYPERLINK("https://www.boe.es/gazeta/dias/1806/03/14/pdfs/GMD-1806-23.pdf#page=7","Abrir facsímil")</f>
        <v>Abrir facsímil</v>
      </c>
      <c r="K3226" s="15" t="s">
        <v>22</v>
      </c>
    </row>
    <row r="3227" spans="1:11" ht="42" customHeight="1">
      <c r="A3227" s="4" t="s">
        <v>7278</v>
      </c>
      <c r="B3227" s="5" t="s">
        <v>7278</v>
      </c>
      <c r="C3227" s="5" t="s">
        <v>75</v>
      </c>
      <c r="D3227" s="5" t="s">
        <v>43</v>
      </c>
      <c r="E3227" s="5" t="s">
        <v>494</v>
      </c>
      <c r="F3227" s="9">
        <v>69</v>
      </c>
      <c r="G3227" s="9">
        <v>723</v>
      </c>
      <c r="H3227" s="5" t="s">
        <v>20</v>
      </c>
      <c r="I3227" s="5" t="s">
        <v>7279</v>
      </c>
      <c r="J3227" s="12" t="str">
        <f>HYPERLINK("https://www.boe.es/gazeta/dias/1806/08/22/pdfs/GMD-1806-69.pdf#page=11","Abrir facsímil")</f>
        <v>Abrir facsímil</v>
      </c>
      <c r="K3227" s="15" t="s">
        <v>22</v>
      </c>
    </row>
    <row r="3228" spans="1:11" ht="42" customHeight="1">
      <c r="A3228" s="4" t="s">
        <v>7280</v>
      </c>
      <c r="B3228" s="5" t="s">
        <v>7280</v>
      </c>
      <c r="C3228" s="5" t="s">
        <v>17</v>
      </c>
      <c r="D3228" s="5" t="s">
        <v>18</v>
      </c>
      <c r="E3228" s="5" t="s">
        <v>55</v>
      </c>
      <c r="F3228" s="9">
        <v>20</v>
      </c>
      <c r="G3228" s="9">
        <v>183</v>
      </c>
      <c r="H3228" s="5" t="s">
        <v>20</v>
      </c>
      <c r="I3228" s="5" t="s">
        <v>7281</v>
      </c>
      <c r="J3228" s="12" t="str">
        <f>HYPERLINK("https://www.boe.es/gazeta/dias/1806/03/04/pdfs/GMD-1806-20.pdf#page=7","Abrir facsímil")</f>
        <v>Abrir facsímil</v>
      </c>
      <c r="K3228" s="15" t="s">
        <v>22</v>
      </c>
    </row>
    <row r="3229" spans="1:11" ht="42" customHeight="1">
      <c r="A3229" s="4" t="s">
        <v>7282</v>
      </c>
      <c r="B3229" s="5" t="s">
        <v>7282</v>
      </c>
      <c r="C3229" s="5" t="s">
        <v>31</v>
      </c>
      <c r="D3229" s="5" t="s">
        <v>32</v>
      </c>
      <c r="E3229" s="5" t="s">
        <v>271</v>
      </c>
      <c r="F3229" s="9">
        <v>6</v>
      </c>
      <c r="G3229" s="9">
        <v>54</v>
      </c>
      <c r="H3229" s="5" t="s">
        <v>20</v>
      </c>
      <c r="I3229" s="5" t="s">
        <v>7283</v>
      </c>
      <c r="J3229" s="12" t="str">
        <f>HYPERLINK("https://www.boe.es/gazeta/dias/1806/01/17/pdfs/GMD-1806-6.pdf#page=10","Abrir facsímil")</f>
        <v>Abrir facsímil</v>
      </c>
      <c r="K3229" s="15" t="s">
        <v>22</v>
      </c>
    </row>
    <row r="3230" spans="1:11" ht="42" customHeight="1">
      <c r="A3230" s="4" t="s">
        <v>7284</v>
      </c>
      <c r="B3230" s="5" t="s">
        <v>7284</v>
      </c>
      <c r="C3230" s="5" t="s">
        <v>31</v>
      </c>
      <c r="D3230" s="5" t="s">
        <v>32</v>
      </c>
      <c r="E3230" s="5" t="s">
        <v>127</v>
      </c>
      <c r="F3230" s="9">
        <v>81</v>
      </c>
      <c r="G3230" s="9">
        <v>838</v>
      </c>
      <c r="H3230" s="5" t="s">
        <v>20</v>
      </c>
      <c r="I3230" s="5" t="s">
        <v>7285</v>
      </c>
      <c r="J3230" s="12" t="str">
        <f>HYPERLINK("https://www.boe.es/gazeta/dias/1806/10/03/pdfs/GMD-1806-81.pdf#page=6","Abrir facsímil")</f>
        <v>Abrir facsímil</v>
      </c>
      <c r="K3230" s="15" t="s">
        <v>22</v>
      </c>
    </row>
    <row r="3231" spans="1:11" ht="42" customHeight="1">
      <c r="A3231" s="4" t="s">
        <v>7286</v>
      </c>
      <c r="B3231" s="5" t="s">
        <v>7286</v>
      </c>
      <c r="C3231" s="5" t="s">
        <v>42</v>
      </c>
      <c r="D3231" s="5" t="s">
        <v>43</v>
      </c>
      <c r="E3231" s="5" t="s">
        <v>185</v>
      </c>
      <c r="F3231" s="9">
        <v>46</v>
      </c>
      <c r="G3231" s="9">
        <v>468</v>
      </c>
      <c r="H3231" s="5" t="s">
        <v>20</v>
      </c>
      <c r="I3231" s="5" t="s">
        <v>7287</v>
      </c>
      <c r="J3231" s="12" t="str">
        <f>HYPERLINK("https://www.boe.es/gazeta/dias/1806/06/03/pdfs/GMD-1806-46.pdf#page=8","Abrir facsímil")</f>
        <v>Abrir facsímil</v>
      </c>
      <c r="K3231" s="15" t="s">
        <v>22</v>
      </c>
    </row>
    <row r="3232" spans="1:11" ht="42" customHeight="1">
      <c r="A3232" s="4" t="s">
        <v>7288</v>
      </c>
      <c r="B3232" s="5" t="s">
        <v>7288</v>
      </c>
      <c r="C3232" s="5" t="s">
        <v>31</v>
      </c>
      <c r="D3232" s="5" t="s">
        <v>32</v>
      </c>
      <c r="E3232" s="5" t="s">
        <v>100</v>
      </c>
      <c r="F3232" s="9">
        <v>7</v>
      </c>
      <c r="G3232" s="9">
        <v>65</v>
      </c>
      <c r="H3232" s="5" t="s">
        <v>20</v>
      </c>
      <c r="I3232" s="5" t="s">
        <v>7289</v>
      </c>
      <c r="J3232" s="12" t="str">
        <f>HYPERLINK("https://www.boe.es/gazeta/dias/1806/01/21/pdfs/GMD-1806-7.pdf#page=9","Abrir facsímil")</f>
        <v>Abrir facsímil</v>
      </c>
      <c r="K3232" s="15" t="s">
        <v>22</v>
      </c>
    </row>
    <row r="3233" spans="1:11" ht="42" customHeight="1">
      <c r="A3233" s="4" t="s">
        <v>7290</v>
      </c>
      <c r="B3233" s="5" t="s">
        <v>7290</v>
      </c>
      <c r="C3233" s="5" t="s">
        <v>17</v>
      </c>
      <c r="D3233" s="5" t="s">
        <v>18</v>
      </c>
      <c r="E3233" s="5" t="s">
        <v>780</v>
      </c>
      <c r="F3233" s="9">
        <v>33</v>
      </c>
      <c r="G3233" s="9">
        <v>328</v>
      </c>
      <c r="H3233" s="5" t="s">
        <v>20</v>
      </c>
      <c r="I3233" s="5" t="s">
        <v>7291</v>
      </c>
      <c r="J3233" s="12" t="str">
        <f>HYPERLINK("https://www.boe.es/gazeta/dias/1806/04/18/pdfs/GMD-1806-33.pdf#page=8","Abrir facsímil")</f>
        <v>Abrir facsímil</v>
      </c>
      <c r="K3233" s="15" t="s">
        <v>22</v>
      </c>
    </row>
    <row r="3234" spans="1:11" ht="42" customHeight="1">
      <c r="A3234" s="4" t="s">
        <v>7290</v>
      </c>
      <c r="B3234" s="5" t="s">
        <v>7290</v>
      </c>
      <c r="C3234" s="5" t="s">
        <v>17</v>
      </c>
      <c r="D3234" s="5" t="s">
        <v>18</v>
      </c>
      <c r="E3234" s="5" t="s">
        <v>367</v>
      </c>
      <c r="F3234" s="9">
        <v>87</v>
      </c>
      <c r="G3234" s="9">
        <v>904</v>
      </c>
      <c r="H3234" s="5" t="s">
        <v>20</v>
      </c>
      <c r="I3234" s="5" t="s">
        <v>7292</v>
      </c>
      <c r="J3234" s="12" t="str">
        <f>HYPERLINK("https://www.boe.es/gazeta/dias/1806/10/24/pdfs/GMD-1806-87.pdf#page=12","Abrir facsímil")</f>
        <v>Abrir facsímil</v>
      </c>
      <c r="K3234" s="15" t="s">
        <v>22</v>
      </c>
    </row>
    <row r="3235" spans="1:11" ht="42" customHeight="1">
      <c r="A3235" s="4" t="s">
        <v>7293</v>
      </c>
      <c r="B3235" s="5" t="s">
        <v>7293</v>
      </c>
      <c r="C3235" s="5" t="s">
        <v>17</v>
      </c>
      <c r="D3235" s="5" t="s">
        <v>18</v>
      </c>
      <c r="E3235" s="5" t="s">
        <v>220</v>
      </c>
      <c r="F3235" s="9">
        <v>24</v>
      </c>
      <c r="G3235" s="9">
        <v>234</v>
      </c>
      <c r="H3235" s="5" t="s">
        <v>20</v>
      </c>
      <c r="I3235" s="5" t="s">
        <v>7294</v>
      </c>
      <c r="J3235" s="12" t="str">
        <f>HYPERLINK("https://www.boe.es/gazeta/dias/1806/03/18/pdfs/GMD-1806-24.pdf#page=10","Abrir facsímil")</f>
        <v>Abrir facsímil</v>
      </c>
      <c r="K3235" s="15" t="s">
        <v>22</v>
      </c>
    </row>
    <row r="3236" spans="1:11" ht="42" customHeight="1">
      <c r="A3236" s="4" t="s">
        <v>7293</v>
      </c>
      <c r="B3236" s="5" t="s">
        <v>7293</v>
      </c>
      <c r="C3236" s="5" t="s">
        <v>75</v>
      </c>
      <c r="D3236" s="5" t="s">
        <v>43</v>
      </c>
      <c r="E3236" s="5" t="s">
        <v>90</v>
      </c>
      <c r="F3236" s="9">
        <v>60</v>
      </c>
      <c r="G3236" s="9">
        <v>625</v>
      </c>
      <c r="H3236" s="5" t="s">
        <v>20</v>
      </c>
      <c r="I3236" s="5" t="s">
        <v>7295</v>
      </c>
      <c r="J3236" s="12" t="str">
        <f>HYPERLINK("https://www.boe.es/gazeta/dias/1806/07/22/pdfs/GMD-1806-60.pdf#page=9","Abrir facsímil")</f>
        <v>Abrir facsímil</v>
      </c>
      <c r="K3236" s="15" t="s">
        <v>22</v>
      </c>
    </row>
    <row r="3237" spans="1:11" ht="42" customHeight="1">
      <c r="A3237" s="4" t="s">
        <v>7293</v>
      </c>
      <c r="B3237" s="5" t="s">
        <v>7293</v>
      </c>
      <c r="C3237" s="5" t="s">
        <v>75</v>
      </c>
      <c r="D3237" s="5" t="s">
        <v>43</v>
      </c>
      <c r="E3237" s="5" t="s">
        <v>209</v>
      </c>
      <c r="F3237" s="9">
        <v>95</v>
      </c>
      <c r="G3237" s="9">
        <v>1007</v>
      </c>
      <c r="H3237" s="5" t="s">
        <v>20</v>
      </c>
      <c r="I3237" s="5" t="s">
        <v>7296</v>
      </c>
      <c r="J3237" s="12" t="str">
        <f>HYPERLINK("https://www.boe.es/gazeta/dias/1806/11/21/pdfs/GMD-1806-95.pdf#page=15","Abrir facsímil")</f>
        <v>Abrir facsímil</v>
      </c>
      <c r="K3237" s="15" t="s">
        <v>22</v>
      </c>
    </row>
    <row r="3238" spans="1:11" ht="42" customHeight="1">
      <c r="A3238" s="4" t="s">
        <v>7297</v>
      </c>
      <c r="B3238" s="5" t="s">
        <v>7297</v>
      </c>
      <c r="C3238" s="5" t="s">
        <v>31</v>
      </c>
      <c r="D3238" s="5" t="s">
        <v>32</v>
      </c>
      <c r="E3238" s="5" t="s">
        <v>172</v>
      </c>
      <c r="F3238" s="9">
        <v>17</v>
      </c>
      <c r="G3238" s="9">
        <v>151</v>
      </c>
      <c r="H3238" s="5" t="s">
        <v>20</v>
      </c>
      <c r="I3238" s="5" t="s">
        <v>7298</v>
      </c>
      <c r="J3238" s="12" t="str">
        <f>HYPERLINK("https://www.boe.es/gazeta/dias/1806/02/21/pdfs/GMD-1806-17.pdf#page=7","Abrir facsímil")</f>
        <v>Abrir facsímil</v>
      </c>
      <c r="K3238" s="15" t="s">
        <v>22</v>
      </c>
    </row>
    <row r="3239" spans="1:11" ht="42" customHeight="1">
      <c r="A3239" s="4" t="s">
        <v>7299</v>
      </c>
      <c r="B3239" s="5" t="s">
        <v>7299</v>
      </c>
      <c r="C3239" s="5" t="s">
        <v>31</v>
      </c>
      <c r="D3239" s="5" t="s">
        <v>32</v>
      </c>
      <c r="E3239" s="5" t="s">
        <v>100</v>
      </c>
      <c r="F3239" s="9">
        <v>7</v>
      </c>
      <c r="G3239" s="9">
        <v>65</v>
      </c>
      <c r="H3239" s="5" t="s">
        <v>20</v>
      </c>
      <c r="I3239" s="5" t="s">
        <v>7300</v>
      </c>
      <c r="J3239" s="12" t="str">
        <f>HYPERLINK("https://www.boe.es/gazeta/dias/1806/01/21/pdfs/GMD-1806-7.pdf#page=9","Abrir facsímil")</f>
        <v>Abrir facsímil</v>
      </c>
      <c r="K3239" s="15" t="s">
        <v>22</v>
      </c>
    </row>
    <row r="3240" spans="1:11" ht="42" customHeight="1">
      <c r="A3240" s="4" t="s">
        <v>7301</v>
      </c>
      <c r="B3240" s="5" t="s">
        <v>7301</v>
      </c>
      <c r="C3240" s="5" t="s">
        <v>36</v>
      </c>
      <c r="D3240" s="5" t="s">
        <v>37</v>
      </c>
      <c r="E3240" s="5" t="s">
        <v>494</v>
      </c>
      <c r="F3240" s="9">
        <v>69</v>
      </c>
      <c r="G3240" s="9">
        <v>724</v>
      </c>
      <c r="H3240" s="5" t="s">
        <v>20</v>
      </c>
      <c r="I3240" s="5" t="s">
        <v>7302</v>
      </c>
      <c r="J3240" s="12" t="str">
        <f>HYPERLINK("https://www.boe.es/gazeta/dias/1806/08/22/pdfs/GMD-1806-69.pdf#page=12","Abrir facsímil")</f>
        <v>Abrir facsímil</v>
      </c>
      <c r="K3240" s="15" t="s">
        <v>22</v>
      </c>
    </row>
    <row r="3241" spans="1:11" ht="42" customHeight="1">
      <c r="A3241" s="4" t="s">
        <v>7301</v>
      </c>
      <c r="B3241" s="5" t="s">
        <v>7301</v>
      </c>
      <c r="C3241" s="5" t="s">
        <v>36</v>
      </c>
      <c r="D3241" s="5" t="s">
        <v>37</v>
      </c>
      <c r="E3241" s="5" t="s">
        <v>191</v>
      </c>
      <c r="F3241" s="9">
        <v>103</v>
      </c>
      <c r="G3241" s="9">
        <v>1100</v>
      </c>
      <c r="H3241" s="5" t="s">
        <v>20</v>
      </c>
      <c r="I3241" s="5" t="s">
        <v>7303</v>
      </c>
      <c r="J3241" s="12" t="str">
        <f>HYPERLINK("https://www.boe.es/gazeta/dias/1806/12/19/pdfs/GMD-1806-103.pdf#page=12","Abrir facsímil")</f>
        <v>Abrir facsímil</v>
      </c>
      <c r="K3241" s="15" t="s">
        <v>22</v>
      </c>
    </row>
    <row r="3242" spans="1:11" ht="42" customHeight="1">
      <c r="A3242" s="4" t="s">
        <v>7304</v>
      </c>
      <c r="B3242" s="5" t="s">
        <v>7304</v>
      </c>
      <c r="C3242" s="5" t="s">
        <v>31</v>
      </c>
      <c r="D3242" s="5" t="s">
        <v>32</v>
      </c>
      <c r="E3242" s="5" t="s">
        <v>285</v>
      </c>
      <c r="F3242" s="9">
        <v>13</v>
      </c>
      <c r="G3242" s="9">
        <v>115</v>
      </c>
      <c r="H3242" s="5" t="s">
        <v>20</v>
      </c>
      <c r="I3242" s="5" t="s">
        <v>7305</v>
      </c>
      <c r="J3242" s="12" t="str">
        <f>HYPERLINK("https://www.boe.es/gazeta/dias/1806/02/07/pdfs/GMD-1806-13.pdf#page=7","Abrir facsímil")</f>
        <v>Abrir facsímil</v>
      </c>
      <c r="K3242" s="15" t="s">
        <v>22</v>
      </c>
    </row>
    <row r="3243" spans="1:11" ht="42" customHeight="1">
      <c r="A3243" s="4" t="s">
        <v>7306</v>
      </c>
      <c r="B3243" s="5" t="s">
        <v>7306</v>
      </c>
      <c r="C3243" s="5" t="s">
        <v>31</v>
      </c>
      <c r="D3243" s="5" t="s">
        <v>32</v>
      </c>
      <c r="E3243" s="5" t="s">
        <v>181</v>
      </c>
      <c r="F3243" s="9">
        <v>99</v>
      </c>
      <c r="G3243" s="9">
        <v>1053</v>
      </c>
      <c r="H3243" s="5" t="s">
        <v>20</v>
      </c>
      <c r="I3243" s="5" t="s">
        <v>7307</v>
      </c>
      <c r="J3243" s="12" t="str">
        <f>HYPERLINK("https://www.boe.es/gazeta/dias/1806/12/05/pdfs/GMD-1806-99.pdf#page=9","Abrir facsímil")</f>
        <v>Abrir facsímil</v>
      </c>
      <c r="K3243" s="15" t="s">
        <v>22</v>
      </c>
    </row>
    <row r="3244" spans="1:11" ht="42" customHeight="1">
      <c r="A3244" s="4" t="s">
        <v>7308</v>
      </c>
      <c r="B3244" s="5" t="s">
        <v>7308</v>
      </c>
      <c r="C3244" s="5" t="s">
        <v>17</v>
      </c>
      <c r="D3244" s="5" t="s">
        <v>18</v>
      </c>
      <c r="E3244" s="5" t="s">
        <v>220</v>
      </c>
      <c r="F3244" s="9">
        <v>24</v>
      </c>
      <c r="G3244" s="9">
        <v>232</v>
      </c>
      <c r="H3244" s="5" t="s">
        <v>20</v>
      </c>
      <c r="I3244" s="5" t="s">
        <v>7309</v>
      </c>
      <c r="J3244" s="12" t="str">
        <f>HYPERLINK("https://www.boe.es/gazeta/dias/1806/03/18/pdfs/GMD-1806-24.pdf#page=8","Abrir facsímil")</f>
        <v>Abrir facsímil</v>
      </c>
      <c r="K3244" s="15" t="s">
        <v>22</v>
      </c>
    </row>
    <row r="3245" spans="1:11" ht="42" customHeight="1">
      <c r="A3245" s="4" t="s">
        <v>7310</v>
      </c>
      <c r="B3245" s="5" t="s">
        <v>7310</v>
      </c>
      <c r="C3245" s="5" t="s">
        <v>31</v>
      </c>
      <c r="D3245" s="5" t="s">
        <v>32</v>
      </c>
      <c r="E3245" s="5" t="s">
        <v>227</v>
      </c>
      <c r="F3245" s="9">
        <v>27</v>
      </c>
      <c r="G3245" s="9">
        <v>269</v>
      </c>
      <c r="H3245" s="5" t="s">
        <v>20</v>
      </c>
      <c r="I3245" s="5" t="s">
        <v>7311</v>
      </c>
      <c r="J3245" s="12" t="str">
        <f>HYPERLINK("https://www.boe.es/gazeta/dias/1806/03/28/pdfs/GMD-1806-27.pdf#page=9","Abrir facsímil")</f>
        <v>Abrir facsímil</v>
      </c>
      <c r="K3245" s="15" t="s">
        <v>22</v>
      </c>
    </row>
    <row r="3246" spans="1:11" ht="42" customHeight="1">
      <c r="A3246" s="4" t="s">
        <v>7312</v>
      </c>
      <c r="B3246" s="5" t="s">
        <v>7312</v>
      </c>
      <c r="C3246" s="5" t="s">
        <v>31</v>
      </c>
      <c r="D3246" s="5" t="s">
        <v>32</v>
      </c>
      <c r="E3246" s="5" t="s">
        <v>79</v>
      </c>
      <c r="F3246" s="9">
        <v>68</v>
      </c>
      <c r="G3246" s="9">
        <v>709</v>
      </c>
      <c r="H3246" s="5" t="s">
        <v>20</v>
      </c>
      <c r="I3246" s="5" t="s">
        <v>7313</v>
      </c>
      <c r="J3246" s="12" t="str">
        <f>HYPERLINK("https://www.boe.es/gazeta/dias/1806/08/19/pdfs/GMD-1806-68.pdf#page=5","Abrir facsímil")</f>
        <v>Abrir facsímil</v>
      </c>
      <c r="K3246" s="15" t="s">
        <v>22</v>
      </c>
    </row>
    <row r="3247" spans="1:11" ht="42" customHeight="1">
      <c r="A3247" s="4" t="s">
        <v>7314</v>
      </c>
      <c r="B3247" s="5" t="s">
        <v>7314</v>
      </c>
      <c r="C3247" s="5" t="s">
        <v>17</v>
      </c>
      <c r="D3247" s="5" t="s">
        <v>18</v>
      </c>
      <c r="E3247" s="5" t="s">
        <v>76</v>
      </c>
      <c r="F3247" s="9">
        <v>98</v>
      </c>
      <c r="G3247" s="9">
        <v>1043</v>
      </c>
      <c r="H3247" s="5" t="s">
        <v>20</v>
      </c>
      <c r="I3247" s="5" t="s">
        <v>7315</v>
      </c>
      <c r="J3247" s="12" t="str">
        <f>HYPERLINK("https://www.boe.es/gazeta/dias/1806/12/02/pdfs/GMD-1806-98.pdf#page=11","Abrir facsímil")</f>
        <v>Abrir facsímil</v>
      </c>
      <c r="K3247" s="15" t="s">
        <v>22</v>
      </c>
    </row>
    <row r="3248" spans="1:11" ht="42" customHeight="1">
      <c r="A3248" s="4" t="s">
        <v>7316</v>
      </c>
      <c r="B3248" s="5" t="s">
        <v>7316</v>
      </c>
      <c r="C3248" s="5" t="s">
        <v>31</v>
      </c>
      <c r="D3248" s="5" t="s">
        <v>32</v>
      </c>
      <c r="E3248" s="5" t="s">
        <v>185</v>
      </c>
      <c r="F3248" s="9">
        <v>46</v>
      </c>
      <c r="G3248" s="9">
        <v>469</v>
      </c>
      <c r="H3248" s="5" t="s">
        <v>20</v>
      </c>
      <c r="I3248" s="5" t="s">
        <v>7317</v>
      </c>
      <c r="J3248" s="12" t="str">
        <f>HYPERLINK("https://www.boe.es/gazeta/dias/1806/06/03/pdfs/GMD-1806-46.pdf#page=9","Abrir facsímil")</f>
        <v>Abrir facsímil</v>
      </c>
      <c r="K3248" s="15" t="s">
        <v>22</v>
      </c>
    </row>
    <row r="3249" spans="1:11" ht="42" customHeight="1">
      <c r="A3249" s="4" t="s">
        <v>7318</v>
      </c>
      <c r="B3249" s="5" t="s">
        <v>7318</v>
      </c>
      <c r="C3249" s="5" t="s">
        <v>17</v>
      </c>
      <c r="D3249" s="5" t="s">
        <v>18</v>
      </c>
      <c r="E3249" s="5" t="s">
        <v>26</v>
      </c>
      <c r="F3249" s="9">
        <v>65</v>
      </c>
      <c r="G3249" s="9">
        <v>681</v>
      </c>
      <c r="H3249" s="5" t="s">
        <v>20</v>
      </c>
      <c r="I3249" s="5" t="s">
        <v>7319</v>
      </c>
      <c r="J3249" s="12" t="str">
        <f>HYPERLINK("https://www.boe.es/gazeta/dias/1806/08/08/pdfs/GMD-1806-65.pdf#page=9","Abrir facsímil")</f>
        <v>Abrir facsímil</v>
      </c>
      <c r="K3249" s="15" t="s">
        <v>22</v>
      </c>
    </row>
    <row r="3250" spans="1:11" ht="42" customHeight="1">
      <c r="A3250" s="4" t="s">
        <v>7320</v>
      </c>
      <c r="B3250" s="5" t="s">
        <v>7320</v>
      </c>
      <c r="C3250" s="5" t="s">
        <v>42</v>
      </c>
      <c r="D3250" s="5" t="s">
        <v>43</v>
      </c>
      <c r="E3250" s="5" t="s">
        <v>309</v>
      </c>
      <c r="F3250" s="9">
        <v>41</v>
      </c>
      <c r="G3250" s="9">
        <v>407</v>
      </c>
      <c r="H3250" s="5" t="s">
        <v>20</v>
      </c>
      <c r="I3250" s="5" t="s">
        <v>7321</v>
      </c>
      <c r="J3250" s="12" t="str">
        <f>HYPERLINK("https://www.boe.es/gazeta/dias/1806/05/16/pdfs/GMD-1806-41.pdf#page=7","Abrir facsímil")</f>
        <v>Abrir facsímil</v>
      </c>
      <c r="K3250" s="15" t="s">
        <v>22</v>
      </c>
    </row>
    <row r="3251" spans="1:11" ht="42" customHeight="1">
      <c r="A3251" s="4" t="s">
        <v>7322</v>
      </c>
      <c r="B3251" s="5" t="s">
        <v>7322</v>
      </c>
      <c r="C3251" s="5" t="s">
        <v>31</v>
      </c>
      <c r="D3251" s="5" t="s">
        <v>32</v>
      </c>
      <c r="E3251" s="5" t="s">
        <v>946</v>
      </c>
      <c r="F3251" s="9" t="s">
        <v>947</v>
      </c>
      <c r="G3251" s="9">
        <v>1115</v>
      </c>
      <c r="H3251" s="5" t="s">
        <v>20</v>
      </c>
      <c r="I3251" s="5" t="s">
        <v>7323</v>
      </c>
      <c r="J3251" s="12" t="str">
        <f>HYPERLINK("https://www.boe.es/gazeta/dias/1806/12/24/pdfs/GMD-1806-105E.pdf#page=3","Abrir facsímil")</f>
        <v>Abrir facsímil</v>
      </c>
      <c r="K3251" s="15" t="s">
        <v>22</v>
      </c>
    </row>
    <row r="3252" spans="1:11" ht="42" customHeight="1">
      <c r="A3252" s="4" t="s">
        <v>7324</v>
      </c>
      <c r="B3252" s="5" t="s">
        <v>7324</v>
      </c>
      <c r="C3252" s="5" t="s">
        <v>31</v>
      </c>
      <c r="D3252" s="5" t="s">
        <v>32</v>
      </c>
      <c r="E3252" s="5" t="s">
        <v>130</v>
      </c>
      <c r="F3252" s="9">
        <v>66</v>
      </c>
      <c r="G3252" s="9">
        <v>690</v>
      </c>
      <c r="H3252" s="5" t="s">
        <v>20</v>
      </c>
      <c r="I3252" s="5" t="s">
        <v>7325</v>
      </c>
      <c r="J3252" s="12" t="str">
        <f>HYPERLINK("https://www.boe.es/gazeta/dias/1806/08/12/pdfs/GMD-1806-66.pdf#page=6","Abrir facsímil")</f>
        <v>Abrir facsímil</v>
      </c>
      <c r="K3252" s="15" t="s">
        <v>22</v>
      </c>
    </row>
    <row r="3253" spans="1:11" ht="42" customHeight="1">
      <c r="A3253" s="4" t="s">
        <v>7326</v>
      </c>
      <c r="B3253" s="5" t="s">
        <v>7326</v>
      </c>
      <c r="C3253" s="5" t="s">
        <v>31</v>
      </c>
      <c r="D3253" s="5" t="s">
        <v>32</v>
      </c>
      <c r="E3253" s="5" t="s">
        <v>297</v>
      </c>
      <c r="F3253" s="9">
        <v>94</v>
      </c>
      <c r="G3253" s="9">
        <v>989</v>
      </c>
      <c r="H3253" s="5" t="s">
        <v>20</v>
      </c>
      <c r="I3253" s="5" t="s">
        <v>7327</v>
      </c>
      <c r="J3253" s="12" t="str">
        <f>HYPERLINK("https://www.boe.es/gazeta/dias/1806/11/18/pdfs/GMD-1806-94.pdf#page=9","Abrir facsímil")</f>
        <v>Abrir facsímil</v>
      </c>
      <c r="K3253" s="15" t="s">
        <v>22</v>
      </c>
    </row>
    <row r="3254" spans="1:11" ht="42" customHeight="1">
      <c r="A3254" s="4" t="s">
        <v>7328</v>
      </c>
      <c r="B3254" s="5" t="s">
        <v>7328</v>
      </c>
      <c r="C3254" s="5" t="s">
        <v>17</v>
      </c>
      <c r="D3254" s="5" t="s">
        <v>18</v>
      </c>
      <c r="E3254" s="5" t="s">
        <v>271</v>
      </c>
      <c r="F3254" s="9">
        <v>6</v>
      </c>
      <c r="G3254" s="9">
        <v>54</v>
      </c>
      <c r="H3254" s="5" t="s">
        <v>20</v>
      </c>
      <c r="I3254" s="5" t="s">
        <v>7329</v>
      </c>
      <c r="J3254" s="12" t="str">
        <f>HYPERLINK("https://www.boe.es/gazeta/dias/1806/01/17/pdfs/GMD-1806-6.pdf#page=10","Abrir facsímil")</f>
        <v>Abrir facsímil</v>
      </c>
      <c r="K3254" s="15" t="s">
        <v>22</v>
      </c>
    </row>
    <row r="3255" spans="1:11" ht="42" customHeight="1">
      <c r="A3255" s="4" t="s">
        <v>7330</v>
      </c>
      <c r="B3255" s="5" t="s">
        <v>7330</v>
      </c>
      <c r="C3255" s="5" t="s">
        <v>31</v>
      </c>
      <c r="D3255" s="5" t="s">
        <v>32</v>
      </c>
      <c r="E3255" s="5" t="s">
        <v>144</v>
      </c>
      <c r="F3255" s="9">
        <v>79</v>
      </c>
      <c r="G3255" s="9">
        <v>818</v>
      </c>
      <c r="H3255" s="5" t="s">
        <v>20</v>
      </c>
      <c r="I3255" s="5" t="s">
        <v>7331</v>
      </c>
      <c r="J3255" s="12" t="str">
        <f>HYPERLINK("https://www.boe.es/gazeta/dias/1806/09/26/pdfs/GMD-1806-79.pdf#page=10","Abrir facsímil")</f>
        <v>Abrir facsímil</v>
      </c>
      <c r="K3255" s="15" t="s">
        <v>22</v>
      </c>
    </row>
    <row r="3256" spans="1:11" ht="42" customHeight="1">
      <c r="A3256" s="4" t="s">
        <v>7332</v>
      </c>
      <c r="B3256" s="5" t="s">
        <v>7332</v>
      </c>
      <c r="C3256" s="5" t="s">
        <v>36</v>
      </c>
      <c r="D3256" s="5" t="s">
        <v>37</v>
      </c>
      <c r="E3256" s="5" t="s">
        <v>580</v>
      </c>
      <c r="F3256" s="9">
        <v>23</v>
      </c>
      <c r="G3256" s="9">
        <v>223</v>
      </c>
      <c r="H3256" s="5" t="s">
        <v>20</v>
      </c>
      <c r="I3256" s="5" t="s">
        <v>7333</v>
      </c>
      <c r="J3256" s="12" t="str">
        <f>HYPERLINK("https://www.boe.es/gazeta/dias/1806/03/14/pdfs/GMD-1806-23.pdf#page=11","Abrir facsímil")</f>
        <v>Abrir facsímil</v>
      </c>
      <c r="K3256" s="15" t="s">
        <v>22</v>
      </c>
    </row>
    <row r="3257" spans="1:11" ht="42" customHeight="1">
      <c r="A3257" s="4" t="s">
        <v>7334</v>
      </c>
      <c r="B3257" s="5" t="s">
        <v>7334</v>
      </c>
      <c r="C3257" s="5" t="s">
        <v>42</v>
      </c>
      <c r="D3257" s="5" t="s">
        <v>43</v>
      </c>
      <c r="E3257" s="5" t="s">
        <v>911</v>
      </c>
      <c r="F3257" s="9">
        <v>64</v>
      </c>
      <c r="G3257" s="9">
        <v>671</v>
      </c>
      <c r="H3257" s="5" t="s">
        <v>20</v>
      </c>
      <c r="I3257" s="5" t="s">
        <v>7335</v>
      </c>
      <c r="J3257" s="12" t="str">
        <f>HYPERLINK("https://www.boe.es/gazeta/dias/1806/08/05/pdfs/GMD-1806-64.pdf#page=7","Abrir facsímil")</f>
        <v>Abrir facsímil</v>
      </c>
      <c r="K3257" s="15" t="s">
        <v>22</v>
      </c>
    </row>
    <row r="3258" spans="1:11" ht="42" customHeight="1">
      <c r="A3258" s="4" t="s">
        <v>7336</v>
      </c>
      <c r="B3258" s="5" t="s">
        <v>7336</v>
      </c>
      <c r="C3258" s="5" t="s">
        <v>17</v>
      </c>
      <c r="D3258" s="5" t="s">
        <v>18</v>
      </c>
      <c r="E3258" s="5" t="s">
        <v>96</v>
      </c>
      <c r="F3258" s="9">
        <v>62</v>
      </c>
      <c r="G3258" s="9">
        <v>648</v>
      </c>
      <c r="H3258" s="5" t="s">
        <v>20</v>
      </c>
      <c r="I3258" s="5" t="s">
        <v>7337</v>
      </c>
      <c r="J3258" s="12" t="str">
        <f>HYPERLINK("https://www.boe.es/gazeta/dias/1806/07/29/pdfs/GMD-1806-62.pdf#page=8","Abrir facsímil")</f>
        <v>Abrir facsímil</v>
      </c>
      <c r="K3258" s="15" t="s">
        <v>22</v>
      </c>
    </row>
    <row r="3259" spans="1:11" ht="42" customHeight="1">
      <c r="A3259" s="4" t="s">
        <v>7338</v>
      </c>
      <c r="B3259" s="5" t="s">
        <v>7338</v>
      </c>
      <c r="C3259" s="5" t="s">
        <v>17</v>
      </c>
      <c r="D3259" s="5" t="s">
        <v>18</v>
      </c>
      <c r="E3259" s="5" t="s">
        <v>55</v>
      </c>
      <c r="F3259" s="9">
        <v>20</v>
      </c>
      <c r="G3259" s="9">
        <v>183</v>
      </c>
      <c r="H3259" s="5" t="s">
        <v>20</v>
      </c>
      <c r="I3259" s="5" t="s">
        <v>7339</v>
      </c>
      <c r="J3259" s="12" t="str">
        <f>HYPERLINK("https://www.boe.es/gazeta/dias/1806/03/04/pdfs/GMD-1806-20.pdf#page=7","Abrir facsímil")</f>
        <v>Abrir facsímil</v>
      </c>
      <c r="K3259" s="15" t="s">
        <v>22</v>
      </c>
    </row>
    <row r="3260" spans="1:11" ht="42" customHeight="1">
      <c r="A3260" s="4" t="s">
        <v>7338</v>
      </c>
      <c r="B3260" s="5" t="s">
        <v>7338</v>
      </c>
      <c r="C3260" s="5" t="s">
        <v>17</v>
      </c>
      <c r="D3260" s="5" t="s">
        <v>18</v>
      </c>
      <c r="E3260" s="5" t="s">
        <v>213</v>
      </c>
      <c r="F3260" s="9">
        <v>73</v>
      </c>
      <c r="G3260" s="9">
        <v>757</v>
      </c>
      <c r="H3260" s="5" t="s">
        <v>20</v>
      </c>
      <c r="I3260" s="5" t="s">
        <v>7340</v>
      </c>
      <c r="J3260" s="12" t="str">
        <f>HYPERLINK("https://www.boe.es/gazeta/dias/1806/09/05/pdfs/GMD-1806-73.pdf#page=5","Abrir facsímil")</f>
        <v>Abrir facsímil</v>
      </c>
      <c r="K3260" s="15" t="s">
        <v>22</v>
      </c>
    </row>
    <row r="3261" spans="1:11" ht="42" customHeight="1">
      <c r="A3261" s="4" t="s">
        <v>7338</v>
      </c>
      <c r="B3261" s="5" t="s">
        <v>7338</v>
      </c>
      <c r="C3261" s="5" t="s">
        <v>36</v>
      </c>
      <c r="D3261" s="5" t="s">
        <v>37</v>
      </c>
      <c r="E3261" s="5" t="s">
        <v>570</v>
      </c>
      <c r="F3261" s="9">
        <v>93</v>
      </c>
      <c r="G3261" s="9">
        <v>979</v>
      </c>
      <c r="H3261" s="5" t="s">
        <v>20</v>
      </c>
      <c r="I3261" s="5" t="s">
        <v>7341</v>
      </c>
      <c r="J3261" s="12" t="str">
        <f>HYPERLINK("https://www.boe.es/gazeta/dias/1806/11/14/pdfs/GMD-1806-93.pdf#page=15","Abrir facsímil")</f>
        <v>Abrir facsímil</v>
      </c>
      <c r="K3261" s="15" t="s">
        <v>22</v>
      </c>
    </row>
    <row r="3262" spans="1:11" ht="42" customHeight="1">
      <c r="A3262" s="4" t="s">
        <v>7342</v>
      </c>
      <c r="B3262" s="5" t="s">
        <v>7343</v>
      </c>
      <c r="C3262" s="5" t="s">
        <v>42</v>
      </c>
      <c r="D3262" s="5" t="s">
        <v>43</v>
      </c>
      <c r="E3262" s="5" t="s">
        <v>62</v>
      </c>
      <c r="F3262" s="9">
        <v>45</v>
      </c>
      <c r="G3262" s="9">
        <v>457</v>
      </c>
      <c r="H3262" s="5" t="s">
        <v>20</v>
      </c>
      <c r="I3262" s="5" t="s">
        <v>7344</v>
      </c>
      <c r="J3262" s="12" t="str">
        <f>HYPERLINK("https://www.boe.es/gazeta/dias/1806/05/30/pdfs/GMD-1806-45.pdf#page=9","Abrir facsímil")</f>
        <v>Abrir facsímil</v>
      </c>
      <c r="K3262" s="15" t="s">
        <v>22</v>
      </c>
    </row>
    <row r="3263" spans="1:11" ht="42" customHeight="1">
      <c r="A3263" s="4" t="s">
        <v>7345</v>
      </c>
      <c r="B3263" s="5" t="s">
        <v>7345</v>
      </c>
      <c r="C3263" s="5" t="s">
        <v>31</v>
      </c>
      <c r="D3263" s="5" t="s">
        <v>32</v>
      </c>
      <c r="E3263" s="5" t="s">
        <v>702</v>
      </c>
      <c r="F3263" s="9">
        <v>43</v>
      </c>
      <c r="G3263" s="9">
        <v>433</v>
      </c>
      <c r="H3263" s="5" t="s">
        <v>20</v>
      </c>
      <c r="I3263" s="5" t="s">
        <v>7346</v>
      </c>
      <c r="J3263" s="12" t="str">
        <f>HYPERLINK("https://www.boe.es/gazeta/dias/1806/05/23/pdfs/GMD-1806-43.pdf#page=9","Abrir facsímil")</f>
        <v>Abrir facsímil</v>
      </c>
      <c r="K3263" s="15" t="s">
        <v>22</v>
      </c>
    </row>
    <row r="3264" spans="1:11" ht="42" customHeight="1">
      <c r="A3264" s="4" t="s">
        <v>7347</v>
      </c>
      <c r="B3264" s="5" t="s">
        <v>7347</v>
      </c>
      <c r="C3264" s="5" t="s">
        <v>31</v>
      </c>
      <c r="D3264" s="5" t="s">
        <v>32</v>
      </c>
      <c r="E3264" s="5" t="s">
        <v>118</v>
      </c>
      <c r="F3264" s="9">
        <v>15</v>
      </c>
      <c r="G3264" s="9">
        <v>134</v>
      </c>
      <c r="H3264" s="5" t="s">
        <v>20</v>
      </c>
      <c r="I3264" s="5" t="s">
        <v>7348</v>
      </c>
      <c r="J3264" s="12" t="str">
        <f>HYPERLINK("https://www.boe.es/gazeta/dias/1806/02/14/pdfs/GMD-1806-15.pdf#page=10","Abrir facsímil")</f>
        <v>Abrir facsímil</v>
      </c>
      <c r="K3264" s="15" t="s">
        <v>22</v>
      </c>
    </row>
    <row r="3265" spans="1:11" ht="42" customHeight="1">
      <c r="A3265" s="4" t="s">
        <v>7349</v>
      </c>
      <c r="B3265" s="5" t="s">
        <v>7349</v>
      </c>
      <c r="C3265" s="5" t="s">
        <v>31</v>
      </c>
      <c r="D3265" s="5" t="s">
        <v>32</v>
      </c>
      <c r="E3265" s="5" t="s">
        <v>55</v>
      </c>
      <c r="F3265" s="9">
        <v>20</v>
      </c>
      <c r="G3265" s="9">
        <v>184</v>
      </c>
      <c r="H3265" s="5" t="s">
        <v>20</v>
      </c>
      <c r="I3265" s="5" t="s">
        <v>7350</v>
      </c>
      <c r="J3265" s="12" t="str">
        <f>HYPERLINK("https://www.boe.es/gazeta/dias/1806/03/04/pdfs/GMD-1806-20.pdf#page=8","Abrir facsímil")</f>
        <v>Abrir facsímil</v>
      </c>
      <c r="K3265" s="15" t="s">
        <v>22</v>
      </c>
    </row>
    <row r="3266" spans="1:11" ht="42" customHeight="1">
      <c r="A3266" s="4" t="s">
        <v>7351</v>
      </c>
      <c r="B3266" s="5" t="s">
        <v>7352</v>
      </c>
      <c r="C3266" s="5" t="s">
        <v>31</v>
      </c>
      <c r="D3266" s="5" t="s">
        <v>32</v>
      </c>
      <c r="E3266" s="5" t="s">
        <v>178</v>
      </c>
      <c r="F3266" s="9">
        <v>36</v>
      </c>
      <c r="G3266" s="9">
        <v>350</v>
      </c>
      <c r="H3266" s="5" t="s">
        <v>20</v>
      </c>
      <c r="I3266" s="5" t="s">
        <v>7353</v>
      </c>
      <c r="J3266" s="12" t="str">
        <f>HYPERLINK("https://www.boe.es/gazeta/dias/1806/04/29/pdfs/GMD-1806-36.pdf#page=6","Abrir facsímil")</f>
        <v>Abrir facsímil</v>
      </c>
      <c r="K3266" s="15" t="s">
        <v>22</v>
      </c>
    </row>
    <row r="3267" spans="1:11" ht="42" customHeight="1">
      <c r="A3267" s="4" t="s">
        <v>7354</v>
      </c>
      <c r="B3267" s="5" t="s">
        <v>7354</v>
      </c>
      <c r="C3267" s="5" t="s">
        <v>31</v>
      </c>
      <c r="D3267" s="5" t="s">
        <v>32</v>
      </c>
      <c r="E3267" s="5" t="s">
        <v>209</v>
      </c>
      <c r="F3267" s="9">
        <v>95</v>
      </c>
      <c r="G3267" s="9">
        <v>1005</v>
      </c>
      <c r="H3267" s="5" t="s">
        <v>20</v>
      </c>
      <c r="I3267" s="5" t="s">
        <v>7355</v>
      </c>
      <c r="J3267" s="12" t="str">
        <f>HYPERLINK("https://www.boe.es/gazeta/dias/1806/11/21/pdfs/GMD-1806-95.pdf#page=13","Abrir facsímil")</f>
        <v>Abrir facsímil</v>
      </c>
      <c r="K3267" s="15" t="s">
        <v>22</v>
      </c>
    </row>
    <row r="3268" spans="1:11" ht="42" customHeight="1">
      <c r="A3268" s="4" t="s">
        <v>7356</v>
      </c>
      <c r="B3268" s="5" t="s">
        <v>7356</v>
      </c>
      <c r="C3268" s="5" t="s">
        <v>17</v>
      </c>
      <c r="D3268" s="5" t="s">
        <v>18</v>
      </c>
      <c r="E3268" s="5" t="s">
        <v>1778</v>
      </c>
      <c r="F3268" s="9">
        <v>16</v>
      </c>
      <c r="G3268" s="9">
        <v>143</v>
      </c>
      <c r="H3268" s="5" t="s">
        <v>20</v>
      </c>
      <c r="I3268" s="5" t="s">
        <v>7357</v>
      </c>
      <c r="J3268" s="12" t="str">
        <f>HYPERLINK("https://www.boe.es/gazeta/dias/1806/02/18/pdfs/GMD-1806-16.pdf#page=7","Abrir facsímil")</f>
        <v>Abrir facsímil</v>
      </c>
      <c r="K3268" s="15" t="s">
        <v>22</v>
      </c>
    </row>
    <row r="3269" spans="1:11" ht="42" customHeight="1">
      <c r="A3269" s="4" t="s">
        <v>7358</v>
      </c>
      <c r="B3269" s="5" t="s">
        <v>7358</v>
      </c>
      <c r="C3269" s="5" t="s">
        <v>42</v>
      </c>
      <c r="D3269" s="5" t="s">
        <v>43</v>
      </c>
      <c r="E3269" s="5" t="s">
        <v>271</v>
      </c>
      <c r="F3269" s="9">
        <v>6</v>
      </c>
      <c r="G3269" s="9">
        <v>53</v>
      </c>
      <c r="H3269" s="5" t="s">
        <v>20</v>
      </c>
      <c r="I3269" s="5" t="s">
        <v>7359</v>
      </c>
      <c r="J3269" s="12" t="str">
        <f>HYPERLINK("https://www.boe.es/gazeta/dias/1806/01/17/pdfs/GMD-1806-6.pdf#page=9","Abrir facsímil")</f>
        <v>Abrir facsímil</v>
      </c>
      <c r="K3269" s="15" t="s">
        <v>22</v>
      </c>
    </row>
    <row r="3270" spans="1:11" ht="42" customHeight="1">
      <c r="A3270" s="4" t="s">
        <v>7360</v>
      </c>
      <c r="B3270" s="5" t="s">
        <v>7360</v>
      </c>
      <c r="C3270" s="5" t="s">
        <v>42</v>
      </c>
      <c r="D3270" s="5" t="s">
        <v>43</v>
      </c>
      <c r="E3270" s="5" t="s">
        <v>438</v>
      </c>
      <c r="F3270" s="9">
        <v>70</v>
      </c>
      <c r="G3270" s="9">
        <v>730</v>
      </c>
      <c r="H3270" s="5" t="s">
        <v>20</v>
      </c>
      <c r="I3270" s="5" t="s">
        <v>7361</v>
      </c>
      <c r="J3270" s="12" t="str">
        <f>HYPERLINK("https://www.boe.es/gazeta/dias/1806/08/26/pdfs/GMD-1806-70.pdf#page=6","Abrir facsímil")</f>
        <v>Abrir facsímil</v>
      </c>
      <c r="K3270" s="15" t="s">
        <v>22</v>
      </c>
    </row>
    <row r="3271" spans="1:11" ht="42" customHeight="1">
      <c r="A3271" s="4" t="s">
        <v>7362</v>
      </c>
      <c r="B3271" s="5" t="s">
        <v>7362</v>
      </c>
      <c r="C3271" s="5" t="s">
        <v>31</v>
      </c>
      <c r="D3271" s="5" t="s">
        <v>32</v>
      </c>
      <c r="E3271" s="5" t="s">
        <v>48</v>
      </c>
      <c r="F3271" s="9">
        <v>67</v>
      </c>
      <c r="G3271" s="9">
        <v>700</v>
      </c>
      <c r="H3271" s="5" t="s">
        <v>20</v>
      </c>
      <c r="I3271" s="5" t="s">
        <v>7363</v>
      </c>
      <c r="J3271" s="12" t="str">
        <f>HYPERLINK("https://www.boe.es/gazeta/dias/1806/08/15/pdfs/GMD-1806-67.pdf#page=8","Abrir facsímil")</f>
        <v>Abrir facsímil</v>
      </c>
      <c r="K3271" s="15" t="s">
        <v>22</v>
      </c>
    </row>
    <row r="3272" spans="1:11" ht="42" customHeight="1">
      <c r="A3272" s="4" t="s">
        <v>7364</v>
      </c>
      <c r="B3272" s="5" t="s">
        <v>7365</v>
      </c>
      <c r="C3272" s="5" t="s">
        <v>31</v>
      </c>
      <c r="D3272" s="5" t="s">
        <v>32</v>
      </c>
      <c r="E3272" s="5" t="s">
        <v>100</v>
      </c>
      <c r="F3272" s="9">
        <v>7</v>
      </c>
      <c r="G3272" s="9">
        <v>65</v>
      </c>
      <c r="H3272" s="5" t="s">
        <v>20</v>
      </c>
      <c r="I3272" s="5" t="s">
        <v>7366</v>
      </c>
      <c r="J3272" s="12" t="str">
        <f>HYPERLINK("https://www.boe.es/gazeta/dias/1806/01/21/pdfs/GMD-1806-7.pdf#page=9","Abrir facsímil")</f>
        <v>Abrir facsímil</v>
      </c>
      <c r="K3272" s="15" t="s">
        <v>22</v>
      </c>
    </row>
    <row r="3273" spans="1:11" ht="42" customHeight="1">
      <c r="A3273" s="4" t="s">
        <v>7367</v>
      </c>
      <c r="B3273" s="5" t="s">
        <v>7367</v>
      </c>
      <c r="C3273" s="5" t="s">
        <v>31</v>
      </c>
      <c r="D3273" s="5" t="s">
        <v>32</v>
      </c>
      <c r="E3273" s="5" t="s">
        <v>238</v>
      </c>
      <c r="F3273" s="9">
        <v>18</v>
      </c>
      <c r="G3273" s="9">
        <v>164</v>
      </c>
      <c r="H3273" s="5" t="s">
        <v>20</v>
      </c>
      <c r="I3273" s="5" t="s">
        <v>7368</v>
      </c>
      <c r="J3273" s="12" t="str">
        <f>HYPERLINK("https://www.boe.es/gazeta/dias/1806/02/25/pdfs/GMD-1806-18.pdf#page=12","Abrir facsímil")</f>
        <v>Abrir facsímil</v>
      </c>
      <c r="K3273" s="15" t="s">
        <v>22</v>
      </c>
    </row>
    <row r="3274" spans="1:11" ht="42" customHeight="1">
      <c r="A3274" s="4" t="s">
        <v>7367</v>
      </c>
      <c r="B3274" s="5" t="s">
        <v>7367</v>
      </c>
      <c r="C3274" s="5" t="s">
        <v>36</v>
      </c>
      <c r="D3274" s="5" t="s">
        <v>37</v>
      </c>
      <c r="E3274" s="5" t="s">
        <v>309</v>
      </c>
      <c r="F3274" s="9">
        <v>41</v>
      </c>
      <c r="G3274" s="9">
        <v>411</v>
      </c>
      <c r="H3274" s="5" t="s">
        <v>20</v>
      </c>
      <c r="I3274" s="5" t="s">
        <v>7369</v>
      </c>
      <c r="J3274" s="12" t="str">
        <f>HYPERLINK("https://www.boe.es/gazeta/dias/1806/05/16/pdfs/GMD-1806-41.pdf#page=11","Abrir facsímil")</f>
        <v>Abrir facsímil</v>
      </c>
      <c r="K3274" s="15" t="s">
        <v>22</v>
      </c>
    </row>
    <row r="3275" spans="1:11" ht="42" customHeight="1">
      <c r="A3275" s="4" t="s">
        <v>7367</v>
      </c>
      <c r="B3275" s="5" t="s">
        <v>7367</v>
      </c>
      <c r="C3275" s="5" t="s">
        <v>17</v>
      </c>
      <c r="D3275" s="5" t="s">
        <v>18</v>
      </c>
      <c r="E3275" s="5" t="s">
        <v>62</v>
      </c>
      <c r="F3275" s="9">
        <v>45</v>
      </c>
      <c r="G3275" s="9">
        <v>459</v>
      </c>
      <c r="H3275" s="5" t="s">
        <v>20</v>
      </c>
      <c r="I3275" s="5" t="s">
        <v>7370</v>
      </c>
      <c r="J3275" s="12" t="str">
        <f>HYPERLINK("https://www.boe.es/gazeta/dias/1806/05/30/pdfs/GMD-1806-45.pdf#page=11","Abrir facsímil")</f>
        <v>Abrir facsímil</v>
      </c>
      <c r="K3275" s="15" t="s">
        <v>22</v>
      </c>
    </row>
    <row r="3276" spans="1:11" ht="42" customHeight="1">
      <c r="A3276" s="4" t="s">
        <v>7367</v>
      </c>
      <c r="B3276" s="5" t="s">
        <v>7367</v>
      </c>
      <c r="C3276" s="5" t="s">
        <v>17</v>
      </c>
      <c r="D3276" s="5" t="s">
        <v>18</v>
      </c>
      <c r="E3276" s="5" t="s">
        <v>90</v>
      </c>
      <c r="F3276" s="9">
        <v>60</v>
      </c>
      <c r="G3276" s="9">
        <v>628</v>
      </c>
      <c r="H3276" s="5" t="s">
        <v>20</v>
      </c>
      <c r="I3276" s="5" t="s">
        <v>7371</v>
      </c>
      <c r="J3276" s="12" t="str">
        <f>HYPERLINK("https://www.boe.es/gazeta/dias/1806/07/22/pdfs/GMD-1806-60.pdf#page=12","Abrir facsímil")</f>
        <v>Abrir facsímil</v>
      </c>
      <c r="K3276" s="15" t="s">
        <v>22</v>
      </c>
    </row>
    <row r="3277" spans="1:11" ht="42" customHeight="1">
      <c r="A3277" s="4" t="s">
        <v>7372</v>
      </c>
      <c r="B3277" s="5" t="s">
        <v>7372</v>
      </c>
      <c r="C3277" s="5" t="s">
        <v>75</v>
      </c>
      <c r="D3277" s="5" t="s">
        <v>43</v>
      </c>
      <c r="E3277" s="5" t="s">
        <v>38</v>
      </c>
      <c r="F3277" s="9">
        <v>92</v>
      </c>
      <c r="G3277" s="9">
        <v>963</v>
      </c>
      <c r="H3277" s="5" t="s">
        <v>20</v>
      </c>
      <c r="I3277" s="5" t="s">
        <v>7373</v>
      </c>
      <c r="J3277" s="12" t="str">
        <f>HYPERLINK("https://www.boe.es/gazeta/dias/1806/11/11/pdfs/GMD-1806-92.pdf#page=15","Abrir facsímil")</f>
        <v>Abrir facsímil</v>
      </c>
      <c r="K3277" s="15" t="s">
        <v>22</v>
      </c>
    </row>
    <row r="3278" spans="1:11" ht="42" customHeight="1">
      <c r="A3278" s="4" t="s">
        <v>7374</v>
      </c>
      <c r="B3278" s="5" t="s">
        <v>7374</v>
      </c>
      <c r="C3278" s="5" t="s">
        <v>17</v>
      </c>
      <c r="D3278" s="5" t="s">
        <v>18</v>
      </c>
      <c r="E3278" s="5" t="s">
        <v>172</v>
      </c>
      <c r="F3278" s="9">
        <v>17</v>
      </c>
      <c r="G3278" s="9">
        <v>152</v>
      </c>
      <c r="H3278" s="5" t="s">
        <v>20</v>
      </c>
      <c r="I3278" s="5" t="s">
        <v>7375</v>
      </c>
      <c r="J3278" s="12" t="str">
        <f>HYPERLINK("https://www.boe.es/gazeta/dias/1806/02/21/pdfs/GMD-1806-17.pdf#page=8","Abrir facsímil")</f>
        <v>Abrir facsímil</v>
      </c>
      <c r="K3278" s="15" t="s">
        <v>22</v>
      </c>
    </row>
    <row r="3279" spans="1:11" ht="42" customHeight="1">
      <c r="A3279" s="4" t="s">
        <v>7376</v>
      </c>
      <c r="B3279" s="5" t="s">
        <v>7376</v>
      </c>
      <c r="C3279" s="5" t="s">
        <v>31</v>
      </c>
      <c r="D3279" s="5" t="s">
        <v>32</v>
      </c>
      <c r="E3279" s="5" t="s">
        <v>59</v>
      </c>
      <c r="F3279" s="9">
        <v>21</v>
      </c>
      <c r="G3279" s="9">
        <v>198</v>
      </c>
      <c r="H3279" s="5" t="s">
        <v>20</v>
      </c>
      <c r="I3279" s="5" t="s">
        <v>7377</v>
      </c>
      <c r="J3279" s="12" t="str">
        <f>HYPERLINK("https://www.boe.es/gazeta/dias/1806/03/07/pdfs/GMD-1806-21.pdf#page=10","Abrir facsímil")</f>
        <v>Abrir facsímil</v>
      </c>
      <c r="K3279" s="15" t="s">
        <v>22</v>
      </c>
    </row>
    <row r="3280" spans="1:11" ht="42" customHeight="1">
      <c r="A3280" s="4" t="s">
        <v>7376</v>
      </c>
      <c r="B3280" s="5" t="s">
        <v>7376</v>
      </c>
      <c r="C3280" s="5" t="s">
        <v>17</v>
      </c>
      <c r="D3280" s="5" t="s">
        <v>18</v>
      </c>
      <c r="E3280" s="5" t="s">
        <v>140</v>
      </c>
      <c r="F3280" s="9">
        <v>83</v>
      </c>
      <c r="G3280" s="9">
        <v>860</v>
      </c>
      <c r="H3280" s="5" t="s">
        <v>20</v>
      </c>
      <c r="I3280" s="5" t="s">
        <v>7378</v>
      </c>
      <c r="J3280" s="12" t="str">
        <f>HYPERLINK("https://www.boe.es/gazeta/dias/1806/10/10/pdfs/GMD-1806-83.pdf#page=8","Abrir facsímil")</f>
        <v>Abrir facsímil</v>
      </c>
      <c r="K3280" s="15" t="s">
        <v>22</v>
      </c>
    </row>
    <row r="3281" spans="1:11" ht="42" customHeight="1">
      <c r="A3281" s="4" t="s">
        <v>7379</v>
      </c>
      <c r="B3281" s="5" t="s">
        <v>7379</v>
      </c>
      <c r="C3281" s="5" t="s">
        <v>17</v>
      </c>
      <c r="D3281" s="5" t="s">
        <v>18</v>
      </c>
      <c r="E3281" s="5" t="s">
        <v>93</v>
      </c>
      <c r="F3281" s="9">
        <v>72</v>
      </c>
      <c r="G3281" s="9">
        <v>748</v>
      </c>
      <c r="H3281" s="5" t="s">
        <v>20</v>
      </c>
      <c r="I3281" s="5" t="s">
        <v>7380</v>
      </c>
      <c r="J3281" s="12" t="str">
        <f>HYPERLINK("https://www.boe.es/gazeta/dias/1806/09/02/pdfs/GMD-1806-72.pdf#page=8","Abrir facsímil")</f>
        <v>Abrir facsímil</v>
      </c>
      <c r="K3281" s="15" t="s">
        <v>22</v>
      </c>
    </row>
    <row r="3282" spans="1:11" ht="42" customHeight="1">
      <c r="A3282" s="4" t="s">
        <v>7381</v>
      </c>
      <c r="B3282" s="5" t="s">
        <v>7381</v>
      </c>
      <c r="C3282" s="5" t="s">
        <v>31</v>
      </c>
      <c r="D3282" s="5" t="s">
        <v>32</v>
      </c>
      <c r="E3282" s="5" t="s">
        <v>1005</v>
      </c>
      <c r="F3282" s="9">
        <v>76</v>
      </c>
      <c r="G3282" s="9">
        <v>787</v>
      </c>
      <c r="H3282" s="5" t="s">
        <v>20</v>
      </c>
      <c r="I3282" s="5" t="s">
        <v>7382</v>
      </c>
      <c r="J3282" s="12" t="str">
        <f>HYPERLINK("https://www.boe.es/gazeta/dias/1806/09/16/pdfs/GMD-1806-76.pdf#page=7","Abrir facsímil")</f>
        <v>Abrir facsímil</v>
      </c>
      <c r="K3282" s="15" t="s">
        <v>22</v>
      </c>
    </row>
    <row r="3283" spans="1:11" ht="42" customHeight="1">
      <c r="A3283" s="4" t="s">
        <v>7383</v>
      </c>
      <c r="B3283" s="5" t="s">
        <v>7383</v>
      </c>
      <c r="C3283" s="5" t="s">
        <v>31</v>
      </c>
      <c r="D3283" s="5" t="s">
        <v>32</v>
      </c>
      <c r="E3283" s="5" t="s">
        <v>367</v>
      </c>
      <c r="F3283" s="9">
        <v>87</v>
      </c>
      <c r="G3283" s="9">
        <v>901</v>
      </c>
      <c r="H3283" s="5" t="s">
        <v>20</v>
      </c>
      <c r="I3283" s="5" t="s">
        <v>7384</v>
      </c>
      <c r="J3283" s="12" t="str">
        <f>HYPERLINK("https://www.boe.es/gazeta/dias/1806/10/24/pdfs/GMD-1806-87.pdf#page=9","Abrir facsímil")</f>
        <v>Abrir facsímil</v>
      </c>
      <c r="K3283" s="15" t="s">
        <v>22</v>
      </c>
    </row>
    <row r="3284" spans="1:11" ht="42" customHeight="1">
      <c r="A3284" s="4" t="s">
        <v>7385</v>
      </c>
      <c r="B3284" s="5" t="s">
        <v>7385</v>
      </c>
      <c r="C3284" s="5" t="s">
        <v>17</v>
      </c>
      <c r="D3284" s="5" t="s">
        <v>18</v>
      </c>
      <c r="E3284" s="5" t="s">
        <v>600</v>
      </c>
      <c r="F3284" s="9">
        <v>77</v>
      </c>
      <c r="G3284" s="9">
        <v>795</v>
      </c>
      <c r="H3284" s="5" t="s">
        <v>20</v>
      </c>
      <c r="I3284" s="5" t="s">
        <v>7386</v>
      </c>
      <c r="J3284" s="12" t="str">
        <f>HYPERLINK("https://www.boe.es/gazeta/dias/1806/09/19/pdfs/GMD-1806-77.pdf#page=7","Abrir facsímil")</f>
        <v>Abrir facsímil</v>
      </c>
      <c r="K3284" s="15" t="s">
        <v>22</v>
      </c>
    </row>
    <row r="3285" spans="1:11" ht="42" customHeight="1">
      <c r="A3285" s="4" t="s">
        <v>7387</v>
      </c>
      <c r="B3285" s="5" t="s">
        <v>7387</v>
      </c>
      <c r="C3285" s="5" t="s">
        <v>31</v>
      </c>
      <c r="D3285" s="5" t="s">
        <v>32</v>
      </c>
      <c r="E3285" s="5" t="s">
        <v>554</v>
      </c>
      <c r="F3285" s="9">
        <v>90</v>
      </c>
      <c r="G3285" s="9">
        <v>933</v>
      </c>
      <c r="H3285" s="5" t="s">
        <v>20</v>
      </c>
      <c r="I3285" s="5" t="s">
        <v>7388</v>
      </c>
      <c r="J3285" s="12" t="str">
        <f>HYPERLINK("https://www.boe.es/gazeta/dias/1806/11/04/pdfs/GMD-1806-90.pdf#page=9","Abrir facsímil")</f>
        <v>Abrir facsímil</v>
      </c>
      <c r="K3285" s="15" t="s">
        <v>22</v>
      </c>
    </row>
    <row r="3286" spans="1:11" ht="42" customHeight="1">
      <c r="A3286" s="4" t="s">
        <v>7389</v>
      </c>
      <c r="B3286" s="5" t="s">
        <v>7389</v>
      </c>
      <c r="C3286" s="5" t="s">
        <v>31</v>
      </c>
      <c r="D3286" s="5" t="s">
        <v>32</v>
      </c>
      <c r="E3286" s="5" t="s">
        <v>93</v>
      </c>
      <c r="F3286" s="9">
        <v>72</v>
      </c>
      <c r="G3286" s="9">
        <v>749</v>
      </c>
      <c r="H3286" s="5" t="s">
        <v>20</v>
      </c>
      <c r="I3286" s="5" t="s">
        <v>7390</v>
      </c>
      <c r="J3286" s="12" t="str">
        <f>HYPERLINK("https://www.boe.es/gazeta/dias/1806/09/02/pdfs/GMD-1806-72.pdf#page=9","Abrir facsímil")</f>
        <v>Abrir facsímil</v>
      </c>
      <c r="K3286" s="15" t="s">
        <v>22</v>
      </c>
    </row>
    <row r="3287" spans="1:11" ht="42" customHeight="1">
      <c r="A3287" s="4" t="s">
        <v>7391</v>
      </c>
      <c r="B3287" s="5" t="s">
        <v>7391</v>
      </c>
      <c r="C3287" s="5" t="s">
        <v>42</v>
      </c>
      <c r="D3287" s="5" t="s">
        <v>43</v>
      </c>
      <c r="E3287" s="5" t="s">
        <v>554</v>
      </c>
      <c r="F3287" s="9">
        <v>90</v>
      </c>
      <c r="G3287" s="9">
        <v>936</v>
      </c>
      <c r="H3287" s="5" t="s">
        <v>20</v>
      </c>
      <c r="I3287" s="5" t="s">
        <v>7392</v>
      </c>
      <c r="J3287" s="12" t="str">
        <f>HYPERLINK("https://www.boe.es/gazeta/dias/1806/11/04/pdfs/GMD-1806-90.pdf#page=12","Abrir facsímil")</f>
        <v>Abrir facsímil</v>
      </c>
      <c r="K3287" s="15" t="s">
        <v>22</v>
      </c>
    </row>
    <row r="3288" spans="1:11" ht="42" customHeight="1">
      <c r="A3288" s="4" t="s">
        <v>7393</v>
      </c>
      <c r="B3288" s="5" t="s">
        <v>7393</v>
      </c>
      <c r="C3288" s="5" t="s">
        <v>17</v>
      </c>
      <c r="D3288" s="5" t="s">
        <v>18</v>
      </c>
      <c r="E3288" s="5" t="s">
        <v>93</v>
      </c>
      <c r="F3288" s="9">
        <v>72</v>
      </c>
      <c r="G3288" s="9">
        <v>748</v>
      </c>
      <c r="H3288" s="5" t="s">
        <v>20</v>
      </c>
      <c r="I3288" s="5" t="s">
        <v>7394</v>
      </c>
      <c r="J3288" s="12" t="str">
        <f>HYPERLINK("https://www.boe.es/gazeta/dias/1806/09/02/pdfs/GMD-1806-72.pdf#page=8","Abrir facsímil")</f>
        <v>Abrir facsímil</v>
      </c>
      <c r="K3288" s="15" t="s">
        <v>22</v>
      </c>
    </row>
    <row r="3289" spans="1:11" ht="42" customHeight="1">
      <c r="A3289" s="4" t="s">
        <v>7395</v>
      </c>
      <c r="B3289" s="5" t="s">
        <v>7395</v>
      </c>
      <c r="C3289" s="5" t="s">
        <v>42</v>
      </c>
      <c r="D3289" s="5" t="s">
        <v>43</v>
      </c>
      <c r="E3289" s="5" t="s">
        <v>227</v>
      </c>
      <c r="F3289" s="9">
        <v>27</v>
      </c>
      <c r="G3289" s="9">
        <v>269</v>
      </c>
      <c r="H3289" s="5" t="s">
        <v>20</v>
      </c>
      <c r="I3289" s="5" t="s">
        <v>7396</v>
      </c>
      <c r="J3289" s="12" t="str">
        <f>HYPERLINK("https://www.boe.es/gazeta/dias/1806/03/28/pdfs/GMD-1806-27.pdf#page=9","Abrir facsímil")</f>
        <v>Abrir facsímil</v>
      </c>
      <c r="K3289" s="15" t="s">
        <v>22</v>
      </c>
    </row>
    <row r="3290" spans="1:11" ht="42" customHeight="1">
      <c r="A3290" s="4" t="s">
        <v>7397</v>
      </c>
      <c r="B3290" s="5" t="s">
        <v>7397</v>
      </c>
      <c r="C3290" s="5" t="s">
        <v>31</v>
      </c>
      <c r="D3290" s="5" t="s">
        <v>32</v>
      </c>
      <c r="E3290" s="5" t="s">
        <v>483</v>
      </c>
      <c r="F3290" s="9">
        <v>58</v>
      </c>
      <c r="G3290" s="9">
        <v>602</v>
      </c>
      <c r="H3290" s="5" t="s">
        <v>20</v>
      </c>
      <c r="I3290" s="5" t="s">
        <v>7398</v>
      </c>
      <c r="J3290" s="12" t="str">
        <f>HYPERLINK("https://www.boe.es/gazeta/dias/1806/07/15/pdfs/GMD-1806-58.pdf#page=6","Abrir facsímil")</f>
        <v>Abrir facsímil</v>
      </c>
      <c r="K3290" s="15" t="s">
        <v>22</v>
      </c>
    </row>
    <row r="3291" spans="1:11" ht="42" customHeight="1">
      <c r="A3291" s="4" t="s">
        <v>7397</v>
      </c>
      <c r="B3291" s="5" t="s">
        <v>7397</v>
      </c>
      <c r="C3291" s="5" t="s">
        <v>31</v>
      </c>
      <c r="D3291" s="5" t="s">
        <v>32</v>
      </c>
      <c r="E3291" s="5" t="s">
        <v>327</v>
      </c>
      <c r="F3291" s="9">
        <v>104</v>
      </c>
      <c r="G3291" s="9">
        <v>1111</v>
      </c>
      <c r="H3291" s="5" t="s">
        <v>20</v>
      </c>
      <c r="I3291" s="5" t="s">
        <v>7399</v>
      </c>
      <c r="J3291" s="12" t="str">
        <f>HYPERLINK("https://www.boe.es/gazeta/dias/1806/12/23/pdfs/GMD-1806-104.pdf#page=11","Abrir facsímil")</f>
        <v>Abrir facsímil</v>
      </c>
      <c r="K3291" s="15" t="s">
        <v>22</v>
      </c>
    </row>
    <row r="3292" spans="1:11" ht="42" customHeight="1">
      <c r="A3292" s="4" t="s">
        <v>7400</v>
      </c>
      <c r="B3292" s="5" t="s">
        <v>7400</v>
      </c>
      <c r="C3292" s="5" t="s">
        <v>31</v>
      </c>
      <c r="D3292" s="5" t="s">
        <v>32</v>
      </c>
      <c r="E3292" s="5" t="s">
        <v>600</v>
      </c>
      <c r="F3292" s="9">
        <v>77</v>
      </c>
      <c r="G3292" s="9">
        <v>794</v>
      </c>
      <c r="H3292" s="5" t="s">
        <v>20</v>
      </c>
      <c r="I3292" s="5" t="s">
        <v>7401</v>
      </c>
      <c r="J3292" s="12" t="str">
        <f>HYPERLINK("https://www.boe.es/gazeta/dias/1806/09/19/pdfs/GMD-1806-77.pdf#page=6","Abrir facsímil")</f>
        <v>Abrir facsímil</v>
      </c>
      <c r="K3292" s="15" t="s">
        <v>22</v>
      </c>
    </row>
    <row r="3293" spans="1:11" ht="42" customHeight="1">
      <c r="A3293" s="4" t="s">
        <v>7402</v>
      </c>
      <c r="B3293" s="5" t="s">
        <v>7402</v>
      </c>
      <c r="C3293" s="5" t="s">
        <v>31</v>
      </c>
      <c r="D3293" s="5" t="s">
        <v>32</v>
      </c>
      <c r="E3293" s="5" t="s">
        <v>455</v>
      </c>
      <c r="F3293" s="9">
        <v>85</v>
      </c>
      <c r="G3293" s="9">
        <v>881</v>
      </c>
      <c r="H3293" s="5" t="s">
        <v>20</v>
      </c>
      <c r="I3293" s="5" t="s">
        <v>7403</v>
      </c>
      <c r="J3293" s="12" t="str">
        <f>HYPERLINK("https://www.boe.es/gazeta/dias/1806/10/17/pdfs/GMD-1806-85.pdf#page=9","Abrir facsímil")</f>
        <v>Abrir facsímil</v>
      </c>
      <c r="K3293" s="15" t="s">
        <v>22</v>
      </c>
    </row>
    <row r="3294" spans="1:11" ht="42" customHeight="1">
      <c r="A3294" s="4" t="s">
        <v>7404</v>
      </c>
      <c r="B3294" s="5" t="s">
        <v>7404</v>
      </c>
      <c r="C3294" s="5" t="s">
        <v>42</v>
      </c>
      <c r="D3294" s="5" t="s">
        <v>43</v>
      </c>
      <c r="E3294" s="5" t="s">
        <v>121</v>
      </c>
      <c r="F3294" s="9">
        <v>19</v>
      </c>
      <c r="G3294" s="9">
        <v>175</v>
      </c>
      <c r="H3294" s="5" t="s">
        <v>20</v>
      </c>
      <c r="I3294" s="5" t="s">
        <v>7405</v>
      </c>
      <c r="J3294" s="12" t="str">
        <f>HYPERLINK("https://www.boe.es/gazeta/dias/1806/02/28/pdfs/GMD-1806-19.pdf#page=11","Abrir facsímil")</f>
        <v>Abrir facsímil</v>
      </c>
      <c r="K3294" s="15" t="s">
        <v>22</v>
      </c>
    </row>
    <row r="3295" spans="1:11" ht="42" customHeight="1">
      <c r="A3295" s="4" t="s">
        <v>7406</v>
      </c>
      <c r="B3295" s="5" t="s">
        <v>7406</v>
      </c>
      <c r="C3295" s="5" t="s">
        <v>36</v>
      </c>
      <c r="D3295" s="5" t="s">
        <v>37</v>
      </c>
      <c r="E3295" s="5" t="s">
        <v>148</v>
      </c>
      <c r="F3295" s="9">
        <v>78</v>
      </c>
      <c r="G3295" s="9">
        <v>808</v>
      </c>
      <c r="H3295" s="5" t="s">
        <v>20</v>
      </c>
      <c r="I3295" s="5" t="s">
        <v>7407</v>
      </c>
      <c r="J3295" s="12" t="str">
        <f>HYPERLINK("https://www.boe.es/gazeta/dias/1806/09/23/pdfs/GMD-1806-78.pdf#page=12","Abrir facsímil")</f>
        <v>Abrir facsímil</v>
      </c>
      <c r="K3295" s="15" t="s">
        <v>22</v>
      </c>
    </row>
    <row r="3296" spans="1:11" ht="42" customHeight="1">
      <c r="A3296" s="4" t="s">
        <v>7408</v>
      </c>
      <c r="B3296" s="5" t="s">
        <v>7408</v>
      </c>
      <c r="C3296" s="5" t="s">
        <v>17</v>
      </c>
      <c r="D3296" s="5" t="s">
        <v>18</v>
      </c>
      <c r="E3296" s="5" t="s">
        <v>195</v>
      </c>
      <c r="F3296" s="9">
        <v>4</v>
      </c>
      <c r="G3296" s="9">
        <v>35</v>
      </c>
      <c r="H3296" s="5" t="s">
        <v>20</v>
      </c>
      <c r="I3296" s="5" t="s">
        <v>7409</v>
      </c>
      <c r="J3296" s="12" t="str">
        <f>HYPERLINK("https://www.boe.es/gazeta/dias/1806/01/14/pdfs/GMD-1806-4.pdf#page=7","Abrir facsímil")</f>
        <v>Abrir facsímil</v>
      </c>
      <c r="K3296" s="15" t="s">
        <v>22</v>
      </c>
    </row>
    <row r="3297" spans="1:11" ht="42" customHeight="1">
      <c r="A3297" s="4" t="s">
        <v>7410</v>
      </c>
      <c r="B3297" s="5" t="s">
        <v>7410</v>
      </c>
      <c r="C3297" s="5" t="s">
        <v>42</v>
      </c>
      <c r="D3297" s="5" t="s">
        <v>43</v>
      </c>
      <c r="E3297" s="5" t="s">
        <v>279</v>
      </c>
      <c r="F3297" s="9">
        <v>52</v>
      </c>
      <c r="G3297" s="9">
        <v>540</v>
      </c>
      <c r="H3297" s="5" t="s">
        <v>20</v>
      </c>
      <c r="I3297" s="5" t="s">
        <v>7411</v>
      </c>
      <c r="J3297" s="12" t="str">
        <f>HYPERLINK("https://www.boe.es/gazeta/dias/1806/06/24/pdfs/GMD-1806-52.pdf#page=8","Abrir facsímil")</f>
        <v>Abrir facsímil</v>
      </c>
      <c r="K3297" s="15" t="s">
        <v>22</v>
      </c>
    </row>
    <row r="3298" spans="1:11" ht="42" customHeight="1">
      <c r="A3298" s="4" t="s">
        <v>7412</v>
      </c>
      <c r="B3298" s="5" t="s">
        <v>7412</v>
      </c>
      <c r="C3298" s="5" t="s">
        <v>17</v>
      </c>
      <c r="D3298" s="5" t="s">
        <v>18</v>
      </c>
      <c r="E3298" s="5" t="s">
        <v>188</v>
      </c>
      <c r="F3298" s="9">
        <v>2</v>
      </c>
      <c r="G3298" s="9">
        <v>19</v>
      </c>
      <c r="H3298" s="5" t="s">
        <v>20</v>
      </c>
      <c r="I3298" s="5" t="s">
        <v>7413</v>
      </c>
      <c r="J3298" s="12" t="str">
        <f>HYPERLINK("https://www.boe.es/gazeta/dias/1806/01/07/pdfs/GMD-1806-2.pdf#page=7","Abrir facsímil")</f>
        <v>Abrir facsímil</v>
      </c>
      <c r="K3298" s="15" t="s">
        <v>22</v>
      </c>
    </row>
    <row r="3299" spans="1:11" ht="42" customHeight="1">
      <c r="A3299" s="4" t="s">
        <v>7414</v>
      </c>
      <c r="B3299" s="5" t="s">
        <v>7414</v>
      </c>
      <c r="C3299" s="5" t="s">
        <v>75</v>
      </c>
      <c r="D3299" s="5" t="s">
        <v>43</v>
      </c>
      <c r="E3299" s="5" t="s">
        <v>148</v>
      </c>
      <c r="F3299" s="9">
        <v>78</v>
      </c>
      <c r="G3299" s="9">
        <v>806</v>
      </c>
      <c r="H3299" s="5" t="s">
        <v>20</v>
      </c>
      <c r="I3299" s="5" t="s">
        <v>7415</v>
      </c>
      <c r="J3299" s="12" t="str">
        <f>HYPERLINK("https://www.boe.es/gazeta/dias/1806/09/23/pdfs/GMD-1806-78.pdf#page=10","Abrir facsímil")</f>
        <v>Abrir facsímil</v>
      </c>
      <c r="K3299" s="15" t="s">
        <v>22</v>
      </c>
    </row>
    <row r="3300" spans="1:11" ht="42" customHeight="1">
      <c r="A3300" s="4" t="s">
        <v>7416</v>
      </c>
      <c r="B3300" s="5" t="s">
        <v>7416</v>
      </c>
      <c r="C3300" s="5" t="s">
        <v>36</v>
      </c>
      <c r="D3300" s="5" t="s">
        <v>37</v>
      </c>
      <c r="E3300" s="5" t="s">
        <v>702</v>
      </c>
      <c r="F3300" s="9">
        <v>43</v>
      </c>
      <c r="G3300" s="9">
        <v>436</v>
      </c>
      <c r="H3300" s="5" t="s">
        <v>20</v>
      </c>
      <c r="I3300" s="5" t="s">
        <v>7417</v>
      </c>
      <c r="J3300" s="12" t="str">
        <f>HYPERLINK("https://www.boe.es/gazeta/dias/1806/05/23/pdfs/GMD-1806-43.pdf#page=12","Abrir facsímil")</f>
        <v>Abrir facsímil</v>
      </c>
      <c r="K3300" s="15" t="s">
        <v>22</v>
      </c>
    </row>
    <row r="3301" spans="1:11" ht="42" customHeight="1">
      <c r="A3301" s="4" t="s">
        <v>7418</v>
      </c>
      <c r="B3301" s="5" t="s">
        <v>7418</v>
      </c>
      <c r="C3301" s="5" t="s">
        <v>31</v>
      </c>
      <c r="D3301" s="5" t="s">
        <v>32</v>
      </c>
      <c r="E3301" s="5" t="s">
        <v>44</v>
      </c>
      <c r="F3301" s="9">
        <v>42</v>
      </c>
      <c r="G3301" s="9">
        <v>424</v>
      </c>
      <c r="H3301" s="5" t="s">
        <v>20</v>
      </c>
      <c r="I3301" s="5" t="s">
        <v>7419</v>
      </c>
      <c r="J3301" s="12" t="str">
        <f>HYPERLINK("https://www.boe.es/gazeta/dias/1806/05/20/pdfs/GMD-1806-42.pdf#page=12","Abrir facsímil")</f>
        <v>Abrir facsímil</v>
      </c>
      <c r="K3301" s="15" t="s">
        <v>22</v>
      </c>
    </row>
    <row r="3302" spans="1:11" ht="42" customHeight="1">
      <c r="A3302" s="4" t="s">
        <v>7420</v>
      </c>
      <c r="B3302" s="5" t="s">
        <v>7420</v>
      </c>
      <c r="C3302" s="5" t="s">
        <v>17</v>
      </c>
      <c r="D3302" s="5" t="s">
        <v>18</v>
      </c>
      <c r="E3302" s="5" t="s">
        <v>71</v>
      </c>
      <c r="F3302" s="9">
        <v>29</v>
      </c>
      <c r="G3302" s="9">
        <v>287</v>
      </c>
      <c r="H3302" s="5" t="s">
        <v>20</v>
      </c>
      <c r="I3302" s="5" t="s">
        <v>7421</v>
      </c>
      <c r="J3302" s="12" t="str">
        <f>HYPERLINK("https://www.boe.es/gazeta/dias/1806/04/04/pdfs/GMD-1806-29.pdf#page=7","Abrir facsímil")</f>
        <v>Abrir facsímil</v>
      </c>
      <c r="K3302" s="15" t="s">
        <v>22</v>
      </c>
    </row>
    <row r="3303" spans="1:11" ht="42" customHeight="1">
      <c r="A3303" s="4" t="s">
        <v>7422</v>
      </c>
      <c r="B3303" s="5" t="s">
        <v>7422</v>
      </c>
      <c r="C3303" s="5" t="s">
        <v>31</v>
      </c>
      <c r="D3303" s="5" t="s">
        <v>32</v>
      </c>
      <c r="E3303" s="5" t="s">
        <v>363</v>
      </c>
      <c r="F3303" s="9">
        <v>8</v>
      </c>
      <c r="G3303" s="9">
        <v>74</v>
      </c>
      <c r="H3303" s="5" t="s">
        <v>20</v>
      </c>
      <c r="I3303" s="5" t="s">
        <v>7423</v>
      </c>
      <c r="J3303" s="12" t="str">
        <f>HYPERLINK("https://www.boe.es/gazeta/dias/1806/01/24/pdfs/GMD-1806-8.pdf#page=6","Abrir facsímil")</f>
        <v>Abrir facsímil</v>
      </c>
      <c r="K3303" s="15" t="s">
        <v>22</v>
      </c>
    </row>
    <row r="3304" spans="1:11" ht="42" customHeight="1">
      <c r="A3304" s="4" t="s">
        <v>7424</v>
      </c>
      <c r="B3304" s="5" t="s">
        <v>7425</v>
      </c>
      <c r="C3304" s="5" t="s">
        <v>31</v>
      </c>
      <c r="D3304" s="5" t="s">
        <v>32</v>
      </c>
      <c r="E3304" s="5" t="s">
        <v>438</v>
      </c>
      <c r="F3304" s="9">
        <v>70</v>
      </c>
      <c r="G3304" s="9">
        <v>731</v>
      </c>
      <c r="H3304" s="5" t="s">
        <v>20</v>
      </c>
      <c r="I3304" s="5" t="s">
        <v>7426</v>
      </c>
      <c r="J3304" s="12" t="str">
        <f>HYPERLINK("https://www.boe.es/gazeta/dias/1806/08/26/pdfs/GMD-1806-70.pdf#page=7","Abrir facsímil")</f>
        <v>Abrir facsímil</v>
      </c>
      <c r="K3304" s="15" t="s">
        <v>22</v>
      </c>
    </row>
    <row r="3305" spans="1:11" ht="42" customHeight="1">
      <c r="A3305" s="4" t="s">
        <v>7427</v>
      </c>
      <c r="B3305" s="5" t="s">
        <v>7427</v>
      </c>
      <c r="C3305" s="5" t="s">
        <v>17</v>
      </c>
      <c r="D3305" s="5" t="s">
        <v>18</v>
      </c>
      <c r="E3305" s="5" t="s">
        <v>220</v>
      </c>
      <c r="F3305" s="9">
        <v>24</v>
      </c>
      <c r="G3305" s="9">
        <v>234</v>
      </c>
      <c r="H3305" s="5" t="s">
        <v>20</v>
      </c>
      <c r="I3305" s="5" t="s">
        <v>7428</v>
      </c>
      <c r="J3305" s="12" t="str">
        <f>HYPERLINK("https://www.boe.es/gazeta/dias/1806/03/18/pdfs/GMD-1806-24.pdf#page=10","Abrir facsímil")</f>
        <v>Abrir facsímil</v>
      </c>
      <c r="K3305" s="15" t="s">
        <v>22</v>
      </c>
    </row>
    <row r="3306" spans="1:11" ht="42" customHeight="1">
      <c r="A3306" s="4" t="s">
        <v>7429</v>
      </c>
      <c r="B3306" s="5" t="s">
        <v>7429</v>
      </c>
      <c r="C3306" s="5" t="s">
        <v>31</v>
      </c>
      <c r="D3306" s="5" t="s">
        <v>32</v>
      </c>
      <c r="E3306" s="5" t="s">
        <v>148</v>
      </c>
      <c r="F3306" s="9">
        <v>78</v>
      </c>
      <c r="G3306" s="9">
        <v>803</v>
      </c>
      <c r="H3306" s="5" t="s">
        <v>20</v>
      </c>
      <c r="I3306" s="5" t="s">
        <v>7430</v>
      </c>
      <c r="J3306" s="12" t="str">
        <f>HYPERLINK("https://www.boe.es/gazeta/dias/1806/09/23/pdfs/GMD-1806-78.pdf#page=7","Abrir facsímil")</f>
        <v>Abrir facsímil</v>
      </c>
      <c r="K3306" s="15" t="s">
        <v>22</v>
      </c>
    </row>
    <row r="3307" spans="1:11" ht="42" customHeight="1">
      <c r="A3307" s="4" t="s">
        <v>7431</v>
      </c>
      <c r="B3307" s="5" t="s">
        <v>7432</v>
      </c>
      <c r="C3307" s="5" t="s">
        <v>31</v>
      </c>
      <c r="D3307" s="5" t="s">
        <v>32</v>
      </c>
      <c r="E3307" s="5" t="s">
        <v>76</v>
      </c>
      <c r="F3307" s="9">
        <v>98</v>
      </c>
      <c r="G3307" s="9">
        <v>1043</v>
      </c>
      <c r="H3307" s="5" t="s">
        <v>20</v>
      </c>
      <c r="I3307" s="5" t="s">
        <v>7433</v>
      </c>
      <c r="J3307" s="12" t="str">
        <f>HYPERLINK("https://www.boe.es/gazeta/dias/1806/12/02/pdfs/GMD-1806-98.pdf#page=11","Abrir facsímil")</f>
        <v>Abrir facsímil</v>
      </c>
      <c r="K3307" s="15" t="s">
        <v>22</v>
      </c>
    </row>
    <row r="3308" spans="1:11" ht="42" customHeight="1">
      <c r="A3308" s="4" t="s">
        <v>7434</v>
      </c>
      <c r="B3308" s="5" t="s">
        <v>7434</v>
      </c>
      <c r="C3308" s="5" t="s">
        <v>17</v>
      </c>
      <c r="D3308" s="5" t="s">
        <v>18</v>
      </c>
      <c r="E3308" s="5" t="s">
        <v>191</v>
      </c>
      <c r="F3308" s="9">
        <v>103</v>
      </c>
      <c r="G3308" s="9">
        <v>1098</v>
      </c>
      <c r="H3308" s="5" t="s">
        <v>20</v>
      </c>
      <c r="I3308" s="5" t="s">
        <v>7435</v>
      </c>
      <c r="J3308" s="12" t="str">
        <f>HYPERLINK("https://www.boe.es/gazeta/dias/1806/12/19/pdfs/GMD-1806-103.pdf#page=10","Abrir facsímil")</f>
        <v>Abrir facsímil</v>
      </c>
      <c r="K3308" s="15" t="s">
        <v>22</v>
      </c>
    </row>
    <row r="3309" spans="1:11" ht="42" customHeight="1">
      <c r="A3309" s="4" t="s">
        <v>7436</v>
      </c>
      <c r="B3309" s="5" t="s">
        <v>7436</v>
      </c>
      <c r="C3309" s="5" t="s">
        <v>17</v>
      </c>
      <c r="D3309" s="5" t="s">
        <v>18</v>
      </c>
      <c r="E3309" s="5" t="s">
        <v>90</v>
      </c>
      <c r="F3309" s="9">
        <v>60</v>
      </c>
      <c r="G3309" s="9">
        <v>624</v>
      </c>
      <c r="H3309" s="5" t="s">
        <v>20</v>
      </c>
      <c r="I3309" s="5" t="s">
        <v>7437</v>
      </c>
      <c r="J3309" s="12" t="str">
        <f>HYPERLINK("https://www.boe.es/gazeta/dias/1806/07/22/pdfs/GMD-1806-60.pdf#page=8","Abrir facsímil")</f>
        <v>Abrir facsímil</v>
      </c>
      <c r="K3309" s="15" t="s">
        <v>22</v>
      </c>
    </row>
    <row r="3310" spans="1:11" ht="42" customHeight="1">
      <c r="A3310" s="4" t="s">
        <v>7436</v>
      </c>
      <c r="B3310" s="5" t="s">
        <v>7436</v>
      </c>
      <c r="C3310" s="5" t="s">
        <v>17</v>
      </c>
      <c r="D3310" s="5" t="s">
        <v>18</v>
      </c>
      <c r="E3310" s="5" t="s">
        <v>209</v>
      </c>
      <c r="F3310" s="9">
        <v>95</v>
      </c>
      <c r="G3310" s="9">
        <v>1007</v>
      </c>
      <c r="H3310" s="5" t="s">
        <v>20</v>
      </c>
      <c r="I3310" s="5" t="s">
        <v>7438</v>
      </c>
      <c r="J3310" s="12" t="str">
        <f>HYPERLINK("https://www.boe.es/gazeta/dias/1806/11/21/pdfs/GMD-1806-95.pdf#page=15","Abrir facsímil")</f>
        <v>Abrir facsímil</v>
      </c>
      <c r="K3310" s="15" t="s">
        <v>22</v>
      </c>
    </row>
    <row r="3311" spans="1:11" ht="42" customHeight="1">
      <c r="A3311" s="4" t="s">
        <v>7439</v>
      </c>
      <c r="B3311" s="5" t="s">
        <v>7439</v>
      </c>
      <c r="C3311" s="5" t="s">
        <v>42</v>
      </c>
      <c r="D3311" s="5" t="s">
        <v>43</v>
      </c>
      <c r="E3311" s="5" t="s">
        <v>44</v>
      </c>
      <c r="F3311" s="9">
        <v>42</v>
      </c>
      <c r="G3311" s="9">
        <v>421</v>
      </c>
      <c r="H3311" s="5" t="s">
        <v>20</v>
      </c>
      <c r="I3311" s="5" t="s">
        <v>7440</v>
      </c>
      <c r="J3311" s="12" t="str">
        <f>HYPERLINK("https://www.boe.es/gazeta/dias/1806/05/20/pdfs/GMD-1806-42.pdf#page=9","Abrir facsímil")</f>
        <v>Abrir facsímil</v>
      </c>
      <c r="K3311" s="15" t="s">
        <v>22</v>
      </c>
    </row>
    <row r="3312" spans="1:11" ht="42" customHeight="1">
      <c r="A3312" s="4" t="s">
        <v>7441</v>
      </c>
      <c r="B3312" s="5" t="s">
        <v>7441</v>
      </c>
      <c r="C3312" s="5" t="s">
        <v>31</v>
      </c>
      <c r="D3312" s="5" t="s">
        <v>32</v>
      </c>
      <c r="E3312" s="5" t="s">
        <v>76</v>
      </c>
      <c r="F3312" s="9">
        <v>98</v>
      </c>
      <c r="G3312" s="9">
        <v>1043</v>
      </c>
      <c r="H3312" s="5" t="s">
        <v>20</v>
      </c>
      <c r="I3312" s="5" t="s">
        <v>7442</v>
      </c>
      <c r="J3312" s="12" t="str">
        <f>HYPERLINK("https://www.boe.es/gazeta/dias/1806/12/02/pdfs/GMD-1806-98.pdf#page=11","Abrir facsímil")</f>
        <v>Abrir facsímil</v>
      </c>
      <c r="K3312" s="15" t="s">
        <v>22</v>
      </c>
    </row>
    <row r="3313" spans="1:11" ht="42" customHeight="1">
      <c r="A3313" s="4" t="s">
        <v>7443</v>
      </c>
      <c r="B3313" s="5" t="s">
        <v>7443</v>
      </c>
      <c r="C3313" s="5" t="s">
        <v>31</v>
      </c>
      <c r="D3313" s="5" t="s">
        <v>32</v>
      </c>
      <c r="E3313" s="5" t="s">
        <v>59</v>
      </c>
      <c r="F3313" s="9">
        <v>21</v>
      </c>
      <c r="G3313" s="9">
        <v>196</v>
      </c>
      <c r="H3313" s="5" t="s">
        <v>20</v>
      </c>
      <c r="I3313" s="5" t="s">
        <v>7444</v>
      </c>
      <c r="J3313" s="12" t="str">
        <f>HYPERLINK("https://www.boe.es/gazeta/dias/1806/03/07/pdfs/GMD-1806-21.pdf#page=8","Abrir facsímil")</f>
        <v>Abrir facsímil</v>
      </c>
      <c r="K3313" s="15" t="s">
        <v>22</v>
      </c>
    </row>
    <row r="3314" spans="1:11" ht="42" customHeight="1">
      <c r="A3314" s="4" t="s">
        <v>7445</v>
      </c>
      <c r="B3314" s="5" t="s">
        <v>7445</v>
      </c>
      <c r="C3314" s="5" t="s">
        <v>42</v>
      </c>
      <c r="D3314" s="5" t="s">
        <v>43</v>
      </c>
      <c r="E3314" s="5" t="s">
        <v>100</v>
      </c>
      <c r="F3314" s="9">
        <v>7</v>
      </c>
      <c r="G3314" s="9">
        <v>65</v>
      </c>
      <c r="H3314" s="5" t="s">
        <v>20</v>
      </c>
      <c r="I3314" s="5" t="s">
        <v>7446</v>
      </c>
      <c r="J3314" s="12" t="str">
        <f>HYPERLINK("https://www.boe.es/gazeta/dias/1806/01/21/pdfs/GMD-1806-7.pdf#page=9","Abrir facsímil")</f>
        <v>Abrir facsímil</v>
      </c>
      <c r="K3314" s="15" t="s">
        <v>22</v>
      </c>
    </row>
    <row r="3315" spans="1:11" ht="42" customHeight="1">
      <c r="A3315" s="4" t="s">
        <v>7447</v>
      </c>
      <c r="B3315" s="5" t="s">
        <v>7447</v>
      </c>
      <c r="C3315" s="5" t="s">
        <v>42</v>
      </c>
      <c r="D3315" s="5" t="s">
        <v>43</v>
      </c>
      <c r="E3315" s="5" t="s">
        <v>669</v>
      </c>
      <c r="F3315" s="9">
        <v>14</v>
      </c>
      <c r="G3315" s="9">
        <v>122</v>
      </c>
      <c r="H3315" s="5" t="s">
        <v>20</v>
      </c>
      <c r="I3315" s="5" t="s">
        <v>7448</v>
      </c>
      <c r="J3315" s="12" t="str">
        <f>HYPERLINK("https://www.boe.es/gazeta/dias/1806/02/11/pdfs/GMD-1806-14.pdf#page=6","Abrir facsímil")</f>
        <v>Abrir facsímil</v>
      </c>
      <c r="K3315" s="15" t="s">
        <v>22</v>
      </c>
    </row>
    <row r="3316" spans="1:11" ht="42" customHeight="1">
      <c r="A3316" s="4" t="s">
        <v>7449</v>
      </c>
      <c r="B3316" s="5" t="s">
        <v>7449</v>
      </c>
      <c r="C3316" s="5" t="s">
        <v>42</v>
      </c>
      <c r="D3316" s="5" t="s">
        <v>43</v>
      </c>
      <c r="E3316" s="5" t="s">
        <v>297</v>
      </c>
      <c r="F3316" s="9">
        <v>94</v>
      </c>
      <c r="G3316" s="9">
        <v>989</v>
      </c>
      <c r="H3316" s="5" t="s">
        <v>20</v>
      </c>
      <c r="I3316" s="5" t="s">
        <v>7450</v>
      </c>
      <c r="J3316" s="12" t="str">
        <f>HYPERLINK("https://www.boe.es/gazeta/dias/1806/11/18/pdfs/GMD-1806-94.pdf#page=9","Abrir facsímil")</f>
        <v>Abrir facsímil</v>
      </c>
      <c r="K3316" s="15" t="s">
        <v>22</v>
      </c>
    </row>
    <row r="3317" spans="1:11" ht="42" customHeight="1">
      <c r="A3317" s="4" t="s">
        <v>7451</v>
      </c>
      <c r="B3317" s="5" t="s">
        <v>7451</v>
      </c>
      <c r="C3317" s="5" t="s">
        <v>36</v>
      </c>
      <c r="D3317" s="5" t="s">
        <v>37</v>
      </c>
      <c r="E3317" s="5" t="s">
        <v>870</v>
      </c>
      <c r="F3317" s="9">
        <v>35</v>
      </c>
      <c r="G3317" s="9">
        <v>344</v>
      </c>
      <c r="H3317" s="5" t="s">
        <v>20</v>
      </c>
      <c r="I3317" s="5" t="s">
        <v>7452</v>
      </c>
      <c r="J3317" s="12" t="str">
        <f>HYPERLINK("https://www.boe.es/gazeta/dias/1806/04/25/pdfs/GMD-1806-35.pdf#page=8","Abrir facsímil")</f>
        <v>Abrir facsímil</v>
      </c>
      <c r="K3317" s="15" t="s">
        <v>22</v>
      </c>
    </row>
    <row r="3318" spans="1:11" ht="42" customHeight="1">
      <c r="A3318" s="4" t="s">
        <v>7453</v>
      </c>
      <c r="B3318" s="5" t="s">
        <v>7453</v>
      </c>
      <c r="C3318" s="5" t="s">
        <v>31</v>
      </c>
      <c r="D3318" s="5" t="s">
        <v>32</v>
      </c>
      <c r="E3318" s="5" t="s">
        <v>290</v>
      </c>
      <c r="F3318" s="9">
        <v>1</v>
      </c>
      <c r="G3318" s="9">
        <v>8</v>
      </c>
      <c r="H3318" s="5" t="s">
        <v>20</v>
      </c>
      <c r="I3318" s="5" t="s">
        <v>7454</v>
      </c>
      <c r="J3318" s="12" t="str">
        <f>HYPERLINK("https://www.boe.es/gazeta/dias/1806/01/03/pdfs/GMD-1806-1.pdf#page=8","Abrir facsímil")</f>
        <v>Abrir facsímil</v>
      </c>
      <c r="K3318" s="15" t="s">
        <v>22</v>
      </c>
    </row>
    <row r="3319" spans="1:11" ht="42" customHeight="1">
      <c r="A3319" s="4" t="s">
        <v>7455</v>
      </c>
      <c r="B3319" s="5" t="s">
        <v>7456</v>
      </c>
      <c r="C3319" s="5" t="s">
        <v>36</v>
      </c>
      <c r="D3319" s="5" t="s">
        <v>37</v>
      </c>
      <c r="E3319" s="5" t="s">
        <v>363</v>
      </c>
      <c r="F3319" s="9">
        <v>8</v>
      </c>
      <c r="G3319" s="9">
        <v>75</v>
      </c>
      <c r="H3319" s="5" t="s">
        <v>20</v>
      </c>
      <c r="I3319" s="5" t="s">
        <v>7457</v>
      </c>
      <c r="J3319" s="12" t="str">
        <f>HYPERLINK("https://www.boe.es/gazeta/dias/1806/01/24/pdfs/GMD-1806-8.pdf#page=7","Abrir facsímil")</f>
        <v>Abrir facsímil</v>
      </c>
      <c r="K3319" s="15" t="s">
        <v>22</v>
      </c>
    </row>
    <row r="3320" spans="1:11" ht="42" customHeight="1">
      <c r="A3320" s="4" t="s">
        <v>7455</v>
      </c>
      <c r="B3320" s="5" t="s">
        <v>7456</v>
      </c>
      <c r="C3320" s="5" t="s">
        <v>36</v>
      </c>
      <c r="D3320" s="5" t="s">
        <v>37</v>
      </c>
      <c r="E3320" s="5" t="s">
        <v>38</v>
      </c>
      <c r="F3320" s="9">
        <v>92</v>
      </c>
      <c r="G3320" s="9">
        <v>964</v>
      </c>
      <c r="H3320" s="5" t="s">
        <v>20</v>
      </c>
      <c r="I3320" s="5" t="s">
        <v>7458</v>
      </c>
      <c r="J3320" s="12" t="str">
        <f>HYPERLINK("https://www.boe.es/gazeta/dias/1806/11/11/pdfs/GMD-1806-92.pdf#page=16","Abrir facsímil")</f>
        <v>Abrir facsímil</v>
      </c>
      <c r="K3320" s="15" t="s">
        <v>22</v>
      </c>
    </row>
    <row r="3321" spans="1:11" ht="42" customHeight="1">
      <c r="A3321" s="4" t="s">
        <v>7459</v>
      </c>
      <c r="B3321" s="5" t="s">
        <v>7459</v>
      </c>
      <c r="C3321" s="5" t="s">
        <v>75</v>
      </c>
      <c r="D3321" s="5" t="s">
        <v>43</v>
      </c>
      <c r="E3321" s="5" t="s">
        <v>501</v>
      </c>
      <c r="F3321" s="9">
        <v>39</v>
      </c>
      <c r="G3321" s="9">
        <v>387</v>
      </c>
      <c r="H3321" s="5" t="s">
        <v>20</v>
      </c>
      <c r="I3321" s="5" t="s">
        <v>7460</v>
      </c>
      <c r="J3321" s="12" t="str">
        <f>HYPERLINK("https://www.boe.es/gazeta/dias/1806/05/09/pdfs/GMD-1806-39.pdf#page=11","Abrir facsímil")</f>
        <v>Abrir facsímil</v>
      </c>
      <c r="K3321" s="15" t="s">
        <v>22</v>
      </c>
    </row>
    <row r="3322" spans="1:11" ht="42" customHeight="1">
      <c r="A3322" s="4" t="s">
        <v>7461</v>
      </c>
      <c r="B3322" s="5" t="s">
        <v>7461</v>
      </c>
      <c r="C3322" s="5" t="s">
        <v>31</v>
      </c>
      <c r="D3322" s="5" t="s">
        <v>32</v>
      </c>
      <c r="E3322" s="5" t="s">
        <v>51</v>
      </c>
      <c r="F3322" s="9">
        <v>44</v>
      </c>
      <c r="G3322" s="9">
        <v>446</v>
      </c>
      <c r="H3322" s="5" t="s">
        <v>20</v>
      </c>
      <c r="I3322" s="5" t="s">
        <v>7462</v>
      </c>
      <c r="J3322" s="12" t="str">
        <f>HYPERLINK("https://www.boe.es/gazeta/dias/1806/05/27/pdfs/GMD-1806-44.pdf#page=10","Abrir facsímil")</f>
        <v>Abrir facsímil</v>
      </c>
      <c r="K3322" s="15" t="s">
        <v>22</v>
      </c>
    </row>
    <row r="3323" spans="1:11" ht="42" customHeight="1">
      <c r="A3323" s="4" t="s">
        <v>7463</v>
      </c>
      <c r="B3323" s="5" t="s">
        <v>7463</v>
      </c>
      <c r="C3323" s="5" t="s">
        <v>31</v>
      </c>
      <c r="D3323" s="5" t="s">
        <v>32</v>
      </c>
      <c r="E3323" s="5" t="s">
        <v>71</v>
      </c>
      <c r="F3323" s="9">
        <v>29</v>
      </c>
      <c r="G3323" s="9">
        <v>287</v>
      </c>
      <c r="H3323" s="5" t="s">
        <v>20</v>
      </c>
      <c r="I3323" s="5" t="s">
        <v>7464</v>
      </c>
      <c r="J3323" s="12" t="str">
        <f>HYPERLINK("https://www.boe.es/gazeta/dias/1806/04/04/pdfs/GMD-1806-29.pdf#page=7","Abrir facsímil")</f>
        <v>Abrir facsímil</v>
      </c>
      <c r="K3323" s="15" t="s">
        <v>22</v>
      </c>
    </row>
    <row r="3324" spans="1:11" ht="42" customHeight="1">
      <c r="A3324" s="4" t="s">
        <v>7465</v>
      </c>
      <c r="B3324" s="5" t="s">
        <v>7465</v>
      </c>
      <c r="C3324" s="5" t="s">
        <v>17</v>
      </c>
      <c r="D3324" s="5" t="s">
        <v>18</v>
      </c>
      <c r="E3324" s="5" t="s">
        <v>195</v>
      </c>
      <c r="F3324" s="9">
        <v>4</v>
      </c>
      <c r="G3324" s="9">
        <v>35</v>
      </c>
      <c r="H3324" s="5" t="s">
        <v>20</v>
      </c>
      <c r="I3324" s="5" t="s">
        <v>7466</v>
      </c>
      <c r="J3324" s="12" t="str">
        <f>HYPERLINK("https://www.boe.es/gazeta/dias/1806/01/14/pdfs/GMD-1806-4.pdf#page=7","Abrir facsímil")</f>
        <v>Abrir facsímil</v>
      </c>
      <c r="K3324" s="15" t="s">
        <v>22</v>
      </c>
    </row>
    <row r="3325" spans="1:11" ht="42" customHeight="1">
      <c r="A3325" s="4" t="s">
        <v>7467</v>
      </c>
      <c r="B3325" s="5" t="s">
        <v>7467</v>
      </c>
      <c r="C3325" s="5" t="s">
        <v>31</v>
      </c>
      <c r="D3325" s="5" t="s">
        <v>32</v>
      </c>
      <c r="E3325" s="5" t="s">
        <v>540</v>
      </c>
      <c r="F3325" s="9">
        <v>51</v>
      </c>
      <c r="G3325" s="9">
        <v>530</v>
      </c>
      <c r="H3325" s="5" t="s">
        <v>20</v>
      </c>
      <c r="I3325" s="5" t="s">
        <v>7468</v>
      </c>
      <c r="J3325" s="12" t="str">
        <f>HYPERLINK("https://www.boe.es/gazeta/dias/1806/06/20/pdfs/GMD-1806-51.pdf#page=10","Abrir facsímil")</f>
        <v>Abrir facsímil</v>
      </c>
      <c r="K3325" s="15" t="s">
        <v>22</v>
      </c>
    </row>
    <row r="3326" spans="1:11" ht="42" customHeight="1">
      <c r="A3326" s="4" t="s">
        <v>7469</v>
      </c>
      <c r="B3326" s="5" t="s">
        <v>7469</v>
      </c>
      <c r="C3326" s="5" t="s">
        <v>36</v>
      </c>
      <c r="D3326" s="5" t="s">
        <v>37</v>
      </c>
      <c r="E3326" s="5" t="s">
        <v>227</v>
      </c>
      <c r="F3326" s="9">
        <v>27</v>
      </c>
      <c r="G3326" s="9">
        <v>272</v>
      </c>
      <c r="H3326" s="5" t="s">
        <v>20</v>
      </c>
      <c r="I3326" s="5" t="s">
        <v>7470</v>
      </c>
      <c r="J3326" s="12" t="str">
        <f>HYPERLINK("https://www.boe.es/gazeta/dias/1806/03/28/pdfs/GMD-1806-27.pdf#page=12","Abrir facsímil")</f>
        <v>Abrir facsímil</v>
      </c>
      <c r="K3326" s="15" t="s">
        <v>22</v>
      </c>
    </row>
    <row r="3327" spans="1:11" ht="42" customHeight="1">
      <c r="A3327" s="4" t="s">
        <v>7471</v>
      </c>
      <c r="B3327" s="5" t="s">
        <v>7471</v>
      </c>
      <c r="C3327" s="5" t="s">
        <v>17</v>
      </c>
      <c r="D3327" s="5" t="s">
        <v>18</v>
      </c>
      <c r="E3327" s="5" t="s">
        <v>96</v>
      </c>
      <c r="F3327" s="9">
        <v>62</v>
      </c>
      <c r="G3327" s="9">
        <v>649</v>
      </c>
      <c r="H3327" s="5" t="s">
        <v>20</v>
      </c>
      <c r="I3327" s="5" t="s">
        <v>7472</v>
      </c>
      <c r="J3327" s="12" t="str">
        <f>HYPERLINK("https://www.boe.es/gazeta/dias/1806/07/29/pdfs/GMD-1806-62.pdf#page=9","Abrir facsímil")</f>
        <v>Abrir facsímil</v>
      </c>
      <c r="K3327" s="15" t="s">
        <v>22</v>
      </c>
    </row>
    <row r="3328" spans="1:11" ht="42" customHeight="1">
      <c r="A3328" s="4" t="s">
        <v>7473</v>
      </c>
      <c r="B3328" s="5" t="s">
        <v>7473</v>
      </c>
      <c r="C3328" s="5" t="s">
        <v>31</v>
      </c>
      <c r="D3328" s="5" t="s">
        <v>32</v>
      </c>
      <c r="E3328" s="5" t="s">
        <v>271</v>
      </c>
      <c r="F3328" s="9">
        <v>6</v>
      </c>
      <c r="G3328" s="9">
        <v>54</v>
      </c>
      <c r="H3328" s="5" t="s">
        <v>20</v>
      </c>
      <c r="I3328" s="5" t="s">
        <v>7474</v>
      </c>
      <c r="J3328" s="12" t="str">
        <f>HYPERLINK("https://www.boe.es/gazeta/dias/1806/01/17/pdfs/GMD-1806-6.pdf#page=10","Abrir facsímil")</f>
        <v>Abrir facsímil</v>
      </c>
      <c r="K3328" s="15" t="s">
        <v>22</v>
      </c>
    </row>
    <row r="3329" spans="1:11" ht="42" customHeight="1">
      <c r="A3329" s="4" t="s">
        <v>7475</v>
      </c>
      <c r="B3329" s="5" t="s">
        <v>7475</v>
      </c>
      <c r="C3329" s="5" t="s">
        <v>31</v>
      </c>
      <c r="D3329" s="5" t="s">
        <v>32</v>
      </c>
      <c r="E3329" s="5" t="s">
        <v>483</v>
      </c>
      <c r="F3329" s="9">
        <v>58</v>
      </c>
      <c r="G3329" s="9">
        <v>602</v>
      </c>
      <c r="H3329" s="5" t="s">
        <v>20</v>
      </c>
      <c r="I3329" s="5" t="s">
        <v>7476</v>
      </c>
      <c r="J3329" s="12" t="str">
        <f>HYPERLINK("https://www.boe.es/gazeta/dias/1806/07/15/pdfs/GMD-1806-58.pdf#page=6","Abrir facsímil")</f>
        <v>Abrir facsímil</v>
      </c>
      <c r="K3329" s="15" t="s">
        <v>22</v>
      </c>
    </row>
    <row r="3330" spans="1:11" ht="42" customHeight="1">
      <c r="A3330" s="4" t="s">
        <v>7477</v>
      </c>
      <c r="B3330" s="5" t="s">
        <v>7477</v>
      </c>
      <c r="C3330" s="5" t="s">
        <v>31</v>
      </c>
      <c r="D3330" s="5" t="s">
        <v>32</v>
      </c>
      <c r="E3330" s="5" t="s">
        <v>178</v>
      </c>
      <c r="F3330" s="9">
        <v>36</v>
      </c>
      <c r="G3330" s="9">
        <v>350</v>
      </c>
      <c r="H3330" s="5" t="s">
        <v>20</v>
      </c>
      <c r="I3330" s="5" t="s">
        <v>7478</v>
      </c>
      <c r="J3330" s="12" t="str">
        <f>HYPERLINK("https://www.boe.es/gazeta/dias/1806/04/29/pdfs/GMD-1806-36.pdf#page=6","Abrir facsímil")</f>
        <v>Abrir facsímil</v>
      </c>
      <c r="K3330" s="15" t="s">
        <v>22</v>
      </c>
    </row>
    <row r="3331" spans="1:11" ht="42" customHeight="1">
      <c r="A3331" s="4" t="s">
        <v>7479</v>
      </c>
      <c r="B3331" s="5" t="s">
        <v>7479</v>
      </c>
      <c r="C3331" s="5" t="s">
        <v>31</v>
      </c>
      <c r="D3331" s="5" t="s">
        <v>32</v>
      </c>
      <c r="E3331" s="5" t="s">
        <v>24</v>
      </c>
      <c r="F3331" s="9">
        <v>32</v>
      </c>
      <c r="G3331" s="9">
        <v>315</v>
      </c>
      <c r="H3331" s="5" t="s">
        <v>20</v>
      </c>
      <c r="I3331" s="5" t="s">
        <v>7480</v>
      </c>
      <c r="J3331" s="12" t="str">
        <f>HYPERLINK("https://www.boe.es/gazeta/dias/1806/04/15/pdfs/GMD-1806-32.pdf#page=7","Abrir facsímil")</f>
        <v>Abrir facsímil</v>
      </c>
      <c r="K3331" s="15" t="s">
        <v>22</v>
      </c>
    </row>
    <row r="3332" spans="1:11" ht="42" customHeight="1">
      <c r="A3332" s="4" t="s">
        <v>7481</v>
      </c>
      <c r="B3332" s="5" t="s">
        <v>7481</v>
      </c>
      <c r="C3332" s="5" t="s">
        <v>31</v>
      </c>
      <c r="D3332" s="5" t="s">
        <v>32</v>
      </c>
      <c r="E3332" s="5" t="s">
        <v>118</v>
      </c>
      <c r="F3332" s="9">
        <v>15</v>
      </c>
      <c r="G3332" s="9">
        <v>134</v>
      </c>
      <c r="H3332" s="5" t="s">
        <v>20</v>
      </c>
      <c r="I3332" s="5" t="s">
        <v>7482</v>
      </c>
      <c r="J3332" s="12" t="str">
        <f>HYPERLINK("https://www.boe.es/gazeta/dias/1806/02/14/pdfs/GMD-1806-15.pdf#page=10","Abrir facsímil")</f>
        <v>Abrir facsímil</v>
      </c>
      <c r="K3332" s="15" t="s">
        <v>22</v>
      </c>
    </row>
    <row r="3333" spans="1:11" ht="42" customHeight="1">
      <c r="A3333" s="4" t="s">
        <v>7483</v>
      </c>
      <c r="B3333" s="5" t="s">
        <v>7483</v>
      </c>
      <c r="C3333" s="5" t="s">
        <v>31</v>
      </c>
      <c r="D3333" s="5" t="s">
        <v>32</v>
      </c>
      <c r="E3333" s="5" t="s">
        <v>285</v>
      </c>
      <c r="F3333" s="9">
        <v>13</v>
      </c>
      <c r="G3333" s="9">
        <v>114</v>
      </c>
      <c r="H3333" s="5" t="s">
        <v>20</v>
      </c>
      <c r="I3333" s="5" t="s">
        <v>7484</v>
      </c>
      <c r="J3333" s="12" t="str">
        <f>HYPERLINK("https://www.boe.es/gazeta/dias/1806/02/07/pdfs/GMD-1806-13.pdf#page=6","Abrir facsímil")</f>
        <v>Abrir facsímil</v>
      </c>
      <c r="K3333" s="15" t="s">
        <v>22</v>
      </c>
    </row>
    <row r="3334" spans="1:11" ht="42" customHeight="1">
      <c r="A3334" s="4" t="s">
        <v>7483</v>
      </c>
      <c r="B3334" s="5" t="s">
        <v>7483</v>
      </c>
      <c r="C3334" s="5" t="s">
        <v>75</v>
      </c>
      <c r="D3334" s="5" t="s">
        <v>43</v>
      </c>
      <c r="E3334" s="5" t="s">
        <v>110</v>
      </c>
      <c r="F3334" s="9">
        <v>55</v>
      </c>
      <c r="G3334" s="9">
        <v>574</v>
      </c>
      <c r="H3334" s="5" t="s">
        <v>20</v>
      </c>
      <c r="I3334" s="5" t="s">
        <v>7485</v>
      </c>
      <c r="J3334" s="12" t="str">
        <f>HYPERLINK("https://www.boe.es/gazeta/dias/1806/07/04/pdfs/GMD-1806-55.pdf#page=10","Abrir facsímil")</f>
        <v>Abrir facsímil</v>
      </c>
      <c r="K3334" s="15" t="s">
        <v>22</v>
      </c>
    </row>
    <row r="3335" spans="1:11" ht="42" customHeight="1">
      <c r="A3335" s="4" t="s">
        <v>7486</v>
      </c>
      <c r="B3335" s="5" t="s">
        <v>7486</v>
      </c>
      <c r="C3335" s="5" t="s">
        <v>31</v>
      </c>
      <c r="D3335" s="5" t="s">
        <v>32</v>
      </c>
      <c r="E3335" s="5" t="s">
        <v>96</v>
      </c>
      <c r="F3335" s="9">
        <v>62</v>
      </c>
      <c r="G3335" s="9">
        <v>649</v>
      </c>
      <c r="H3335" s="5" t="s">
        <v>20</v>
      </c>
      <c r="I3335" s="5" t="s">
        <v>7487</v>
      </c>
      <c r="J3335" s="12" t="str">
        <f>HYPERLINK("https://www.boe.es/gazeta/dias/1806/07/29/pdfs/GMD-1806-62.pdf#page=9","Abrir facsímil")</f>
        <v>Abrir facsímil</v>
      </c>
      <c r="K3335" s="15" t="s">
        <v>22</v>
      </c>
    </row>
    <row r="3336" spans="1:11" ht="42" customHeight="1">
      <c r="A3336" s="4" t="s">
        <v>7488</v>
      </c>
      <c r="B3336" s="5" t="s">
        <v>7488</v>
      </c>
      <c r="C3336" s="5" t="s">
        <v>75</v>
      </c>
      <c r="D3336" s="5" t="s">
        <v>43</v>
      </c>
      <c r="E3336" s="5" t="s">
        <v>103</v>
      </c>
      <c r="F3336" s="9">
        <v>61</v>
      </c>
      <c r="G3336" s="9">
        <v>638</v>
      </c>
      <c r="H3336" s="5" t="s">
        <v>20</v>
      </c>
      <c r="I3336" s="5" t="s">
        <v>7489</v>
      </c>
      <c r="J3336" s="12" t="str">
        <f>HYPERLINK("https://www.boe.es/gazeta/dias/1806/07/25/pdfs/GMD-1806-61.pdf#page=10","Abrir facsímil")</f>
        <v>Abrir facsímil</v>
      </c>
      <c r="K3336" s="15" t="s">
        <v>22</v>
      </c>
    </row>
    <row r="3337" spans="1:11" ht="42" customHeight="1">
      <c r="A3337" s="4" t="s">
        <v>7490</v>
      </c>
      <c r="B3337" s="5" t="s">
        <v>7490</v>
      </c>
      <c r="C3337" s="5" t="s">
        <v>75</v>
      </c>
      <c r="D3337" s="5" t="s">
        <v>43</v>
      </c>
      <c r="E3337" s="5" t="s">
        <v>455</v>
      </c>
      <c r="F3337" s="9">
        <v>85</v>
      </c>
      <c r="G3337" s="9">
        <v>882</v>
      </c>
      <c r="H3337" s="5" t="s">
        <v>20</v>
      </c>
      <c r="I3337" s="5" t="s">
        <v>7491</v>
      </c>
      <c r="J3337" s="12" t="str">
        <f>HYPERLINK("https://www.boe.es/gazeta/dias/1806/10/17/pdfs/GMD-1806-85.pdf#page=10","Abrir facsímil")</f>
        <v>Abrir facsímil</v>
      </c>
      <c r="K3337" s="15" t="s">
        <v>22</v>
      </c>
    </row>
    <row r="3338" spans="1:11" ht="42" customHeight="1">
      <c r="A3338" s="4" t="s">
        <v>7492</v>
      </c>
      <c r="B3338" s="5" t="s">
        <v>7492</v>
      </c>
      <c r="C3338" s="5" t="s">
        <v>75</v>
      </c>
      <c r="D3338" s="5" t="s">
        <v>43</v>
      </c>
      <c r="E3338" s="5" t="s">
        <v>554</v>
      </c>
      <c r="F3338" s="9">
        <v>90</v>
      </c>
      <c r="G3338" s="9">
        <v>935</v>
      </c>
      <c r="H3338" s="5" t="s">
        <v>20</v>
      </c>
      <c r="I3338" s="5" t="s">
        <v>7493</v>
      </c>
      <c r="J3338" s="12" t="str">
        <f>HYPERLINK("https://www.boe.es/gazeta/dias/1806/11/04/pdfs/GMD-1806-90.pdf#page=11","Abrir facsímil")</f>
        <v>Abrir facsímil</v>
      </c>
      <c r="K3338" s="15" t="s">
        <v>22</v>
      </c>
    </row>
    <row r="3339" spans="1:11" ht="42" customHeight="1">
      <c r="A3339" s="4" t="s">
        <v>7494</v>
      </c>
      <c r="B3339" s="5" t="s">
        <v>7494</v>
      </c>
      <c r="C3339" s="5" t="s">
        <v>75</v>
      </c>
      <c r="D3339" s="5" t="s">
        <v>43</v>
      </c>
      <c r="E3339" s="5" t="s">
        <v>306</v>
      </c>
      <c r="F3339" s="9">
        <v>59</v>
      </c>
      <c r="G3339" s="9">
        <v>614</v>
      </c>
      <c r="H3339" s="5" t="s">
        <v>20</v>
      </c>
      <c r="I3339" s="5" t="s">
        <v>7495</v>
      </c>
      <c r="J3339" s="12" t="str">
        <f>HYPERLINK("https://www.boe.es/gazeta/dias/1806/07/18/pdfs/GMD-1806-59.pdf#page=10","Abrir facsímil")</f>
        <v>Abrir facsímil</v>
      </c>
      <c r="K3339" s="15" t="s">
        <v>22</v>
      </c>
    </row>
    <row r="3340" spans="1:11" ht="42" customHeight="1">
      <c r="A3340" s="4" t="s">
        <v>7496</v>
      </c>
      <c r="B3340" s="5" t="s">
        <v>7496</v>
      </c>
      <c r="C3340" s="5" t="s">
        <v>31</v>
      </c>
      <c r="D3340" s="5" t="s">
        <v>32</v>
      </c>
      <c r="E3340" s="5" t="s">
        <v>285</v>
      </c>
      <c r="F3340" s="9">
        <v>13</v>
      </c>
      <c r="G3340" s="9">
        <v>114</v>
      </c>
      <c r="H3340" s="5" t="s">
        <v>20</v>
      </c>
      <c r="I3340" s="5" t="s">
        <v>7497</v>
      </c>
      <c r="J3340" s="12" t="str">
        <f>HYPERLINK("https://www.boe.es/gazeta/dias/1806/02/07/pdfs/GMD-1806-13.pdf#page=6","Abrir facsímil")</f>
        <v>Abrir facsímil</v>
      </c>
      <c r="K3340" s="15" t="s">
        <v>22</v>
      </c>
    </row>
    <row r="3341" spans="1:11" ht="42" customHeight="1">
      <c r="A3341" s="4" t="s">
        <v>7498</v>
      </c>
      <c r="B3341" s="5" t="s">
        <v>7498</v>
      </c>
      <c r="C3341" s="5" t="s">
        <v>31</v>
      </c>
      <c r="D3341" s="5" t="s">
        <v>32</v>
      </c>
      <c r="E3341" s="5" t="s">
        <v>405</v>
      </c>
      <c r="F3341" s="9">
        <v>80</v>
      </c>
      <c r="G3341" s="9">
        <v>830</v>
      </c>
      <c r="H3341" s="5" t="s">
        <v>20</v>
      </c>
      <c r="I3341" s="5" t="s">
        <v>7499</v>
      </c>
      <c r="J3341" s="12" t="str">
        <f>HYPERLINK("https://www.boe.es/gazeta/dias/1806/09/30/pdfs/GMD-1806-80.pdf#page=10","Abrir facsímil")</f>
        <v>Abrir facsímil</v>
      </c>
      <c r="K3341" s="15" t="s">
        <v>22</v>
      </c>
    </row>
    <row r="3342" spans="1:11" ht="42" customHeight="1">
      <c r="A3342" s="4" t="s">
        <v>7500</v>
      </c>
      <c r="B3342" s="5" t="s">
        <v>7500</v>
      </c>
      <c r="C3342" s="5" t="s">
        <v>31</v>
      </c>
      <c r="D3342" s="5" t="s">
        <v>32</v>
      </c>
      <c r="E3342" s="5" t="s">
        <v>90</v>
      </c>
      <c r="F3342" s="9">
        <v>60</v>
      </c>
      <c r="G3342" s="9">
        <v>623</v>
      </c>
      <c r="H3342" s="5" t="s">
        <v>20</v>
      </c>
      <c r="I3342" s="5" t="s">
        <v>7501</v>
      </c>
      <c r="J3342" s="12" t="str">
        <f>HYPERLINK("https://www.boe.es/gazeta/dias/1806/07/22/pdfs/GMD-1806-60.pdf#page=7","Abrir facsímil")</f>
        <v>Abrir facsímil</v>
      </c>
      <c r="K3342" s="15" t="s">
        <v>22</v>
      </c>
    </row>
    <row r="3343" spans="1:11" ht="42" customHeight="1">
      <c r="A3343" s="4" t="s">
        <v>7502</v>
      </c>
      <c r="B3343" s="5" t="s">
        <v>7502</v>
      </c>
      <c r="C3343" s="5" t="s">
        <v>31</v>
      </c>
      <c r="D3343" s="5" t="s">
        <v>32</v>
      </c>
      <c r="E3343" s="5" t="s">
        <v>702</v>
      </c>
      <c r="F3343" s="9">
        <v>43</v>
      </c>
      <c r="G3343" s="9">
        <v>433</v>
      </c>
      <c r="H3343" s="5" t="s">
        <v>20</v>
      </c>
      <c r="I3343" s="5" t="s">
        <v>7503</v>
      </c>
      <c r="J3343" s="12" t="str">
        <f>HYPERLINK("https://www.boe.es/gazeta/dias/1806/05/23/pdfs/GMD-1806-43.pdf#page=9","Abrir facsímil")</f>
        <v>Abrir facsímil</v>
      </c>
      <c r="K3343" s="15" t="s">
        <v>22</v>
      </c>
    </row>
    <row r="3344" spans="1:11" ht="42" customHeight="1">
      <c r="A3344" s="4" t="s">
        <v>7504</v>
      </c>
      <c r="B3344" s="5" t="s">
        <v>7504</v>
      </c>
      <c r="C3344" s="5" t="s">
        <v>17</v>
      </c>
      <c r="D3344" s="5" t="s">
        <v>18</v>
      </c>
      <c r="E3344" s="5" t="s">
        <v>55</v>
      </c>
      <c r="F3344" s="9">
        <v>20</v>
      </c>
      <c r="G3344" s="9">
        <v>184</v>
      </c>
      <c r="H3344" s="5" t="s">
        <v>20</v>
      </c>
      <c r="I3344" s="5" t="s">
        <v>7505</v>
      </c>
      <c r="J3344" s="12" t="str">
        <f>HYPERLINK("https://www.boe.es/gazeta/dias/1806/03/04/pdfs/GMD-1806-20.pdf#page=8","Abrir facsímil")</f>
        <v>Abrir facsímil</v>
      </c>
      <c r="K3344" s="15" t="s">
        <v>22</v>
      </c>
    </row>
    <row r="3345" spans="1:11" ht="42" customHeight="1">
      <c r="A3345" s="4" t="s">
        <v>7506</v>
      </c>
      <c r="B3345" s="5" t="s">
        <v>7506</v>
      </c>
      <c r="C3345" s="5" t="s">
        <v>31</v>
      </c>
      <c r="D3345" s="5" t="s">
        <v>32</v>
      </c>
      <c r="E3345" s="5" t="s">
        <v>59</v>
      </c>
      <c r="F3345" s="9">
        <v>21</v>
      </c>
      <c r="G3345" s="9">
        <v>196</v>
      </c>
      <c r="H3345" s="5" t="s">
        <v>20</v>
      </c>
      <c r="I3345" s="5" t="s">
        <v>7507</v>
      </c>
      <c r="J3345" s="12" t="str">
        <f>HYPERLINK("https://www.boe.es/gazeta/dias/1806/03/07/pdfs/GMD-1806-21.pdf#page=8","Abrir facsímil")</f>
        <v>Abrir facsímil</v>
      </c>
      <c r="K3345" s="15" t="s">
        <v>22</v>
      </c>
    </row>
    <row r="3346" spans="1:11" ht="42" customHeight="1">
      <c r="A3346" s="4" t="s">
        <v>7508</v>
      </c>
      <c r="B3346" s="5" t="s">
        <v>7508</v>
      </c>
      <c r="C3346" s="5" t="s">
        <v>31</v>
      </c>
      <c r="D3346" s="5" t="s">
        <v>32</v>
      </c>
      <c r="E3346" s="5" t="s">
        <v>82</v>
      </c>
      <c r="F3346" s="9">
        <v>48</v>
      </c>
      <c r="G3346" s="9">
        <v>496</v>
      </c>
      <c r="H3346" s="5" t="s">
        <v>20</v>
      </c>
      <c r="I3346" s="5" t="s">
        <v>7509</v>
      </c>
      <c r="J3346" s="12" t="str">
        <f>HYPERLINK("https://www.boe.es/gazeta/dias/1806/06/10/pdfs/GMD-1806-48.pdf#page=8","Abrir facsímil")</f>
        <v>Abrir facsímil</v>
      </c>
      <c r="K3346" s="15" t="s">
        <v>22</v>
      </c>
    </row>
    <row r="3347" spans="1:11" ht="42" customHeight="1">
      <c r="A3347" s="4" t="s">
        <v>7510</v>
      </c>
      <c r="B3347" s="5" t="s">
        <v>7510</v>
      </c>
      <c r="C3347" s="5" t="s">
        <v>31</v>
      </c>
      <c r="D3347" s="5" t="s">
        <v>32</v>
      </c>
      <c r="E3347" s="5" t="s">
        <v>96</v>
      </c>
      <c r="F3347" s="9">
        <v>62</v>
      </c>
      <c r="G3347" s="9">
        <v>649</v>
      </c>
      <c r="H3347" s="5" t="s">
        <v>20</v>
      </c>
      <c r="I3347" s="5" t="s">
        <v>7511</v>
      </c>
      <c r="J3347" s="12" t="str">
        <f>HYPERLINK("https://www.boe.es/gazeta/dias/1806/07/29/pdfs/GMD-1806-62.pdf#page=9","Abrir facsímil")</f>
        <v>Abrir facsímil</v>
      </c>
      <c r="K3347" s="15" t="s">
        <v>22</v>
      </c>
    </row>
    <row r="3348" spans="1:11" ht="42" customHeight="1">
      <c r="A3348" s="4" t="s">
        <v>7512</v>
      </c>
      <c r="B3348" s="5" t="s">
        <v>7512</v>
      </c>
      <c r="C3348" s="5" t="s">
        <v>31</v>
      </c>
      <c r="D3348" s="5" t="s">
        <v>32</v>
      </c>
      <c r="E3348" s="5" t="s">
        <v>86</v>
      </c>
      <c r="F3348" s="9">
        <v>53</v>
      </c>
      <c r="G3348" s="9">
        <v>552</v>
      </c>
      <c r="H3348" s="5" t="s">
        <v>20</v>
      </c>
      <c r="I3348" s="5" t="s">
        <v>7513</v>
      </c>
      <c r="J3348" s="12" t="str">
        <f>HYPERLINK("https://www.boe.es/gazeta/dias/1806/06/27/pdfs/GMD-1806-53.pdf#page=8","Abrir facsímil")</f>
        <v>Abrir facsímil</v>
      </c>
      <c r="K3348" s="15" t="s">
        <v>22</v>
      </c>
    </row>
    <row r="3349" spans="1:11" ht="42" customHeight="1">
      <c r="A3349" s="4" t="s">
        <v>7514</v>
      </c>
      <c r="B3349" s="5" t="s">
        <v>7514</v>
      </c>
      <c r="C3349" s="5" t="s">
        <v>31</v>
      </c>
      <c r="D3349" s="5" t="s">
        <v>32</v>
      </c>
      <c r="E3349" s="5" t="s">
        <v>110</v>
      </c>
      <c r="F3349" s="9">
        <v>55</v>
      </c>
      <c r="G3349" s="9">
        <v>574</v>
      </c>
      <c r="H3349" s="5" t="s">
        <v>20</v>
      </c>
      <c r="I3349" s="5" t="s">
        <v>7515</v>
      </c>
      <c r="J3349" s="12" t="str">
        <f>HYPERLINK("https://www.boe.es/gazeta/dias/1806/07/04/pdfs/GMD-1806-55.pdf#page=10","Abrir facsímil")</f>
        <v>Abrir facsímil</v>
      </c>
      <c r="K3349" s="15" t="s">
        <v>22</v>
      </c>
    </row>
    <row r="3350" spans="1:11" ht="42" customHeight="1">
      <c r="A3350" s="4" t="s">
        <v>7516</v>
      </c>
      <c r="B3350" s="5" t="s">
        <v>7516</v>
      </c>
      <c r="C3350" s="5" t="s">
        <v>17</v>
      </c>
      <c r="D3350" s="5" t="s">
        <v>18</v>
      </c>
      <c r="E3350" s="5" t="s">
        <v>213</v>
      </c>
      <c r="F3350" s="9">
        <v>73</v>
      </c>
      <c r="G3350" s="9">
        <v>757</v>
      </c>
      <c r="H3350" s="5" t="s">
        <v>20</v>
      </c>
      <c r="I3350" s="5" t="s">
        <v>7517</v>
      </c>
      <c r="J3350" s="12" t="str">
        <f>HYPERLINK("https://www.boe.es/gazeta/dias/1806/09/05/pdfs/GMD-1806-73.pdf#page=5","Abrir facsímil")</f>
        <v>Abrir facsímil</v>
      </c>
      <c r="K3350" s="15" t="s">
        <v>22</v>
      </c>
    </row>
    <row r="3351" spans="1:11" ht="42" customHeight="1">
      <c r="A3351" s="4" t="s">
        <v>7518</v>
      </c>
      <c r="B3351" s="5" t="s">
        <v>7518</v>
      </c>
      <c r="C3351" s="5" t="s">
        <v>31</v>
      </c>
      <c r="D3351" s="5" t="s">
        <v>32</v>
      </c>
      <c r="E3351" s="5" t="s">
        <v>400</v>
      </c>
      <c r="F3351" s="9">
        <v>22</v>
      </c>
      <c r="G3351" s="9">
        <v>208</v>
      </c>
      <c r="H3351" s="5" t="s">
        <v>20</v>
      </c>
      <c r="I3351" s="5" t="s">
        <v>7519</v>
      </c>
      <c r="J3351" s="12" t="str">
        <f>HYPERLINK("https://www.boe.es/gazeta/dias/1806/03/11/pdfs/GMD-1806-22.pdf#page=8","Abrir facsímil")</f>
        <v>Abrir facsímil</v>
      </c>
      <c r="K3351" s="15" t="s">
        <v>22</v>
      </c>
    </row>
    <row r="3352" spans="1:11" ht="42" customHeight="1">
      <c r="A3352" s="4" t="s">
        <v>7520</v>
      </c>
      <c r="B3352" s="5" t="s">
        <v>7520</v>
      </c>
      <c r="C3352" s="5" t="s">
        <v>447</v>
      </c>
      <c r="D3352" s="5" t="s">
        <v>448</v>
      </c>
      <c r="E3352" s="5" t="s">
        <v>304</v>
      </c>
      <c r="F3352" s="9">
        <v>47</v>
      </c>
      <c r="G3352" s="9">
        <v>483</v>
      </c>
      <c r="H3352" s="5" t="s">
        <v>20</v>
      </c>
      <c r="I3352" s="5" t="s">
        <v>7521</v>
      </c>
      <c r="J3352" s="12" t="str">
        <f>HYPERLINK("https://www.boe.es/gazeta/dias/1806/06/06/pdfs/GMD-C-1806-47.pdf#page=3","Abrir facsímil")</f>
        <v>Abrir facsímil</v>
      </c>
      <c r="K3352" s="15" t="s">
        <v>22</v>
      </c>
    </row>
    <row r="3353" spans="1:11" ht="42" customHeight="1">
      <c r="A3353" s="4" t="s">
        <v>7522</v>
      </c>
      <c r="B3353" s="5" t="s">
        <v>7522</v>
      </c>
      <c r="C3353" s="5" t="s">
        <v>17</v>
      </c>
      <c r="D3353" s="5" t="s">
        <v>18</v>
      </c>
      <c r="E3353" s="5" t="s">
        <v>309</v>
      </c>
      <c r="F3353" s="9">
        <v>41</v>
      </c>
      <c r="G3353" s="9">
        <v>409</v>
      </c>
      <c r="H3353" s="5" t="s">
        <v>20</v>
      </c>
      <c r="I3353" s="5" t="s">
        <v>7523</v>
      </c>
      <c r="J3353" s="12" t="str">
        <f>HYPERLINK("https://www.boe.es/gazeta/dias/1806/05/16/pdfs/GMD-1806-41.pdf#page=9","Abrir facsímil")</f>
        <v>Abrir facsímil</v>
      </c>
      <c r="K3353" s="15" t="s">
        <v>22</v>
      </c>
    </row>
    <row r="3354" spans="1:11" ht="42" customHeight="1">
      <c r="A3354" s="4" t="s">
        <v>7522</v>
      </c>
      <c r="B3354" s="5" t="s">
        <v>7522</v>
      </c>
      <c r="C3354" s="5" t="s">
        <v>17</v>
      </c>
      <c r="D3354" s="5" t="s">
        <v>18</v>
      </c>
      <c r="E3354" s="5" t="s">
        <v>309</v>
      </c>
      <c r="F3354" s="9">
        <v>41</v>
      </c>
      <c r="G3354" s="9">
        <v>410</v>
      </c>
      <c r="H3354" s="5" t="s">
        <v>20</v>
      </c>
      <c r="I3354" s="5" t="s">
        <v>7524</v>
      </c>
      <c r="J3354" s="12" t="str">
        <f>HYPERLINK("https://www.boe.es/gazeta/dias/1806/05/16/pdfs/GMD-1806-41.pdf#page=10","Abrir facsímil")</f>
        <v>Abrir facsímil</v>
      </c>
      <c r="K3354" s="15" t="s">
        <v>22</v>
      </c>
    </row>
    <row r="3355" spans="1:11" ht="42" customHeight="1">
      <c r="A3355" s="4" t="s">
        <v>7525</v>
      </c>
      <c r="B3355" s="5" t="s">
        <v>7525</v>
      </c>
      <c r="C3355" s="5" t="s">
        <v>17</v>
      </c>
      <c r="D3355" s="5" t="s">
        <v>18</v>
      </c>
      <c r="E3355" s="5" t="s">
        <v>430</v>
      </c>
      <c r="F3355" s="9">
        <v>12</v>
      </c>
      <c r="G3355" s="9">
        <v>106</v>
      </c>
      <c r="H3355" s="5" t="s">
        <v>20</v>
      </c>
      <c r="I3355" s="5" t="s">
        <v>7526</v>
      </c>
      <c r="J3355" s="12" t="str">
        <f>HYPERLINK("https://www.boe.es/gazeta/dias/1806/02/04/pdfs/GMD-1806-12.pdf#page=6","Abrir facsímil")</f>
        <v>Abrir facsímil</v>
      </c>
      <c r="K3355" s="15" t="s">
        <v>22</v>
      </c>
    </row>
    <row r="3356" spans="1:11" ht="42" customHeight="1">
      <c r="A3356" s="4" t="s">
        <v>7527</v>
      </c>
      <c r="B3356" s="5" t="s">
        <v>7527</v>
      </c>
      <c r="C3356" s="5" t="s">
        <v>31</v>
      </c>
      <c r="D3356" s="5" t="s">
        <v>32</v>
      </c>
      <c r="E3356" s="5" t="s">
        <v>59</v>
      </c>
      <c r="F3356" s="9">
        <v>21</v>
      </c>
      <c r="G3356" s="9">
        <v>196</v>
      </c>
      <c r="H3356" s="5" t="s">
        <v>20</v>
      </c>
      <c r="I3356" s="5" t="s">
        <v>7528</v>
      </c>
      <c r="J3356" s="12" t="str">
        <f>HYPERLINK("https://www.boe.es/gazeta/dias/1806/03/07/pdfs/GMD-1806-21.pdf#page=8","Abrir facsímil")</f>
        <v>Abrir facsímil</v>
      </c>
      <c r="K3356" s="15" t="s">
        <v>22</v>
      </c>
    </row>
    <row r="3357" spans="1:11" ht="42" customHeight="1">
      <c r="A3357" s="4" t="s">
        <v>7529</v>
      </c>
      <c r="B3357" s="5" t="s">
        <v>7529</v>
      </c>
      <c r="C3357" s="5" t="s">
        <v>42</v>
      </c>
      <c r="D3357" s="5" t="s">
        <v>43</v>
      </c>
      <c r="E3357" s="5" t="s">
        <v>93</v>
      </c>
      <c r="F3357" s="9">
        <v>72</v>
      </c>
      <c r="G3357" s="9">
        <v>749</v>
      </c>
      <c r="H3357" s="5" t="s">
        <v>20</v>
      </c>
      <c r="I3357" s="5" t="s">
        <v>7530</v>
      </c>
      <c r="J3357" s="12" t="str">
        <f>HYPERLINK("https://www.boe.es/gazeta/dias/1806/09/02/pdfs/GMD-1806-72.pdf#page=9","Abrir facsímil")</f>
        <v>Abrir facsímil</v>
      </c>
      <c r="K3357" s="15" t="s">
        <v>22</v>
      </c>
    </row>
    <row r="3358" spans="1:11" ht="42" customHeight="1">
      <c r="A3358" s="4" t="s">
        <v>7531</v>
      </c>
      <c r="B3358" s="5" t="s">
        <v>7531</v>
      </c>
      <c r="C3358" s="5" t="s">
        <v>31</v>
      </c>
      <c r="D3358" s="5" t="s">
        <v>32</v>
      </c>
      <c r="E3358" s="5" t="s">
        <v>76</v>
      </c>
      <c r="F3358" s="9">
        <v>98</v>
      </c>
      <c r="G3358" s="9">
        <v>1043</v>
      </c>
      <c r="H3358" s="5" t="s">
        <v>20</v>
      </c>
      <c r="I3358" s="5" t="s">
        <v>7532</v>
      </c>
      <c r="J3358" s="12" t="str">
        <f>HYPERLINK("https://www.boe.es/gazeta/dias/1806/12/02/pdfs/GMD-1806-98.pdf#page=11","Abrir facsímil")</f>
        <v>Abrir facsímil</v>
      </c>
      <c r="K3358" s="15" t="s">
        <v>22</v>
      </c>
    </row>
    <row r="3359" spans="1:11" ht="42" customHeight="1">
      <c r="A3359" s="4" t="s">
        <v>7533</v>
      </c>
      <c r="B3359" s="5" t="s">
        <v>7533</v>
      </c>
      <c r="C3359" s="5" t="s">
        <v>31</v>
      </c>
      <c r="D3359" s="5" t="s">
        <v>32</v>
      </c>
      <c r="E3359" s="5" t="s">
        <v>118</v>
      </c>
      <c r="F3359" s="9">
        <v>15</v>
      </c>
      <c r="G3359" s="9">
        <v>134</v>
      </c>
      <c r="H3359" s="5" t="s">
        <v>20</v>
      </c>
      <c r="I3359" s="5" t="s">
        <v>7534</v>
      </c>
      <c r="J3359" s="12" t="str">
        <f>HYPERLINK("https://www.boe.es/gazeta/dias/1806/02/14/pdfs/GMD-1806-15.pdf#page=10","Abrir facsímil")</f>
        <v>Abrir facsímil</v>
      </c>
      <c r="K3359" s="15" t="s">
        <v>22</v>
      </c>
    </row>
    <row r="3360" spans="1:11" ht="42" customHeight="1">
      <c r="A3360" s="4" t="s">
        <v>7535</v>
      </c>
      <c r="B3360" s="5" t="s">
        <v>7535</v>
      </c>
      <c r="C3360" s="5" t="s">
        <v>31</v>
      </c>
      <c r="D3360" s="5" t="s">
        <v>32</v>
      </c>
      <c r="E3360" s="5" t="s">
        <v>780</v>
      </c>
      <c r="F3360" s="9">
        <v>33</v>
      </c>
      <c r="G3360" s="9">
        <v>326</v>
      </c>
      <c r="H3360" s="5" t="s">
        <v>20</v>
      </c>
      <c r="I3360" s="5" t="s">
        <v>7536</v>
      </c>
      <c r="J3360" s="12" t="str">
        <f>HYPERLINK("https://www.boe.es/gazeta/dias/1806/04/18/pdfs/GMD-1806-33.pdf#page=6","Abrir facsímil")</f>
        <v>Abrir facsímil</v>
      </c>
      <c r="K3360" s="15" t="s">
        <v>22</v>
      </c>
    </row>
    <row r="3361" spans="1:11" ht="42" customHeight="1">
      <c r="A3361" s="4" t="s">
        <v>7537</v>
      </c>
      <c r="B3361" s="5" t="s">
        <v>7537</v>
      </c>
      <c r="C3361" s="5" t="s">
        <v>31</v>
      </c>
      <c r="D3361" s="5" t="s">
        <v>32</v>
      </c>
      <c r="E3361" s="5" t="s">
        <v>185</v>
      </c>
      <c r="F3361" s="9">
        <v>46</v>
      </c>
      <c r="G3361" s="9">
        <v>469</v>
      </c>
      <c r="H3361" s="5" t="s">
        <v>20</v>
      </c>
      <c r="I3361" s="5" t="s">
        <v>7538</v>
      </c>
      <c r="J3361" s="12" t="str">
        <f>HYPERLINK("https://www.boe.es/gazeta/dias/1806/06/03/pdfs/GMD-1806-46.pdf#page=9","Abrir facsímil")</f>
        <v>Abrir facsímil</v>
      </c>
      <c r="K3361" s="15" t="s">
        <v>22</v>
      </c>
    </row>
    <row r="3362" spans="1:11" ht="42" customHeight="1">
      <c r="A3362" s="4" t="s">
        <v>7539</v>
      </c>
      <c r="B3362" s="5" t="s">
        <v>7539</v>
      </c>
      <c r="C3362" s="5" t="s">
        <v>31</v>
      </c>
      <c r="D3362" s="5" t="s">
        <v>32</v>
      </c>
      <c r="E3362" s="5" t="s">
        <v>144</v>
      </c>
      <c r="F3362" s="9">
        <v>79</v>
      </c>
      <c r="G3362" s="9">
        <v>818</v>
      </c>
      <c r="H3362" s="5" t="s">
        <v>20</v>
      </c>
      <c r="I3362" s="5" t="s">
        <v>7540</v>
      </c>
      <c r="J3362" s="12" t="str">
        <f>HYPERLINK("https://www.boe.es/gazeta/dias/1806/09/26/pdfs/GMD-1806-79.pdf#page=10","Abrir facsímil")</f>
        <v>Abrir facsímil</v>
      </c>
      <c r="K3362" s="15" t="s">
        <v>22</v>
      </c>
    </row>
    <row r="3363" spans="1:11" ht="42" customHeight="1">
      <c r="A3363" s="4" t="s">
        <v>7541</v>
      </c>
      <c r="B3363" s="5" t="s">
        <v>7541</v>
      </c>
      <c r="C3363" s="5" t="s">
        <v>31</v>
      </c>
      <c r="D3363" s="5" t="s">
        <v>32</v>
      </c>
      <c r="E3363" s="5" t="s">
        <v>600</v>
      </c>
      <c r="F3363" s="9">
        <v>77</v>
      </c>
      <c r="G3363" s="9">
        <v>794</v>
      </c>
      <c r="H3363" s="5" t="s">
        <v>20</v>
      </c>
      <c r="I3363" s="5" t="s">
        <v>7542</v>
      </c>
      <c r="J3363" s="12" t="str">
        <f>HYPERLINK("https://www.boe.es/gazeta/dias/1806/09/19/pdfs/GMD-1806-77.pdf#page=6","Abrir facsímil")</f>
        <v>Abrir facsímil</v>
      </c>
      <c r="K3363" s="15" t="s">
        <v>22</v>
      </c>
    </row>
    <row r="3364" spans="1:11" ht="42" customHeight="1">
      <c r="A3364" s="4" t="s">
        <v>7543</v>
      </c>
      <c r="B3364" s="5" t="s">
        <v>7543</v>
      </c>
      <c r="C3364" s="5" t="s">
        <v>31</v>
      </c>
      <c r="D3364" s="5" t="s">
        <v>32</v>
      </c>
      <c r="E3364" s="5" t="s">
        <v>110</v>
      </c>
      <c r="F3364" s="9">
        <v>55</v>
      </c>
      <c r="G3364" s="9">
        <v>572</v>
      </c>
      <c r="H3364" s="5" t="s">
        <v>20</v>
      </c>
      <c r="I3364" s="5" t="s">
        <v>7544</v>
      </c>
      <c r="J3364" s="12" t="str">
        <f>HYPERLINK("https://www.boe.es/gazeta/dias/1806/07/04/pdfs/GMD-1806-55.pdf#page=8","Abrir facsímil")</f>
        <v>Abrir facsímil</v>
      </c>
      <c r="K3364" s="15" t="s">
        <v>22</v>
      </c>
    </row>
    <row r="3365" spans="1:11" ht="42" customHeight="1">
      <c r="A3365" s="4" t="s">
        <v>7545</v>
      </c>
      <c r="B3365" s="5" t="s">
        <v>7545</v>
      </c>
      <c r="C3365" s="5" t="s">
        <v>31</v>
      </c>
      <c r="D3365" s="5" t="s">
        <v>32</v>
      </c>
      <c r="E3365" s="5" t="s">
        <v>297</v>
      </c>
      <c r="F3365" s="9">
        <v>94</v>
      </c>
      <c r="G3365" s="9">
        <v>989</v>
      </c>
      <c r="H3365" s="5" t="s">
        <v>20</v>
      </c>
      <c r="I3365" s="5" t="s">
        <v>7546</v>
      </c>
      <c r="J3365" s="12" t="str">
        <f>HYPERLINK("https://www.boe.es/gazeta/dias/1806/11/18/pdfs/GMD-1806-94.pdf#page=9","Abrir facsímil")</f>
        <v>Abrir facsímil</v>
      </c>
      <c r="K3365" s="15" t="s">
        <v>22</v>
      </c>
    </row>
    <row r="3366" spans="1:11" ht="42" customHeight="1">
      <c r="A3366" s="4" t="s">
        <v>7547</v>
      </c>
      <c r="B3366" s="5" t="s">
        <v>7548</v>
      </c>
      <c r="C3366" s="5" t="s">
        <v>17</v>
      </c>
      <c r="D3366" s="5" t="s">
        <v>18</v>
      </c>
      <c r="E3366" s="5" t="s">
        <v>238</v>
      </c>
      <c r="F3366" s="9">
        <v>18</v>
      </c>
      <c r="G3366" s="9">
        <v>160</v>
      </c>
      <c r="H3366" s="5" t="s">
        <v>20</v>
      </c>
      <c r="I3366" s="5" t="s">
        <v>7549</v>
      </c>
      <c r="J3366" s="12" t="str">
        <f>HYPERLINK("https://www.boe.es/gazeta/dias/1806/02/25/pdfs/GMD-1806-18.pdf#page=8","Abrir facsímil")</f>
        <v>Abrir facsímil</v>
      </c>
      <c r="K3366" s="15" t="s">
        <v>22</v>
      </c>
    </row>
    <row r="3367" spans="1:11" ht="42" customHeight="1">
      <c r="A3367" s="4" t="s">
        <v>7550</v>
      </c>
      <c r="B3367" s="5" t="s">
        <v>7550</v>
      </c>
      <c r="C3367" s="5" t="s">
        <v>31</v>
      </c>
      <c r="D3367" s="5" t="s">
        <v>32</v>
      </c>
      <c r="E3367" s="5" t="s">
        <v>1568</v>
      </c>
      <c r="F3367" s="9">
        <v>84</v>
      </c>
      <c r="G3367" s="9">
        <v>870</v>
      </c>
      <c r="H3367" s="5" t="s">
        <v>20</v>
      </c>
      <c r="I3367" s="5" t="s">
        <v>7551</v>
      </c>
      <c r="J3367" s="12" t="str">
        <f>HYPERLINK("https://www.boe.es/gazeta/dias/1806/10/14/pdfs/GMD-1806-84.pdf#page=6","Abrir facsímil")</f>
        <v>Abrir facsímil</v>
      </c>
      <c r="K3367" s="15" t="s">
        <v>22</v>
      </c>
    </row>
    <row r="3368" spans="1:11" ht="42" customHeight="1">
      <c r="A3368" s="4" t="s">
        <v>7552</v>
      </c>
      <c r="B3368" s="5" t="s">
        <v>7552</v>
      </c>
      <c r="C3368" s="5" t="s">
        <v>31</v>
      </c>
      <c r="D3368" s="5" t="s">
        <v>32</v>
      </c>
      <c r="E3368" s="5" t="s">
        <v>185</v>
      </c>
      <c r="F3368" s="9">
        <v>46</v>
      </c>
      <c r="G3368" s="9">
        <v>470</v>
      </c>
      <c r="H3368" s="5" t="s">
        <v>20</v>
      </c>
      <c r="I3368" s="5" t="s">
        <v>7553</v>
      </c>
      <c r="J3368" s="12" t="str">
        <f>HYPERLINK("https://www.boe.es/gazeta/dias/1806/06/03/pdfs/GMD-1806-46.pdf#page=10","Abrir facsímil")</f>
        <v>Abrir facsímil</v>
      </c>
      <c r="K3368" s="15" t="s">
        <v>22</v>
      </c>
    </row>
    <row r="3369" spans="1:11" ht="42" customHeight="1">
      <c r="A3369" s="4" t="s">
        <v>7554</v>
      </c>
      <c r="B3369" s="5" t="s">
        <v>7554</v>
      </c>
      <c r="C3369" s="5" t="s">
        <v>42</v>
      </c>
      <c r="D3369" s="5" t="s">
        <v>43</v>
      </c>
      <c r="E3369" s="5" t="s">
        <v>124</v>
      </c>
      <c r="F3369" s="9">
        <v>25</v>
      </c>
      <c r="G3369" s="9">
        <v>245</v>
      </c>
      <c r="H3369" s="5" t="s">
        <v>20</v>
      </c>
      <c r="I3369" s="5" t="s">
        <v>7555</v>
      </c>
      <c r="J3369" s="12" t="str">
        <f>HYPERLINK("https://www.boe.es/gazeta/dias/1806/03/21/pdfs/GMD-1806-25.pdf#page=9","Abrir facsímil")</f>
        <v>Abrir facsímil</v>
      </c>
      <c r="K3369" s="15" t="s">
        <v>22</v>
      </c>
    </row>
    <row r="3370" spans="1:11" ht="42" customHeight="1">
      <c r="A3370" s="4" t="s">
        <v>7554</v>
      </c>
      <c r="B3370" s="5" t="s">
        <v>7554</v>
      </c>
      <c r="C3370" s="5" t="s">
        <v>42</v>
      </c>
      <c r="D3370" s="5" t="s">
        <v>43</v>
      </c>
      <c r="E3370" s="5" t="s">
        <v>71</v>
      </c>
      <c r="F3370" s="9">
        <v>29</v>
      </c>
      <c r="G3370" s="9">
        <v>287</v>
      </c>
      <c r="H3370" s="5" t="s">
        <v>20</v>
      </c>
      <c r="I3370" s="5" t="s">
        <v>7556</v>
      </c>
      <c r="J3370" s="12" t="str">
        <f>HYPERLINK("https://www.boe.es/gazeta/dias/1806/04/04/pdfs/GMD-1806-29.pdf#page=7","Abrir facsímil")</f>
        <v>Abrir facsímil</v>
      </c>
      <c r="K3370" s="15" t="s">
        <v>22</v>
      </c>
    </row>
    <row r="3371" spans="1:11" ht="42" customHeight="1">
      <c r="A3371" s="4" t="s">
        <v>7557</v>
      </c>
      <c r="B3371" s="5" t="s">
        <v>7557</v>
      </c>
      <c r="C3371" s="5" t="s">
        <v>31</v>
      </c>
      <c r="D3371" s="5" t="s">
        <v>32</v>
      </c>
      <c r="E3371" s="5" t="s">
        <v>118</v>
      </c>
      <c r="F3371" s="9">
        <v>15</v>
      </c>
      <c r="G3371" s="9">
        <v>134</v>
      </c>
      <c r="H3371" s="5" t="s">
        <v>20</v>
      </c>
      <c r="I3371" s="5" t="s">
        <v>7558</v>
      </c>
      <c r="J3371" s="12" t="str">
        <f>HYPERLINK("https://www.boe.es/gazeta/dias/1806/02/14/pdfs/GMD-1806-15.pdf#page=10","Abrir facsímil")</f>
        <v>Abrir facsímil</v>
      </c>
      <c r="K3371" s="15" t="s">
        <v>22</v>
      </c>
    </row>
    <row r="3372" spans="1:11" ht="42" customHeight="1">
      <c r="A3372" s="4" t="s">
        <v>7559</v>
      </c>
      <c r="B3372" s="5" t="s">
        <v>7560</v>
      </c>
      <c r="C3372" s="5" t="s">
        <v>17</v>
      </c>
      <c r="D3372" s="5" t="s">
        <v>18</v>
      </c>
      <c r="E3372" s="5" t="s">
        <v>24</v>
      </c>
      <c r="F3372" s="9">
        <v>32</v>
      </c>
      <c r="G3372" s="9">
        <v>315</v>
      </c>
      <c r="H3372" s="5" t="s">
        <v>20</v>
      </c>
      <c r="I3372" s="5" t="s">
        <v>7561</v>
      </c>
      <c r="J3372" s="12" t="str">
        <f>HYPERLINK("https://www.boe.es/gazeta/dias/1806/04/15/pdfs/GMD-1806-32.pdf#page=7","Abrir facsímil")</f>
        <v>Abrir facsímil</v>
      </c>
      <c r="K3372" s="15" t="s">
        <v>22</v>
      </c>
    </row>
    <row r="3373" spans="1:11" ht="42" customHeight="1">
      <c r="A3373" s="4" t="s">
        <v>7562</v>
      </c>
      <c r="B3373" s="5" t="s">
        <v>7562</v>
      </c>
      <c r="C3373" s="5" t="s">
        <v>31</v>
      </c>
      <c r="D3373" s="5" t="s">
        <v>32</v>
      </c>
      <c r="E3373" s="5" t="s">
        <v>38</v>
      </c>
      <c r="F3373" s="9">
        <v>92</v>
      </c>
      <c r="G3373" s="9">
        <v>963</v>
      </c>
      <c r="H3373" s="5" t="s">
        <v>20</v>
      </c>
      <c r="I3373" s="5" t="s">
        <v>7563</v>
      </c>
      <c r="J3373" s="12" t="str">
        <f>HYPERLINK("https://www.boe.es/gazeta/dias/1806/11/11/pdfs/GMD-1806-92.pdf#page=15","Abrir facsímil")</f>
        <v>Abrir facsímil</v>
      </c>
      <c r="K3373" s="15" t="s">
        <v>22</v>
      </c>
    </row>
    <row r="3374" spans="1:11" ht="42" customHeight="1">
      <c r="A3374" s="4" t="s">
        <v>7564</v>
      </c>
      <c r="B3374" s="5" t="s">
        <v>7564</v>
      </c>
      <c r="C3374" s="5" t="s">
        <v>31</v>
      </c>
      <c r="D3374" s="5" t="s">
        <v>32</v>
      </c>
      <c r="E3374" s="5" t="s">
        <v>540</v>
      </c>
      <c r="F3374" s="9">
        <v>51</v>
      </c>
      <c r="G3374" s="9">
        <v>530</v>
      </c>
      <c r="H3374" s="5" t="s">
        <v>20</v>
      </c>
      <c r="I3374" s="5" t="s">
        <v>7565</v>
      </c>
      <c r="J3374" s="12" t="str">
        <f>HYPERLINK("https://www.boe.es/gazeta/dias/1806/06/20/pdfs/GMD-1806-51.pdf#page=10","Abrir facsímil")</f>
        <v>Abrir facsímil</v>
      </c>
      <c r="K3374" s="15" t="s">
        <v>22</v>
      </c>
    </row>
    <row r="3375" spans="1:11" ht="42" customHeight="1">
      <c r="A3375" s="4" t="s">
        <v>7566</v>
      </c>
      <c r="B3375" s="5" t="s">
        <v>7566</v>
      </c>
      <c r="C3375" s="5" t="s">
        <v>75</v>
      </c>
      <c r="D3375" s="5" t="s">
        <v>43</v>
      </c>
      <c r="E3375" s="5" t="s">
        <v>220</v>
      </c>
      <c r="F3375" s="9">
        <v>24</v>
      </c>
      <c r="G3375" s="9">
        <v>232</v>
      </c>
      <c r="H3375" s="5" t="s">
        <v>20</v>
      </c>
      <c r="I3375" s="5" t="s">
        <v>7567</v>
      </c>
      <c r="J3375" s="12" t="str">
        <f>HYPERLINK("https://www.boe.es/gazeta/dias/1806/03/18/pdfs/GMD-1806-24.pdf#page=8","Abrir facsímil")</f>
        <v>Abrir facsímil</v>
      </c>
      <c r="K3375" s="15" t="s">
        <v>22</v>
      </c>
    </row>
    <row r="3376" spans="1:11" ht="42" customHeight="1">
      <c r="A3376" s="4" t="s">
        <v>7568</v>
      </c>
      <c r="B3376" s="5" t="s">
        <v>7569</v>
      </c>
      <c r="C3376" s="5" t="s">
        <v>31</v>
      </c>
      <c r="D3376" s="5" t="s">
        <v>32</v>
      </c>
      <c r="E3376" s="5" t="s">
        <v>205</v>
      </c>
      <c r="F3376" s="9">
        <v>57</v>
      </c>
      <c r="G3376" s="9">
        <v>594</v>
      </c>
      <c r="H3376" s="5" t="s">
        <v>20</v>
      </c>
      <c r="I3376" s="5" t="s">
        <v>7570</v>
      </c>
      <c r="J3376" s="12" t="str">
        <f>HYPERLINK("https://www.boe.es/gazeta/dias/1806/07/11/pdfs/GMD-1806-57.pdf#page=6","Abrir facsímil")</f>
        <v>Abrir facsímil</v>
      </c>
      <c r="K3376" s="15" t="s">
        <v>22</v>
      </c>
    </row>
    <row r="3377" spans="1:11" ht="42" customHeight="1">
      <c r="A3377" s="4" t="s">
        <v>7568</v>
      </c>
      <c r="B3377" s="5" t="s">
        <v>7569</v>
      </c>
      <c r="C3377" s="5" t="s">
        <v>31</v>
      </c>
      <c r="D3377" s="5" t="s">
        <v>32</v>
      </c>
      <c r="E3377" s="5" t="s">
        <v>181</v>
      </c>
      <c r="F3377" s="9">
        <v>99</v>
      </c>
      <c r="G3377" s="9">
        <v>1053</v>
      </c>
      <c r="H3377" s="5" t="s">
        <v>20</v>
      </c>
      <c r="I3377" s="5" t="s">
        <v>7571</v>
      </c>
      <c r="J3377" s="12" t="str">
        <f>HYPERLINK("https://www.boe.es/gazeta/dias/1806/12/05/pdfs/GMD-1806-99.pdf#page=9","Abrir facsímil")</f>
        <v>Abrir facsímil</v>
      </c>
      <c r="K3377" s="15" t="s">
        <v>22</v>
      </c>
    </row>
    <row r="3378" spans="1:11" ht="42" customHeight="1">
      <c r="A3378" s="4" t="s">
        <v>7572</v>
      </c>
      <c r="B3378" s="5" t="s">
        <v>7572</v>
      </c>
      <c r="C3378" s="5" t="s">
        <v>31</v>
      </c>
      <c r="D3378" s="5" t="s">
        <v>32</v>
      </c>
      <c r="E3378" s="5" t="s">
        <v>554</v>
      </c>
      <c r="F3378" s="9">
        <v>90</v>
      </c>
      <c r="G3378" s="9">
        <v>934</v>
      </c>
      <c r="H3378" s="5" t="s">
        <v>20</v>
      </c>
      <c r="I3378" s="5" t="s">
        <v>7573</v>
      </c>
      <c r="J3378" s="12" t="str">
        <f>HYPERLINK("https://www.boe.es/gazeta/dias/1806/11/04/pdfs/GMD-1806-90.pdf#page=10","Abrir facsímil")</f>
        <v>Abrir facsímil</v>
      </c>
      <c r="K3378" s="15" t="s">
        <v>22</v>
      </c>
    </row>
    <row r="3379" spans="1:11" ht="42" customHeight="1">
      <c r="A3379" s="4" t="s">
        <v>7574</v>
      </c>
      <c r="B3379" s="5" t="s">
        <v>7574</v>
      </c>
      <c r="C3379" s="5" t="s">
        <v>36</v>
      </c>
      <c r="D3379" s="5" t="s">
        <v>37</v>
      </c>
      <c r="E3379" s="5" t="s">
        <v>220</v>
      </c>
      <c r="F3379" s="9">
        <v>24</v>
      </c>
      <c r="G3379" s="9">
        <v>236</v>
      </c>
      <c r="H3379" s="5" t="s">
        <v>20</v>
      </c>
      <c r="I3379" s="5" t="s">
        <v>7575</v>
      </c>
      <c r="J3379" s="12" t="str">
        <f>HYPERLINK("https://www.boe.es/gazeta/dias/1806/03/18/pdfs/GMD-1806-24.pdf#page=12","Abrir facsímil")</f>
        <v>Abrir facsímil</v>
      </c>
      <c r="K3379" s="15" t="s">
        <v>22</v>
      </c>
    </row>
    <row r="3380" spans="1:11" ht="42" customHeight="1">
      <c r="A3380" s="4" t="s">
        <v>7576</v>
      </c>
      <c r="B3380" s="5" t="s">
        <v>7576</v>
      </c>
      <c r="C3380" s="5" t="s">
        <v>42</v>
      </c>
      <c r="D3380" s="5" t="s">
        <v>43</v>
      </c>
      <c r="E3380" s="5" t="s">
        <v>181</v>
      </c>
      <c r="F3380" s="9">
        <v>99</v>
      </c>
      <c r="G3380" s="9">
        <v>1053</v>
      </c>
      <c r="H3380" s="5" t="s">
        <v>20</v>
      </c>
      <c r="I3380" s="5" t="s">
        <v>7577</v>
      </c>
      <c r="J3380" s="12" t="str">
        <f>HYPERLINK("https://www.boe.es/gazeta/dias/1806/12/05/pdfs/GMD-1806-99.pdf#page=9","Abrir facsímil")</f>
        <v>Abrir facsímil</v>
      </c>
      <c r="K3380" s="15" t="s">
        <v>22</v>
      </c>
    </row>
    <row r="3381" spans="1:11" ht="42" customHeight="1">
      <c r="A3381" s="4" t="s">
        <v>7576</v>
      </c>
      <c r="B3381" s="5" t="s">
        <v>7576</v>
      </c>
      <c r="C3381" s="5" t="s">
        <v>31</v>
      </c>
      <c r="D3381" s="5" t="s">
        <v>32</v>
      </c>
      <c r="E3381" s="5" t="s">
        <v>327</v>
      </c>
      <c r="F3381" s="9">
        <v>104</v>
      </c>
      <c r="G3381" s="9">
        <v>1110</v>
      </c>
      <c r="H3381" s="5" t="s">
        <v>20</v>
      </c>
      <c r="I3381" s="5" t="s">
        <v>7578</v>
      </c>
      <c r="J3381" s="12" t="str">
        <f>HYPERLINK("https://www.boe.es/gazeta/dias/1806/12/23/pdfs/GMD-1806-104.pdf#page=10","Abrir facsímil")</f>
        <v>Abrir facsímil</v>
      </c>
      <c r="K3381" s="15" t="s">
        <v>22</v>
      </c>
    </row>
    <row r="3382" spans="1:11" ht="42" customHeight="1">
      <c r="A3382" s="4" t="s">
        <v>7579</v>
      </c>
      <c r="B3382" s="5" t="s">
        <v>7579</v>
      </c>
      <c r="C3382" s="5" t="s">
        <v>31</v>
      </c>
      <c r="D3382" s="5" t="s">
        <v>32</v>
      </c>
      <c r="E3382" s="5" t="s">
        <v>76</v>
      </c>
      <c r="F3382" s="9">
        <v>98</v>
      </c>
      <c r="G3382" s="9">
        <v>1043</v>
      </c>
      <c r="H3382" s="5" t="s">
        <v>20</v>
      </c>
      <c r="I3382" s="5" t="s">
        <v>7580</v>
      </c>
      <c r="J3382" s="12" t="str">
        <f>HYPERLINK("https://www.boe.es/gazeta/dias/1806/12/02/pdfs/GMD-1806-98.pdf#page=11","Abrir facsímil")</f>
        <v>Abrir facsímil</v>
      </c>
      <c r="K3382" s="15" t="s">
        <v>22</v>
      </c>
    </row>
    <row r="3383" spans="1:11" ht="42" customHeight="1">
      <c r="A3383" s="4" t="s">
        <v>7581</v>
      </c>
      <c r="B3383" s="5" t="s">
        <v>7581</v>
      </c>
      <c r="C3383" s="5" t="s">
        <v>31</v>
      </c>
      <c r="D3383" s="5" t="s">
        <v>32</v>
      </c>
      <c r="E3383" s="5" t="s">
        <v>400</v>
      </c>
      <c r="F3383" s="9">
        <v>22</v>
      </c>
      <c r="G3383" s="9">
        <v>207</v>
      </c>
      <c r="H3383" s="5" t="s">
        <v>20</v>
      </c>
      <c r="I3383" s="5" t="s">
        <v>7582</v>
      </c>
      <c r="J3383" s="12" t="str">
        <f>HYPERLINK("https://www.boe.es/gazeta/dias/1806/03/11/pdfs/GMD-1806-22.pdf#page=7","Abrir facsímil")</f>
        <v>Abrir facsímil</v>
      </c>
      <c r="K3383" s="15" t="s">
        <v>22</v>
      </c>
    </row>
    <row r="3384" spans="1:11" ht="42" customHeight="1">
      <c r="A3384" s="4" t="s">
        <v>7583</v>
      </c>
      <c r="B3384" s="5" t="s">
        <v>7583</v>
      </c>
      <c r="C3384" s="5" t="s">
        <v>75</v>
      </c>
      <c r="D3384" s="5" t="s">
        <v>43</v>
      </c>
      <c r="E3384" s="5" t="s">
        <v>231</v>
      </c>
      <c r="F3384" s="9">
        <v>89</v>
      </c>
      <c r="G3384" s="9">
        <v>922</v>
      </c>
      <c r="H3384" s="5" t="s">
        <v>20</v>
      </c>
      <c r="I3384" s="5" t="s">
        <v>7584</v>
      </c>
      <c r="J3384" s="12" t="str">
        <f>HYPERLINK("https://www.boe.es/gazeta/dias/1806/10/31/pdfs/GMD-1806-89.pdf#page=10","Abrir facsímil")</f>
        <v>Abrir facsímil</v>
      </c>
      <c r="K3384" s="15" t="s">
        <v>22</v>
      </c>
    </row>
    <row r="3385" spans="1:11" ht="42" customHeight="1">
      <c r="A3385" s="4" t="s">
        <v>7585</v>
      </c>
      <c r="B3385" s="5" t="s">
        <v>7585</v>
      </c>
      <c r="C3385" s="5" t="s">
        <v>31</v>
      </c>
      <c r="D3385" s="5" t="s">
        <v>32</v>
      </c>
      <c r="E3385" s="5" t="s">
        <v>327</v>
      </c>
      <c r="F3385" s="9">
        <v>104</v>
      </c>
      <c r="G3385" s="9">
        <v>1110</v>
      </c>
      <c r="H3385" s="5" t="s">
        <v>20</v>
      </c>
      <c r="I3385" s="5" t="s">
        <v>7586</v>
      </c>
      <c r="J3385" s="12" t="str">
        <f>HYPERLINK("https://www.boe.es/gazeta/dias/1806/12/23/pdfs/GMD-1806-104.pdf#page=10","Abrir facsímil")</f>
        <v>Abrir facsímil</v>
      </c>
      <c r="K3385" s="15" t="s">
        <v>22</v>
      </c>
    </row>
    <row r="3386" spans="1:11" ht="42" customHeight="1">
      <c r="A3386" s="4" t="s">
        <v>7587</v>
      </c>
      <c r="B3386" s="5" t="s">
        <v>7587</v>
      </c>
      <c r="C3386" s="5" t="s">
        <v>17</v>
      </c>
      <c r="D3386" s="5" t="s">
        <v>18</v>
      </c>
      <c r="E3386" s="5" t="s">
        <v>195</v>
      </c>
      <c r="F3386" s="9">
        <v>4</v>
      </c>
      <c r="G3386" s="9">
        <v>35</v>
      </c>
      <c r="H3386" s="5" t="s">
        <v>20</v>
      </c>
      <c r="I3386" s="5" t="s">
        <v>7588</v>
      </c>
      <c r="J3386" s="12" t="str">
        <f>HYPERLINK("https://www.boe.es/gazeta/dias/1806/01/14/pdfs/GMD-1806-4.pdf#page=7","Abrir facsímil")</f>
        <v>Abrir facsímil</v>
      </c>
      <c r="K3386" s="15" t="s">
        <v>22</v>
      </c>
    </row>
    <row r="3387" spans="1:11" ht="42" customHeight="1">
      <c r="A3387" s="4" t="s">
        <v>7589</v>
      </c>
      <c r="B3387" s="5" t="s">
        <v>7589</v>
      </c>
      <c r="C3387" s="5" t="s">
        <v>17</v>
      </c>
      <c r="D3387" s="5" t="s">
        <v>18</v>
      </c>
      <c r="E3387" s="5" t="s">
        <v>96</v>
      </c>
      <c r="F3387" s="9">
        <v>62</v>
      </c>
      <c r="G3387" s="9">
        <v>648</v>
      </c>
      <c r="H3387" s="5" t="s">
        <v>20</v>
      </c>
      <c r="I3387" s="5" t="s">
        <v>7590</v>
      </c>
      <c r="J3387" s="12" t="str">
        <f>HYPERLINK("https://www.boe.es/gazeta/dias/1806/07/29/pdfs/GMD-1806-62.pdf#page=8","Abrir facsímil")</f>
        <v>Abrir facsímil</v>
      </c>
      <c r="K3387" s="15" t="s">
        <v>22</v>
      </c>
    </row>
    <row r="3388" spans="1:11" ht="42" customHeight="1">
      <c r="A3388" s="4" t="s">
        <v>7591</v>
      </c>
      <c r="B3388" s="5" t="s">
        <v>7591</v>
      </c>
      <c r="C3388" s="5" t="s">
        <v>31</v>
      </c>
      <c r="D3388" s="5" t="s">
        <v>32</v>
      </c>
      <c r="E3388" s="5" t="s">
        <v>209</v>
      </c>
      <c r="F3388" s="9">
        <v>95</v>
      </c>
      <c r="G3388" s="9">
        <v>1005</v>
      </c>
      <c r="H3388" s="5" t="s">
        <v>20</v>
      </c>
      <c r="I3388" s="5" t="s">
        <v>7592</v>
      </c>
      <c r="J3388" s="12" t="str">
        <f>HYPERLINK("https://www.boe.es/gazeta/dias/1806/11/21/pdfs/GMD-1806-95.pdf#page=13","Abrir facsímil")</f>
        <v>Abrir facsímil</v>
      </c>
      <c r="K3388" s="15" t="s">
        <v>22</v>
      </c>
    </row>
    <row r="3389" spans="1:11" ht="42" customHeight="1">
      <c r="A3389" s="4" t="s">
        <v>7593</v>
      </c>
      <c r="B3389" s="5" t="s">
        <v>7593</v>
      </c>
      <c r="C3389" s="5" t="s">
        <v>31</v>
      </c>
      <c r="D3389" s="5" t="s">
        <v>32</v>
      </c>
      <c r="E3389" s="5" t="s">
        <v>48</v>
      </c>
      <c r="F3389" s="9">
        <v>67</v>
      </c>
      <c r="G3389" s="9">
        <v>700</v>
      </c>
      <c r="H3389" s="5" t="s">
        <v>20</v>
      </c>
      <c r="I3389" s="5" t="s">
        <v>7594</v>
      </c>
      <c r="J3389" s="12" t="str">
        <f>HYPERLINK("https://www.boe.es/gazeta/dias/1806/08/15/pdfs/GMD-1806-67.pdf#page=8","Abrir facsímil")</f>
        <v>Abrir facsímil</v>
      </c>
      <c r="K3389" s="15" t="s">
        <v>22</v>
      </c>
    </row>
    <row r="3390" spans="1:11" ht="42" customHeight="1">
      <c r="A3390" s="4" t="s">
        <v>7595</v>
      </c>
      <c r="B3390" s="5" t="s">
        <v>7595</v>
      </c>
      <c r="C3390" s="5" t="s">
        <v>17</v>
      </c>
      <c r="D3390" s="5" t="s">
        <v>18</v>
      </c>
      <c r="E3390" s="5" t="s">
        <v>165</v>
      </c>
      <c r="F3390" s="9">
        <v>101</v>
      </c>
      <c r="G3390" s="9">
        <v>1075</v>
      </c>
      <c r="H3390" s="5" t="s">
        <v>20</v>
      </c>
      <c r="I3390" s="5" t="s">
        <v>7596</v>
      </c>
      <c r="J3390" s="12" t="str">
        <f>HYPERLINK("https://www.boe.es/gazeta/dias/1806/12/12/pdfs/GMD-1806-101.pdf#page=7","Abrir facsímil")</f>
        <v>Abrir facsímil</v>
      </c>
      <c r="K3390" s="15" t="s">
        <v>22</v>
      </c>
    </row>
    <row r="3391" spans="1:11" ht="42" customHeight="1">
      <c r="A3391" s="4" t="s">
        <v>7597</v>
      </c>
      <c r="B3391" s="5" t="s">
        <v>7597</v>
      </c>
      <c r="C3391" s="5" t="s">
        <v>31</v>
      </c>
      <c r="D3391" s="5" t="s">
        <v>32</v>
      </c>
      <c r="E3391" s="5" t="s">
        <v>76</v>
      </c>
      <c r="F3391" s="9">
        <v>98</v>
      </c>
      <c r="G3391" s="9">
        <v>1043</v>
      </c>
      <c r="H3391" s="5" t="s">
        <v>20</v>
      </c>
      <c r="I3391" s="5" t="s">
        <v>7598</v>
      </c>
      <c r="J3391" s="12" t="str">
        <f>HYPERLINK("https://www.boe.es/gazeta/dias/1806/12/02/pdfs/GMD-1806-98.pdf#page=11","Abrir facsímil")</f>
        <v>Abrir facsímil</v>
      </c>
      <c r="K3391" s="15" t="s">
        <v>22</v>
      </c>
    </row>
    <row r="3392" spans="1:11" ht="42" customHeight="1">
      <c r="A3392" s="4" t="s">
        <v>7599</v>
      </c>
      <c r="B3392" s="5" t="s">
        <v>7599</v>
      </c>
      <c r="C3392" s="5" t="s">
        <v>31</v>
      </c>
      <c r="D3392" s="5" t="s">
        <v>32</v>
      </c>
      <c r="E3392" s="5" t="s">
        <v>238</v>
      </c>
      <c r="F3392" s="9">
        <v>18</v>
      </c>
      <c r="G3392" s="9">
        <v>160</v>
      </c>
      <c r="H3392" s="5" t="s">
        <v>20</v>
      </c>
      <c r="I3392" s="5" t="s">
        <v>7600</v>
      </c>
      <c r="J3392" s="12" t="str">
        <f>HYPERLINK("https://www.boe.es/gazeta/dias/1806/02/25/pdfs/GMD-1806-18.pdf#page=8","Abrir facsímil")</f>
        <v>Abrir facsímil</v>
      </c>
      <c r="K3392" s="15" t="s">
        <v>22</v>
      </c>
    </row>
    <row r="3393" spans="1:11" ht="42" customHeight="1">
      <c r="A3393" s="4" t="s">
        <v>7599</v>
      </c>
      <c r="B3393" s="5" t="s">
        <v>7599</v>
      </c>
      <c r="C3393" s="5" t="s">
        <v>31</v>
      </c>
      <c r="D3393" s="5" t="s">
        <v>32</v>
      </c>
      <c r="E3393" s="5" t="s">
        <v>859</v>
      </c>
      <c r="F3393" s="9">
        <v>63</v>
      </c>
      <c r="G3393" s="9">
        <v>662</v>
      </c>
      <c r="H3393" s="5" t="s">
        <v>20</v>
      </c>
      <c r="I3393" s="5" t="s">
        <v>7601</v>
      </c>
      <c r="J3393" s="12" t="str">
        <f>HYPERLINK("https://www.boe.es/gazeta/dias/1806/08/01/pdfs/GMD-1806-63.pdf#page=10","Abrir facsímil")</f>
        <v>Abrir facsímil</v>
      </c>
      <c r="K3393" s="15" t="s">
        <v>22</v>
      </c>
    </row>
    <row r="3394" spans="1:11" ht="42" customHeight="1">
      <c r="A3394" s="4" t="s">
        <v>7599</v>
      </c>
      <c r="B3394" s="5" t="s">
        <v>7599</v>
      </c>
      <c r="C3394" s="5" t="s">
        <v>31</v>
      </c>
      <c r="D3394" s="5" t="s">
        <v>32</v>
      </c>
      <c r="E3394" s="5" t="s">
        <v>140</v>
      </c>
      <c r="F3394" s="9">
        <v>83</v>
      </c>
      <c r="G3394" s="9">
        <v>859</v>
      </c>
      <c r="H3394" s="5" t="s">
        <v>20</v>
      </c>
      <c r="I3394" s="5" t="s">
        <v>7602</v>
      </c>
      <c r="J3394" s="12" t="str">
        <f>HYPERLINK("https://www.boe.es/gazeta/dias/1806/10/10/pdfs/GMD-1806-83.pdf#page=7","Abrir facsímil")</f>
        <v>Abrir facsímil</v>
      </c>
      <c r="K3394" s="15" t="s">
        <v>22</v>
      </c>
    </row>
    <row r="3395" spans="1:11" ht="42" customHeight="1">
      <c r="A3395" s="4" t="s">
        <v>7599</v>
      </c>
      <c r="B3395" s="5" t="s">
        <v>7599</v>
      </c>
      <c r="C3395" s="5" t="s">
        <v>17</v>
      </c>
      <c r="D3395" s="5" t="s">
        <v>18</v>
      </c>
      <c r="E3395" s="5" t="s">
        <v>312</v>
      </c>
      <c r="F3395" s="9">
        <v>100</v>
      </c>
      <c r="G3395" s="9">
        <v>1065</v>
      </c>
      <c r="H3395" s="5" t="s">
        <v>20</v>
      </c>
      <c r="I3395" s="5" t="s">
        <v>7603</v>
      </c>
      <c r="J3395" s="12" t="str">
        <f>HYPERLINK("https://www.boe.es/gazeta/dias/1806/12/09/pdfs/GMD-1806-100.pdf#page=9","Abrir facsímil")</f>
        <v>Abrir facsímil</v>
      </c>
      <c r="K3395" s="15" t="s">
        <v>22</v>
      </c>
    </row>
    <row r="3396" spans="1:11" ht="42" customHeight="1">
      <c r="A3396" s="4" t="s">
        <v>7604</v>
      </c>
      <c r="B3396" s="5" t="s">
        <v>7604</v>
      </c>
      <c r="C3396" s="5" t="s">
        <v>31</v>
      </c>
      <c r="D3396" s="5" t="s">
        <v>32</v>
      </c>
      <c r="E3396" s="5" t="s">
        <v>19</v>
      </c>
      <c r="F3396" s="9">
        <v>3</v>
      </c>
      <c r="G3396" s="9">
        <v>26</v>
      </c>
      <c r="H3396" s="5" t="s">
        <v>20</v>
      </c>
      <c r="I3396" s="5" t="s">
        <v>7605</v>
      </c>
      <c r="J3396" s="12" t="str">
        <f>HYPERLINK("https://www.boe.es/gazeta/dias/1806/01/10/pdfs/GMD-1806-3.pdf#page=6","Abrir facsímil")</f>
        <v>Abrir facsímil</v>
      </c>
      <c r="K3396" s="15" t="s">
        <v>22</v>
      </c>
    </row>
    <row r="3397" spans="1:11" ht="42" customHeight="1">
      <c r="A3397" s="4" t="s">
        <v>7606</v>
      </c>
      <c r="B3397" s="5" t="s">
        <v>7607</v>
      </c>
      <c r="C3397" s="5" t="s">
        <v>31</v>
      </c>
      <c r="D3397" s="5" t="s">
        <v>32</v>
      </c>
      <c r="E3397" s="5" t="s">
        <v>161</v>
      </c>
      <c r="F3397" s="9">
        <v>11</v>
      </c>
      <c r="G3397" s="9">
        <v>98</v>
      </c>
      <c r="H3397" s="5" t="s">
        <v>20</v>
      </c>
      <c r="I3397" s="5" t="s">
        <v>7608</v>
      </c>
      <c r="J3397" s="12" t="str">
        <f>HYPERLINK("https://www.boe.es/gazeta/dias/1806/01/31/pdfs/GMD-1806-11.pdf#page=6","Abrir facsímil")</f>
        <v>Abrir facsímil</v>
      </c>
      <c r="K3397" s="15" t="s">
        <v>22</v>
      </c>
    </row>
    <row r="3398" spans="1:11" ht="42" customHeight="1">
      <c r="A3398" s="4" t="s">
        <v>7609</v>
      </c>
      <c r="B3398" s="5" t="s">
        <v>7609</v>
      </c>
      <c r="C3398" s="5" t="s">
        <v>17</v>
      </c>
      <c r="D3398" s="5" t="s">
        <v>18</v>
      </c>
      <c r="E3398" s="5" t="s">
        <v>195</v>
      </c>
      <c r="F3398" s="9">
        <v>4</v>
      </c>
      <c r="G3398" s="9">
        <v>35</v>
      </c>
      <c r="H3398" s="5" t="s">
        <v>20</v>
      </c>
      <c r="I3398" s="5" t="s">
        <v>7610</v>
      </c>
      <c r="J3398" s="12" t="str">
        <f>HYPERLINK("https://www.boe.es/gazeta/dias/1806/01/14/pdfs/GMD-1806-4.pdf#page=7","Abrir facsímil")</f>
        <v>Abrir facsímil</v>
      </c>
      <c r="K3398" s="15" t="s">
        <v>22</v>
      </c>
    </row>
    <row r="3399" spans="1:11" ht="42" customHeight="1">
      <c r="A3399" s="4" t="s">
        <v>7611</v>
      </c>
      <c r="B3399" s="5" t="s">
        <v>7611</v>
      </c>
      <c r="C3399" s="5" t="s">
        <v>17</v>
      </c>
      <c r="D3399" s="5" t="s">
        <v>18</v>
      </c>
      <c r="E3399" s="5" t="s">
        <v>348</v>
      </c>
      <c r="F3399" s="9">
        <v>88</v>
      </c>
      <c r="G3399" s="9">
        <v>911</v>
      </c>
      <c r="H3399" s="5" t="s">
        <v>20</v>
      </c>
      <c r="I3399" s="5" t="s">
        <v>7612</v>
      </c>
      <c r="J3399" s="12" t="str">
        <f>HYPERLINK("https://www.boe.es/gazeta/dias/1806/10/28/pdfs/GMD-1806-88.pdf#page=7","Abrir facsímil")</f>
        <v>Abrir facsímil</v>
      </c>
      <c r="K3399" s="15" t="s">
        <v>22</v>
      </c>
    </row>
    <row r="3400" spans="1:11" ht="42" customHeight="1">
      <c r="A3400" s="4" t="s">
        <v>7613</v>
      </c>
      <c r="B3400" s="5" t="s">
        <v>7614</v>
      </c>
      <c r="C3400" s="5" t="s">
        <v>69</v>
      </c>
      <c r="D3400" s="5" t="s">
        <v>70</v>
      </c>
      <c r="E3400" s="5" t="s">
        <v>188</v>
      </c>
      <c r="F3400" s="9">
        <v>2</v>
      </c>
      <c r="G3400" s="9">
        <v>16</v>
      </c>
      <c r="H3400" s="5" t="s">
        <v>20</v>
      </c>
      <c r="I3400" s="5" t="s">
        <v>7615</v>
      </c>
      <c r="J3400" s="12" t="str">
        <f>HYPERLINK("https://www.boe.es/gazeta/dias/1806/01/07/pdfs/GMD-1806-2.pdf#page=4","Abrir facsímil")</f>
        <v>Abrir facsímil</v>
      </c>
      <c r="K3400" s="15" t="s">
        <v>22</v>
      </c>
    </row>
    <row r="3401" spans="1:11" ht="42" customHeight="1">
      <c r="A3401" s="4" t="s">
        <v>7613</v>
      </c>
      <c r="B3401" s="5" t="s">
        <v>7614</v>
      </c>
      <c r="C3401" s="5" t="s">
        <v>69</v>
      </c>
      <c r="D3401" s="5" t="s">
        <v>70</v>
      </c>
      <c r="E3401" s="5" t="s">
        <v>1778</v>
      </c>
      <c r="F3401" s="9">
        <v>16</v>
      </c>
      <c r="G3401" s="9">
        <v>142</v>
      </c>
      <c r="H3401" s="5" t="s">
        <v>20</v>
      </c>
      <c r="I3401" s="5" t="s">
        <v>7616</v>
      </c>
      <c r="J3401" s="12" t="str">
        <f>HYPERLINK("https://www.boe.es/gazeta/dias/1806/02/18/pdfs/GMD-1806-16.pdf#page=6","Abrir facsímil")</f>
        <v>Abrir facsímil</v>
      </c>
      <c r="K3401" s="15" t="s">
        <v>22</v>
      </c>
    </row>
    <row r="3402" spans="1:11" ht="42" customHeight="1">
      <c r="A3402" s="4" t="s">
        <v>7613</v>
      </c>
      <c r="B3402" s="5" t="s">
        <v>7614</v>
      </c>
      <c r="C3402" s="5" t="s">
        <v>36</v>
      </c>
      <c r="D3402" s="5" t="s">
        <v>37</v>
      </c>
      <c r="E3402" s="5" t="s">
        <v>59</v>
      </c>
      <c r="F3402" s="9">
        <v>21</v>
      </c>
      <c r="G3402" s="9">
        <v>195</v>
      </c>
      <c r="H3402" s="5" t="s">
        <v>20</v>
      </c>
      <c r="I3402" s="5" t="s">
        <v>7617</v>
      </c>
      <c r="J3402" s="12" t="str">
        <f>HYPERLINK("https://www.boe.es/gazeta/dias/1806/03/07/pdfs/GMD-1806-21.pdf#page=7","Abrir facsímil")</f>
        <v>Abrir facsímil</v>
      </c>
      <c r="K3402" s="15" t="s">
        <v>22</v>
      </c>
    </row>
    <row r="3403" spans="1:11" ht="42" customHeight="1">
      <c r="A3403" s="4" t="s">
        <v>7613</v>
      </c>
      <c r="B3403" s="5" t="s">
        <v>7614</v>
      </c>
      <c r="C3403" s="5" t="s">
        <v>36</v>
      </c>
      <c r="D3403" s="5" t="s">
        <v>37</v>
      </c>
      <c r="E3403" s="5" t="s">
        <v>82</v>
      </c>
      <c r="F3403" s="9">
        <v>48</v>
      </c>
      <c r="G3403" s="9">
        <v>500</v>
      </c>
      <c r="H3403" s="5" t="s">
        <v>20</v>
      </c>
      <c r="I3403" s="5" t="s">
        <v>7618</v>
      </c>
      <c r="J3403" s="12" t="str">
        <f>HYPERLINK("https://www.boe.es/gazeta/dias/1806/06/10/pdfs/GMD-1806-48.pdf#page=12","Abrir facsímil")</f>
        <v>Abrir facsímil</v>
      </c>
      <c r="K3403" s="15" t="s">
        <v>22</v>
      </c>
    </row>
    <row r="3404" spans="1:11" ht="42" customHeight="1">
      <c r="A3404" s="4" t="s">
        <v>7619</v>
      </c>
      <c r="B3404" s="5" t="s">
        <v>7619</v>
      </c>
      <c r="C3404" s="5" t="s">
        <v>31</v>
      </c>
      <c r="D3404" s="5" t="s">
        <v>32</v>
      </c>
      <c r="E3404" s="5" t="s">
        <v>175</v>
      </c>
      <c r="F3404" s="9">
        <v>40</v>
      </c>
      <c r="G3404" s="9">
        <v>394</v>
      </c>
      <c r="H3404" s="5" t="s">
        <v>20</v>
      </c>
      <c r="I3404" s="5" t="s">
        <v>7620</v>
      </c>
      <c r="J3404" s="12" t="str">
        <f>HYPERLINK("https://www.boe.es/gazeta/dias/1806/05/13/pdfs/GMD-1806-40.pdf#page=6","Abrir facsímil")</f>
        <v>Abrir facsímil</v>
      </c>
      <c r="K3404" s="15" t="s">
        <v>22</v>
      </c>
    </row>
    <row r="3405" spans="1:11" ht="42" customHeight="1">
      <c r="A3405" s="4" t="s">
        <v>7621</v>
      </c>
      <c r="B3405" s="5" t="s">
        <v>7622</v>
      </c>
      <c r="C3405" s="5" t="s">
        <v>36</v>
      </c>
      <c r="D3405" s="5" t="s">
        <v>37</v>
      </c>
      <c r="E3405" s="5" t="s">
        <v>702</v>
      </c>
      <c r="F3405" s="9">
        <v>43</v>
      </c>
      <c r="G3405" s="9">
        <v>435</v>
      </c>
      <c r="H3405" s="5" t="s">
        <v>20</v>
      </c>
      <c r="I3405" s="5" t="s">
        <v>7623</v>
      </c>
      <c r="J3405" s="12" t="str">
        <f>HYPERLINK("https://www.boe.es/gazeta/dias/1806/05/23/pdfs/GMD-1806-43.pdf#page=11","Abrir facsímil")</f>
        <v>Abrir facsímil</v>
      </c>
      <c r="K3405" s="15" t="s">
        <v>22</v>
      </c>
    </row>
    <row r="3406" spans="1:11" ht="42" customHeight="1">
      <c r="A3406" s="4" t="s">
        <v>7624</v>
      </c>
      <c r="B3406" s="5" t="s">
        <v>7624</v>
      </c>
      <c r="C3406" s="5" t="s">
        <v>17</v>
      </c>
      <c r="D3406" s="5" t="s">
        <v>18</v>
      </c>
      <c r="E3406" s="5" t="s">
        <v>140</v>
      </c>
      <c r="F3406" s="9">
        <v>83</v>
      </c>
      <c r="G3406" s="9">
        <v>863</v>
      </c>
      <c r="H3406" s="5" t="s">
        <v>20</v>
      </c>
      <c r="I3406" s="5" t="s">
        <v>7625</v>
      </c>
      <c r="J3406" s="12" t="str">
        <f>HYPERLINK("https://www.boe.es/gazeta/dias/1806/10/10/pdfs/GMD-1806-83.pdf#page=11","Abrir facsímil")</f>
        <v>Abrir facsímil</v>
      </c>
      <c r="K3406" s="15" t="s">
        <v>22</v>
      </c>
    </row>
    <row r="3407" spans="1:11" ht="42" customHeight="1">
      <c r="A3407" s="4" t="s">
        <v>7626</v>
      </c>
      <c r="B3407" s="5" t="s">
        <v>7626</v>
      </c>
      <c r="C3407" s="5" t="s">
        <v>36</v>
      </c>
      <c r="D3407" s="5" t="s">
        <v>37</v>
      </c>
      <c r="E3407" s="5" t="s">
        <v>195</v>
      </c>
      <c r="F3407" s="9">
        <v>4</v>
      </c>
      <c r="G3407" s="9">
        <v>39</v>
      </c>
      <c r="H3407" s="5" t="s">
        <v>20</v>
      </c>
      <c r="I3407" s="5" t="s">
        <v>7627</v>
      </c>
      <c r="J3407" s="12" t="str">
        <f>HYPERLINK("https://www.boe.es/gazeta/dias/1806/01/14/pdfs/GMD-1806-4.pdf#page=11","Abrir facsímil")</f>
        <v>Abrir facsímil</v>
      </c>
      <c r="K3407" s="15" t="s">
        <v>22</v>
      </c>
    </row>
    <row r="3408" spans="1:11" ht="42" customHeight="1">
      <c r="A3408" s="4" t="s">
        <v>7628</v>
      </c>
      <c r="B3408" s="5" t="s">
        <v>7628</v>
      </c>
      <c r="C3408" s="5" t="s">
        <v>31</v>
      </c>
      <c r="D3408" s="5" t="s">
        <v>32</v>
      </c>
      <c r="E3408" s="5" t="s">
        <v>178</v>
      </c>
      <c r="F3408" s="9">
        <v>36</v>
      </c>
      <c r="G3408" s="9">
        <v>350</v>
      </c>
      <c r="H3408" s="5" t="s">
        <v>20</v>
      </c>
      <c r="I3408" s="5" t="s">
        <v>7629</v>
      </c>
      <c r="J3408" s="12" t="str">
        <f>HYPERLINK("https://www.boe.es/gazeta/dias/1806/04/29/pdfs/GMD-1806-36.pdf#page=6","Abrir facsímil")</f>
        <v>Abrir facsímil</v>
      </c>
      <c r="K3408" s="15" t="s">
        <v>22</v>
      </c>
    </row>
    <row r="3409" spans="1:11" ht="42" customHeight="1">
      <c r="A3409" s="4" t="s">
        <v>7630</v>
      </c>
      <c r="B3409" s="5" t="s">
        <v>7630</v>
      </c>
      <c r="C3409" s="5" t="s">
        <v>17</v>
      </c>
      <c r="D3409" s="5" t="s">
        <v>18</v>
      </c>
      <c r="E3409" s="5" t="s">
        <v>121</v>
      </c>
      <c r="F3409" s="9">
        <v>19</v>
      </c>
      <c r="G3409" s="9">
        <v>174</v>
      </c>
      <c r="H3409" s="5" t="s">
        <v>20</v>
      </c>
      <c r="I3409" s="5" t="s">
        <v>7631</v>
      </c>
      <c r="J3409" s="12" t="str">
        <f>HYPERLINK("https://www.boe.es/gazeta/dias/1806/02/28/pdfs/GMD-1806-19.pdf#page=10","Abrir facsímil")</f>
        <v>Abrir facsímil</v>
      </c>
      <c r="K3409" s="15" t="s">
        <v>22</v>
      </c>
    </row>
    <row r="3410" spans="1:11" ht="42" customHeight="1">
      <c r="A3410" s="4" t="s">
        <v>7632</v>
      </c>
      <c r="B3410" s="5" t="s">
        <v>7632</v>
      </c>
      <c r="C3410" s="5" t="s">
        <v>31</v>
      </c>
      <c r="D3410" s="5" t="s">
        <v>32</v>
      </c>
      <c r="E3410" s="5" t="s">
        <v>400</v>
      </c>
      <c r="F3410" s="9">
        <v>22</v>
      </c>
      <c r="G3410" s="9">
        <v>207</v>
      </c>
      <c r="H3410" s="5" t="s">
        <v>20</v>
      </c>
      <c r="I3410" s="5" t="s">
        <v>7633</v>
      </c>
      <c r="J3410" s="12" t="str">
        <f>HYPERLINK("https://www.boe.es/gazeta/dias/1806/03/11/pdfs/GMD-1806-22.pdf#page=7","Abrir facsímil")</f>
        <v>Abrir facsímil</v>
      </c>
      <c r="K3410" s="15" t="s">
        <v>22</v>
      </c>
    </row>
    <row r="3411" spans="1:11" ht="42" customHeight="1">
      <c r="A3411" s="4" t="s">
        <v>7634</v>
      </c>
      <c r="B3411" s="5" t="s">
        <v>7634</v>
      </c>
      <c r="C3411" s="5" t="s">
        <v>17</v>
      </c>
      <c r="D3411" s="5" t="s">
        <v>18</v>
      </c>
      <c r="E3411" s="5" t="s">
        <v>90</v>
      </c>
      <c r="F3411" s="9">
        <v>60</v>
      </c>
      <c r="G3411" s="9">
        <v>625</v>
      </c>
      <c r="H3411" s="5" t="s">
        <v>20</v>
      </c>
      <c r="I3411" s="5" t="s">
        <v>7635</v>
      </c>
      <c r="J3411" s="12" t="str">
        <f>HYPERLINK("https://www.boe.es/gazeta/dias/1806/07/22/pdfs/GMD-1806-60.pdf#page=9","Abrir facsímil")</f>
        <v>Abrir facsímil</v>
      </c>
      <c r="K3411" s="15" t="s">
        <v>22</v>
      </c>
    </row>
    <row r="3412" spans="1:11" ht="42" customHeight="1">
      <c r="A3412" s="4" t="s">
        <v>7636</v>
      </c>
      <c r="B3412" s="5" t="s">
        <v>7636</v>
      </c>
      <c r="C3412" s="5" t="s">
        <v>31</v>
      </c>
      <c r="D3412" s="5" t="s">
        <v>32</v>
      </c>
      <c r="E3412" s="5" t="s">
        <v>227</v>
      </c>
      <c r="F3412" s="9">
        <v>27</v>
      </c>
      <c r="G3412" s="9">
        <v>269</v>
      </c>
      <c r="H3412" s="5" t="s">
        <v>20</v>
      </c>
      <c r="I3412" s="5" t="s">
        <v>7637</v>
      </c>
      <c r="J3412" s="12" t="str">
        <f>HYPERLINK("https://www.boe.es/gazeta/dias/1806/03/28/pdfs/GMD-1806-27.pdf#page=9","Abrir facsímil")</f>
        <v>Abrir facsímil</v>
      </c>
      <c r="K3412" s="15" t="s">
        <v>22</v>
      </c>
    </row>
    <row r="3413" spans="1:11" ht="42" customHeight="1">
      <c r="A3413" s="4" t="s">
        <v>7638</v>
      </c>
      <c r="B3413" s="5" t="s">
        <v>7638</v>
      </c>
      <c r="C3413" s="5" t="s">
        <v>31</v>
      </c>
      <c r="D3413" s="5" t="s">
        <v>32</v>
      </c>
      <c r="E3413" s="5" t="s">
        <v>396</v>
      </c>
      <c r="F3413" s="9">
        <v>91</v>
      </c>
      <c r="G3413" s="9">
        <v>945</v>
      </c>
      <c r="H3413" s="5" t="s">
        <v>20</v>
      </c>
      <c r="I3413" s="5" t="s">
        <v>7639</v>
      </c>
      <c r="J3413" s="12" t="str">
        <f>HYPERLINK("https://www.boe.es/gazeta/dias/1806/11/07/pdfs/GMD-1806-91.pdf#page=9","Abrir facsímil")</f>
        <v>Abrir facsímil</v>
      </c>
      <c r="K3413" s="15" t="s">
        <v>22</v>
      </c>
    </row>
    <row r="3414" spans="1:11" ht="42" customHeight="1">
      <c r="A3414" s="4" t="s">
        <v>7640</v>
      </c>
      <c r="B3414" s="5" t="s">
        <v>7640</v>
      </c>
      <c r="C3414" s="5" t="s">
        <v>36</v>
      </c>
      <c r="D3414" s="5" t="s">
        <v>37</v>
      </c>
      <c r="E3414" s="5" t="s">
        <v>434</v>
      </c>
      <c r="F3414" s="9">
        <v>74</v>
      </c>
      <c r="G3414" s="9" t="s">
        <v>1084</v>
      </c>
      <c r="H3414" s="5" t="s">
        <v>20</v>
      </c>
      <c r="I3414" s="5" t="s">
        <v>7641</v>
      </c>
      <c r="J3414" s="12" t="str">
        <f>HYPERLINK("https://www.boe.es/gazeta/dias/1806/09/09/pdfs/GMD-C-1806-74.pdf#page=4","Abrir facsímil")</f>
        <v>Abrir facsímil</v>
      </c>
      <c r="K3414" s="15" t="s">
        <v>22</v>
      </c>
    </row>
    <row r="3415" spans="1:11" ht="42" customHeight="1">
      <c r="A3415" s="4" t="s">
        <v>7642</v>
      </c>
      <c r="B3415" s="5" t="s">
        <v>7643</v>
      </c>
      <c r="C3415" s="5" t="s">
        <v>69</v>
      </c>
      <c r="D3415" s="5" t="s">
        <v>70</v>
      </c>
      <c r="E3415" s="5" t="s">
        <v>24</v>
      </c>
      <c r="F3415" s="9">
        <v>32</v>
      </c>
      <c r="G3415" s="9">
        <v>313</v>
      </c>
      <c r="H3415" s="5" t="s">
        <v>20</v>
      </c>
      <c r="I3415" s="5" t="s">
        <v>7644</v>
      </c>
      <c r="J3415" s="12" t="str">
        <f>HYPERLINK("https://www.boe.es/gazeta/dias/1806/04/15/pdfs/GMD-1806-32.pdf#page=5","Abrir facsímil")</f>
        <v>Abrir facsímil</v>
      </c>
      <c r="K3415" s="15" t="s">
        <v>22</v>
      </c>
    </row>
    <row r="3416" spans="1:11" ht="42" customHeight="1">
      <c r="A3416" s="4" t="s">
        <v>7645</v>
      </c>
      <c r="B3416" s="5" t="s">
        <v>7645</v>
      </c>
      <c r="C3416" s="5" t="s">
        <v>31</v>
      </c>
      <c r="D3416" s="5" t="s">
        <v>32</v>
      </c>
      <c r="E3416" s="5" t="s">
        <v>220</v>
      </c>
      <c r="F3416" s="9">
        <v>24</v>
      </c>
      <c r="G3416" s="9">
        <v>232</v>
      </c>
      <c r="H3416" s="5" t="s">
        <v>20</v>
      </c>
      <c r="I3416" s="5" t="s">
        <v>7646</v>
      </c>
      <c r="J3416" s="12" t="str">
        <f>HYPERLINK("https://www.boe.es/gazeta/dias/1806/03/18/pdfs/GMD-1806-24.pdf#page=8","Abrir facsímil")</f>
        <v>Abrir facsímil</v>
      </c>
      <c r="K3416" s="15" t="s">
        <v>22</v>
      </c>
    </row>
    <row r="3417" spans="1:11" ht="42" customHeight="1">
      <c r="A3417" s="4" t="s">
        <v>7647</v>
      </c>
      <c r="B3417" s="5" t="s">
        <v>7647</v>
      </c>
      <c r="C3417" s="5" t="s">
        <v>447</v>
      </c>
      <c r="D3417" s="5" t="s">
        <v>448</v>
      </c>
      <c r="E3417" s="5" t="s">
        <v>304</v>
      </c>
      <c r="F3417" s="9">
        <v>47</v>
      </c>
      <c r="G3417" s="9">
        <v>483</v>
      </c>
      <c r="H3417" s="5" t="s">
        <v>20</v>
      </c>
      <c r="I3417" s="5" t="s">
        <v>7648</v>
      </c>
      <c r="J3417" s="12" t="str">
        <f>HYPERLINK("https://www.boe.es/gazeta/dias/1806/06/06/pdfs/GMD-C-1806-47.pdf#page=3","Abrir facsímil")</f>
        <v>Abrir facsímil</v>
      </c>
      <c r="K3417" s="15" t="s">
        <v>22</v>
      </c>
    </row>
    <row r="3418" spans="1:11" ht="42" customHeight="1">
      <c r="A3418" s="4" t="s">
        <v>7649</v>
      </c>
      <c r="B3418" s="5" t="s">
        <v>7649</v>
      </c>
      <c r="C3418" s="5" t="s">
        <v>31</v>
      </c>
      <c r="D3418" s="5" t="s">
        <v>32</v>
      </c>
      <c r="E3418" s="5" t="s">
        <v>285</v>
      </c>
      <c r="F3418" s="9">
        <v>13</v>
      </c>
      <c r="G3418" s="9">
        <v>114</v>
      </c>
      <c r="H3418" s="5" t="s">
        <v>20</v>
      </c>
      <c r="I3418" s="5" t="s">
        <v>7650</v>
      </c>
      <c r="J3418" s="12" t="str">
        <f>HYPERLINK("https://www.boe.es/gazeta/dias/1806/02/07/pdfs/GMD-1806-13.pdf#page=6","Abrir facsímil")</f>
        <v>Abrir facsímil</v>
      </c>
      <c r="K3418" s="15" t="s">
        <v>22</v>
      </c>
    </row>
    <row r="3419" spans="1:11" ht="42" customHeight="1">
      <c r="A3419" s="4" t="s">
        <v>7651</v>
      </c>
      <c r="B3419" s="5" t="s">
        <v>7651</v>
      </c>
      <c r="C3419" s="5" t="s">
        <v>31</v>
      </c>
      <c r="D3419" s="5" t="s">
        <v>32</v>
      </c>
      <c r="E3419" s="5" t="s">
        <v>297</v>
      </c>
      <c r="F3419" s="9">
        <v>94</v>
      </c>
      <c r="G3419" s="9">
        <v>989</v>
      </c>
      <c r="H3419" s="5" t="s">
        <v>20</v>
      </c>
      <c r="I3419" s="5" t="s">
        <v>7652</v>
      </c>
      <c r="J3419" s="12" t="str">
        <f>HYPERLINK("https://www.boe.es/gazeta/dias/1806/11/18/pdfs/GMD-1806-94.pdf#page=9","Abrir facsímil")</f>
        <v>Abrir facsímil</v>
      </c>
      <c r="K3419" s="15" t="s">
        <v>22</v>
      </c>
    </row>
    <row r="3420" spans="1:11" ht="42" customHeight="1">
      <c r="A3420" s="4" t="s">
        <v>7653</v>
      </c>
      <c r="B3420" s="5" t="s">
        <v>7653</v>
      </c>
      <c r="C3420" s="5" t="s">
        <v>31</v>
      </c>
      <c r="D3420" s="5" t="s">
        <v>32</v>
      </c>
      <c r="E3420" s="5" t="s">
        <v>580</v>
      </c>
      <c r="F3420" s="9">
        <v>23</v>
      </c>
      <c r="G3420" s="9">
        <v>219</v>
      </c>
      <c r="H3420" s="5" t="s">
        <v>20</v>
      </c>
      <c r="I3420" s="5" t="s">
        <v>7654</v>
      </c>
      <c r="J3420" s="12" t="str">
        <f>HYPERLINK("https://www.boe.es/gazeta/dias/1806/03/14/pdfs/GMD-1806-23.pdf#page=7","Abrir facsímil")</f>
        <v>Abrir facsímil</v>
      </c>
      <c r="K3420" s="15" t="s">
        <v>22</v>
      </c>
    </row>
    <row r="3421" spans="1:11" ht="42" customHeight="1">
      <c r="A3421" s="4" t="s">
        <v>7655</v>
      </c>
      <c r="B3421" s="5" t="s">
        <v>7655</v>
      </c>
      <c r="C3421" s="5" t="s">
        <v>31</v>
      </c>
      <c r="D3421" s="5" t="s">
        <v>32</v>
      </c>
      <c r="E3421" s="5" t="s">
        <v>136</v>
      </c>
      <c r="F3421" s="9">
        <v>50</v>
      </c>
      <c r="G3421" s="9">
        <v>519</v>
      </c>
      <c r="H3421" s="5" t="s">
        <v>20</v>
      </c>
      <c r="I3421" s="5" t="s">
        <v>7656</v>
      </c>
      <c r="J3421" s="12" t="str">
        <f>HYPERLINK("https://www.boe.es/gazeta/dias/1806/06/17/pdfs/GMD-1806-50.pdf#page=11","Abrir facsímil")</f>
        <v>Abrir facsímil</v>
      </c>
      <c r="K3421" s="15" t="s">
        <v>22</v>
      </c>
    </row>
    <row r="3422" spans="1:11" ht="42" customHeight="1">
      <c r="A3422" s="4" t="s">
        <v>7657</v>
      </c>
      <c r="B3422" s="5" t="s">
        <v>7658</v>
      </c>
      <c r="C3422" s="5" t="s">
        <v>17</v>
      </c>
      <c r="D3422" s="5" t="s">
        <v>18</v>
      </c>
      <c r="E3422" s="5" t="s">
        <v>363</v>
      </c>
      <c r="F3422" s="9">
        <v>8</v>
      </c>
      <c r="G3422" s="9">
        <v>74</v>
      </c>
      <c r="H3422" s="5" t="s">
        <v>20</v>
      </c>
      <c r="I3422" s="5" t="s">
        <v>7659</v>
      </c>
      <c r="J3422" s="12" t="str">
        <f>HYPERLINK("https://www.boe.es/gazeta/dias/1806/01/24/pdfs/GMD-1806-8.pdf#page=6","Abrir facsímil")</f>
        <v>Abrir facsímil</v>
      </c>
      <c r="K3422" s="15" t="s">
        <v>22</v>
      </c>
    </row>
    <row r="3423" spans="1:11" ht="42" customHeight="1">
      <c r="A3423" s="4" t="s">
        <v>7660</v>
      </c>
      <c r="B3423" s="5" t="s">
        <v>7660</v>
      </c>
      <c r="C3423" s="5" t="s">
        <v>17</v>
      </c>
      <c r="D3423" s="5" t="s">
        <v>18</v>
      </c>
      <c r="E3423" s="5" t="s">
        <v>175</v>
      </c>
      <c r="F3423" s="9">
        <v>40</v>
      </c>
      <c r="G3423" s="9">
        <v>396</v>
      </c>
      <c r="H3423" s="5" t="s">
        <v>20</v>
      </c>
      <c r="I3423" s="5" t="s">
        <v>7661</v>
      </c>
      <c r="J3423" s="12" t="str">
        <f>HYPERLINK("https://www.boe.es/gazeta/dias/1806/05/13/pdfs/GMD-1806-40.pdf#page=8","Abrir facsímil")</f>
        <v>Abrir facsímil</v>
      </c>
      <c r="K3423" s="15" t="s">
        <v>22</v>
      </c>
    </row>
    <row r="3424" spans="1:11" ht="42" customHeight="1">
      <c r="A3424" s="4" t="s">
        <v>7660</v>
      </c>
      <c r="B3424" s="5" t="s">
        <v>7660</v>
      </c>
      <c r="C3424" s="5" t="s">
        <v>75</v>
      </c>
      <c r="D3424" s="5" t="s">
        <v>43</v>
      </c>
      <c r="E3424" s="5" t="s">
        <v>62</v>
      </c>
      <c r="F3424" s="9">
        <v>45</v>
      </c>
      <c r="G3424" s="9">
        <v>457</v>
      </c>
      <c r="H3424" s="5" t="s">
        <v>20</v>
      </c>
      <c r="I3424" s="5" t="s">
        <v>7662</v>
      </c>
      <c r="J3424" s="12" t="str">
        <f>HYPERLINK("https://www.boe.es/gazeta/dias/1806/05/30/pdfs/GMD-1806-45.pdf#page=9","Abrir facsímil")</f>
        <v>Abrir facsímil</v>
      </c>
      <c r="K3424" s="15" t="s">
        <v>22</v>
      </c>
    </row>
    <row r="3425" spans="1:11" ht="42" customHeight="1">
      <c r="A3425" s="4" t="s">
        <v>7663</v>
      </c>
      <c r="B3425" s="5" t="s">
        <v>7663</v>
      </c>
      <c r="C3425" s="5" t="s">
        <v>17</v>
      </c>
      <c r="D3425" s="5" t="s">
        <v>18</v>
      </c>
      <c r="E3425" s="5" t="s">
        <v>306</v>
      </c>
      <c r="F3425" s="9">
        <v>59</v>
      </c>
      <c r="G3425" s="9">
        <v>613</v>
      </c>
      <c r="H3425" s="5" t="s">
        <v>20</v>
      </c>
      <c r="I3425" s="5" t="s">
        <v>7664</v>
      </c>
      <c r="J3425" s="12" t="str">
        <f>HYPERLINK("https://www.boe.es/gazeta/dias/1806/07/18/pdfs/GMD-1806-59.pdf#page=9","Abrir facsímil")</f>
        <v>Abrir facsímil</v>
      </c>
      <c r="K3425" s="15" t="s">
        <v>22</v>
      </c>
    </row>
    <row r="3426" spans="1:11" ht="42" customHeight="1">
      <c r="A3426" s="4" t="s">
        <v>7665</v>
      </c>
      <c r="B3426" s="5" t="s">
        <v>7665</v>
      </c>
      <c r="C3426" s="5" t="s">
        <v>36</v>
      </c>
      <c r="D3426" s="5" t="s">
        <v>37</v>
      </c>
      <c r="E3426" s="5" t="s">
        <v>367</v>
      </c>
      <c r="F3426" s="9">
        <v>87</v>
      </c>
      <c r="G3426" s="9">
        <v>904</v>
      </c>
      <c r="H3426" s="5" t="s">
        <v>20</v>
      </c>
      <c r="I3426" s="5" t="s">
        <v>7666</v>
      </c>
      <c r="J3426" s="12" t="str">
        <f>HYPERLINK("https://www.boe.es/gazeta/dias/1806/10/24/pdfs/GMD-1806-87.pdf#page=12","Abrir facsímil")</f>
        <v>Abrir facsímil</v>
      </c>
      <c r="K3426" s="15" t="s">
        <v>22</v>
      </c>
    </row>
    <row r="3427" spans="1:11" ht="42" customHeight="1">
      <c r="A3427" s="4" t="s">
        <v>7667</v>
      </c>
      <c r="B3427" s="5" t="s">
        <v>7667</v>
      </c>
      <c r="C3427" s="5" t="s">
        <v>75</v>
      </c>
      <c r="D3427" s="5" t="s">
        <v>43</v>
      </c>
      <c r="E3427" s="5" t="s">
        <v>363</v>
      </c>
      <c r="F3427" s="9">
        <v>8</v>
      </c>
      <c r="G3427" s="9">
        <v>75</v>
      </c>
      <c r="H3427" s="5" t="s">
        <v>20</v>
      </c>
      <c r="I3427" s="5" t="s">
        <v>7668</v>
      </c>
      <c r="J3427" s="12" t="str">
        <f>HYPERLINK("https://www.boe.es/gazeta/dias/1806/01/24/pdfs/GMD-1806-8.pdf#page=7","Abrir facsímil")</f>
        <v>Abrir facsímil</v>
      </c>
      <c r="K3427" s="15" t="s">
        <v>22</v>
      </c>
    </row>
    <row r="3428" spans="1:11" ht="42" customHeight="1">
      <c r="A3428" s="4" t="s">
        <v>7667</v>
      </c>
      <c r="B3428" s="5" t="s">
        <v>7667</v>
      </c>
      <c r="C3428" s="5" t="s">
        <v>31</v>
      </c>
      <c r="D3428" s="5" t="s">
        <v>32</v>
      </c>
      <c r="E3428" s="5" t="s">
        <v>79</v>
      </c>
      <c r="F3428" s="9">
        <v>68</v>
      </c>
      <c r="G3428" s="9">
        <v>709</v>
      </c>
      <c r="H3428" s="5" t="s">
        <v>20</v>
      </c>
      <c r="I3428" s="5" t="s">
        <v>7669</v>
      </c>
      <c r="J3428" s="12" t="str">
        <f>HYPERLINK("https://www.boe.es/gazeta/dias/1806/08/19/pdfs/GMD-1806-68.pdf#page=5","Abrir facsímil")</f>
        <v>Abrir facsímil</v>
      </c>
      <c r="K3428" s="15" t="s">
        <v>22</v>
      </c>
    </row>
    <row r="3429" spans="1:11" ht="42" customHeight="1">
      <c r="A3429" s="4" t="s">
        <v>7670</v>
      </c>
      <c r="B3429" s="5" t="s">
        <v>7670</v>
      </c>
      <c r="C3429" s="5" t="s">
        <v>75</v>
      </c>
      <c r="D3429" s="5" t="s">
        <v>43</v>
      </c>
      <c r="E3429" s="5" t="s">
        <v>161</v>
      </c>
      <c r="F3429" s="9">
        <v>11</v>
      </c>
      <c r="G3429" s="9">
        <v>98</v>
      </c>
      <c r="H3429" s="5" t="s">
        <v>20</v>
      </c>
      <c r="I3429" s="5" t="s">
        <v>7671</v>
      </c>
      <c r="J3429" s="12" t="str">
        <f>HYPERLINK("https://www.boe.es/gazeta/dias/1806/01/31/pdfs/GMD-1806-11.pdf#page=6","Abrir facsímil")</f>
        <v>Abrir facsímil</v>
      </c>
      <c r="K3429" s="15" t="s">
        <v>22</v>
      </c>
    </row>
    <row r="3430" spans="1:11" ht="42" customHeight="1">
      <c r="A3430" s="4" t="s">
        <v>7672</v>
      </c>
      <c r="B3430" s="5" t="s">
        <v>7672</v>
      </c>
      <c r="C3430" s="5" t="s">
        <v>31</v>
      </c>
      <c r="D3430" s="5" t="s">
        <v>32</v>
      </c>
      <c r="E3430" s="5" t="s">
        <v>82</v>
      </c>
      <c r="F3430" s="9">
        <v>48</v>
      </c>
      <c r="G3430" s="9">
        <v>496</v>
      </c>
      <c r="H3430" s="5" t="s">
        <v>20</v>
      </c>
      <c r="I3430" s="5" t="s">
        <v>7673</v>
      </c>
      <c r="J3430" s="12" t="str">
        <f>HYPERLINK("https://www.boe.es/gazeta/dias/1806/06/10/pdfs/GMD-1806-48.pdf#page=8","Abrir facsímil")</f>
        <v>Abrir facsímil</v>
      </c>
      <c r="K3430" s="15" t="s">
        <v>22</v>
      </c>
    </row>
    <row r="3431" spans="1:11" ht="42" customHeight="1">
      <c r="A3431" s="4" t="s">
        <v>7674</v>
      </c>
      <c r="B3431" s="5" t="s">
        <v>7675</v>
      </c>
      <c r="C3431" s="5" t="s">
        <v>69</v>
      </c>
      <c r="D3431" s="5" t="s">
        <v>70</v>
      </c>
      <c r="E3431" s="5" t="s">
        <v>172</v>
      </c>
      <c r="F3431" s="9">
        <v>17</v>
      </c>
      <c r="G3431" s="9">
        <v>146</v>
      </c>
      <c r="H3431" s="5" t="s">
        <v>20</v>
      </c>
      <c r="I3431" s="5" t="s">
        <v>7676</v>
      </c>
      <c r="J3431" s="12" t="str">
        <f>HYPERLINK("https://www.boe.es/gazeta/dias/1806/02/21/pdfs/GMD-1806-17.pdf#page=2","Abrir facsímil")</f>
        <v>Abrir facsímil</v>
      </c>
      <c r="K3431" s="15" t="s">
        <v>22</v>
      </c>
    </row>
    <row r="3432" spans="1:11" ht="42" customHeight="1">
      <c r="A3432" s="4" t="s">
        <v>7677</v>
      </c>
      <c r="B3432" s="5" t="s">
        <v>7677</v>
      </c>
      <c r="C3432" s="5" t="s">
        <v>31</v>
      </c>
      <c r="D3432" s="5" t="s">
        <v>32</v>
      </c>
      <c r="E3432" s="5" t="s">
        <v>181</v>
      </c>
      <c r="F3432" s="9">
        <v>99</v>
      </c>
      <c r="G3432" s="9">
        <v>1053</v>
      </c>
      <c r="H3432" s="5" t="s">
        <v>20</v>
      </c>
      <c r="I3432" s="5" t="s">
        <v>7678</v>
      </c>
      <c r="J3432" s="12" t="str">
        <f>HYPERLINK("https://www.boe.es/gazeta/dias/1806/12/05/pdfs/GMD-1806-99.pdf#page=9","Abrir facsímil")</f>
        <v>Abrir facsímil</v>
      </c>
      <c r="K3432" s="15" t="s">
        <v>22</v>
      </c>
    </row>
    <row r="3433" spans="1:11" ht="42" customHeight="1">
      <c r="A3433" s="4" t="s">
        <v>7679</v>
      </c>
      <c r="B3433" s="5" t="s">
        <v>7680</v>
      </c>
      <c r="C3433" s="5" t="s">
        <v>69</v>
      </c>
      <c r="D3433" s="5" t="s">
        <v>70</v>
      </c>
      <c r="E3433" s="5" t="s">
        <v>238</v>
      </c>
      <c r="F3433" s="9">
        <v>18</v>
      </c>
      <c r="G3433" s="9">
        <v>154</v>
      </c>
      <c r="H3433" s="5" t="s">
        <v>20</v>
      </c>
      <c r="I3433" s="5" t="s">
        <v>7681</v>
      </c>
      <c r="J3433" s="12" t="str">
        <f>HYPERLINK("https://www.boe.es/gazeta/dias/1806/02/25/pdfs/GMD-1806-18.pdf#page=2","Abrir facsímil")</f>
        <v>Abrir facsímil</v>
      </c>
      <c r="K3433" s="15" t="s">
        <v>22</v>
      </c>
    </row>
    <row r="3434" spans="1:11" ht="42" customHeight="1">
      <c r="A3434" s="4" t="s">
        <v>7679</v>
      </c>
      <c r="B3434" s="5" t="s">
        <v>7680</v>
      </c>
      <c r="C3434" s="5" t="s">
        <v>69</v>
      </c>
      <c r="D3434" s="5" t="s">
        <v>70</v>
      </c>
      <c r="E3434" s="5" t="s">
        <v>113</v>
      </c>
      <c r="F3434" s="9">
        <v>28</v>
      </c>
      <c r="G3434" s="9">
        <v>273</v>
      </c>
      <c r="H3434" s="5" t="s">
        <v>20</v>
      </c>
      <c r="I3434" s="5" t="s">
        <v>7682</v>
      </c>
      <c r="J3434" s="12" t="str">
        <f>HYPERLINK("https://www.boe.es/gazeta/dias/1806/04/01/pdfs/GMD-1806-28.pdf#page=1","Abrir facsímil")</f>
        <v>Abrir facsímil</v>
      </c>
      <c r="K3434" s="15" t="s">
        <v>22</v>
      </c>
    </row>
    <row r="3435" spans="1:11" ht="42" customHeight="1">
      <c r="A3435" s="4" t="s">
        <v>7679</v>
      </c>
      <c r="B3435" s="5" t="s">
        <v>7680</v>
      </c>
      <c r="C3435" s="5" t="s">
        <v>69</v>
      </c>
      <c r="D3435" s="5" t="s">
        <v>70</v>
      </c>
      <c r="E3435" s="5" t="s">
        <v>51</v>
      </c>
      <c r="F3435" s="9">
        <v>44</v>
      </c>
      <c r="G3435" s="9">
        <v>438</v>
      </c>
      <c r="H3435" s="5" t="s">
        <v>20</v>
      </c>
      <c r="I3435" s="5" t="s">
        <v>7683</v>
      </c>
      <c r="J3435" s="12" t="str">
        <f>HYPERLINK("https://www.boe.es/gazeta/dias/1806/05/27/pdfs/GMD-1806-44.pdf#page=2","Abrir facsímil")</f>
        <v>Abrir facsímil</v>
      </c>
      <c r="K3435" s="15" t="s">
        <v>22</v>
      </c>
    </row>
    <row r="3436" spans="1:11" ht="42" customHeight="1">
      <c r="A3436" s="4" t="s">
        <v>7679</v>
      </c>
      <c r="B3436" s="5" t="s">
        <v>7680</v>
      </c>
      <c r="C3436" s="5" t="s">
        <v>69</v>
      </c>
      <c r="D3436" s="5" t="s">
        <v>70</v>
      </c>
      <c r="E3436" s="5" t="s">
        <v>86</v>
      </c>
      <c r="F3436" s="9">
        <v>53</v>
      </c>
      <c r="G3436" s="9">
        <v>547</v>
      </c>
      <c r="H3436" s="5" t="s">
        <v>20</v>
      </c>
      <c r="I3436" s="5" t="s">
        <v>7684</v>
      </c>
      <c r="J3436" s="12" t="str">
        <f>HYPERLINK("https://www.boe.es/gazeta/dias/1806/06/27/pdfs/GMD-1806-53.pdf#page=3","Abrir facsímil")</f>
        <v>Abrir facsímil</v>
      </c>
      <c r="K3436" s="15" t="s">
        <v>22</v>
      </c>
    </row>
    <row r="3437" spans="1:11" ht="42" customHeight="1">
      <c r="A3437" s="4" t="s">
        <v>7679</v>
      </c>
      <c r="B3437" s="5" t="s">
        <v>7680</v>
      </c>
      <c r="C3437" s="5" t="s">
        <v>69</v>
      </c>
      <c r="D3437" s="5" t="s">
        <v>70</v>
      </c>
      <c r="E3437" s="5" t="s">
        <v>306</v>
      </c>
      <c r="F3437" s="9">
        <v>59</v>
      </c>
      <c r="G3437" s="9">
        <v>606</v>
      </c>
      <c r="H3437" s="5" t="s">
        <v>20</v>
      </c>
      <c r="I3437" s="5" t="s">
        <v>7685</v>
      </c>
      <c r="J3437" s="12" t="str">
        <f>HYPERLINK("https://www.boe.es/gazeta/dias/1806/07/18/pdfs/GMD-1806-59.pdf#page=2","Abrir facsímil")</f>
        <v>Abrir facsímil</v>
      </c>
      <c r="K3437" s="15" t="s">
        <v>22</v>
      </c>
    </row>
    <row r="3438" spans="1:11" ht="42" customHeight="1">
      <c r="A3438" s="4" t="s">
        <v>7679</v>
      </c>
      <c r="B3438" s="5" t="s">
        <v>7680</v>
      </c>
      <c r="C3438" s="5" t="s">
        <v>31</v>
      </c>
      <c r="D3438" s="5" t="s">
        <v>32</v>
      </c>
      <c r="E3438" s="5" t="s">
        <v>1005</v>
      </c>
      <c r="F3438" s="9">
        <v>76</v>
      </c>
      <c r="G3438" s="9">
        <v>782</v>
      </c>
      <c r="H3438" s="5" t="s">
        <v>20</v>
      </c>
      <c r="I3438" s="5" t="s">
        <v>7686</v>
      </c>
      <c r="J3438" s="12" t="str">
        <f>HYPERLINK("https://www.boe.es/gazeta/dias/1806/09/16/pdfs/GMD-1806-76.pdf#page=2","Abrir facsímil")</f>
        <v>Abrir facsímil</v>
      </c>
      <c r="K3438" s="15" t="s">
        <v>22</v>
      </c>
    </row>
    <row r="3439" spans="1:11" ht="42" customHeight="1">
      <c r="A3439" s="4" t="s">
        <v>7687</v>
      </c>
      <c r="B3439" s="5" t="s">
        <v>7688</v>
      </c>
      <c r="C3439" s="5" t="s">
        <v>36</v>
      </c>
      <c r="D3439" s="5" t="s">
        <v>37</v>
      </c>
      <c r="E3439" s="5" t="s">
        <v>306</v>
      </c>
      <c r="F3439" s="9">
        <v>59</v>
      </c>
      <c r="G3439" s="9">
        <v>616</v>
      </c>
      <c r="H3439" s="5" t="s">
        <v>20</v>
      </c>
      <c r="I3439" s="5" t="s">
        <v>7689</v>
      </c>
      <c r="J3439" s="12" t="str">
        <f>HYPERLINK("https://www.boe.es/gazeta/dias/1806/07/18/pdfs/GMD-1806-59.pdf#page=12","Abrir facsímil")</f>
        <v>Abrir facsímil</v>
      </c>
      <c r="K3439" s="15" t="s">
        <v>22</v>
      </c>
    </row>
    <row r="3440" spans="1:11" ht="42" customHeight="1">
      <c r="A3440" s="4" t="s">
        <v>7687</v>
      </c>
      <c r="B3440" s="5" t="s">
        <v>7688</v>
      </c>
      <c r="C3440" s="5" t="s">
        <v>36</v>
      </c>
      <c r="D3440" s="5" t="s">
        <v>37</v>
      </c>
      <c r="E3440" s="5" t="s">
        <v>26</v>
      </c>
      <c r="F3440" s="9">
        <v>65</v>
      </c>
      <c r="G3440" s="9">
        <v>684</v>
      </c>
      <c r="H3440" s="5" t="s">
        <v>20</v>
      </c>
      <c r="I3440" s="5" t="s">
        <v>7690</v>
      </c>
      <c r="J3440" s="12" t="str">
        <f>HYPERLINK("https://www.boe.es/gazeta/dias/1806/08/08/pdfs/GMD-1806-65.pdf#page=12","Abrir facsímil")</f>
        <v>Abrir facsímil</v>
      </c>
      <c r="K3440" s="15" t="s">
        <v>22</v>
      </c>
    </row>
    <row r="3441" spans="1:11" ht="42" customHeight="1">
      <c r="A3441" s="4" t="s">
        <v>7691</v>
      </c>
      <c r="B3441" s="5" t="s">
        <v>7692</v>
      </c>
      <c r="C3441" s="5" t="s">
        <v>17</v>
      </c>
      <c r="D3441" s="5" t="s">
        <v>18</v>
      </c>
      <c r="E3441" s="5" t="s">
        <v>209</v>
      </c>
      <c r="F3441" s="9">
        <v>95</v>
      </c>
      <c r="G3441" s="9">
        <v>1001</v>
      </c>
      <c r="H3441" s="5" t="s">
        <v>20</v>
      </c>
      <c r="I3441" s="5" t="s">
        <v>7693</v>
      </c>
      <c r="J3441" s="12" t="str">
        <f>HYPERLINK("https://www.boe.es/gazeta/dias/1806/11/21/pdfs/GMD-1806-95.pdf#page=9","Abrir facsímil")</f>
        <v>Abrir facsímil</v>
      </c>
      <c r="K3441" s="15" t="s">
        <v>22</v>
      </c>
    </row>
    <row r="3442" spans="1:11" ht="42" customHeight="1">
      <c r="A3442" s="4" t="s">
        <v>7694</v>
      </c>
      <c r="B3442" s="5" t="s">
        <v>7695</v>
      </c>
      <c r="C3442" s="5" t="s">
        <v>31</v>
      </c>
      <c r="D3442" s="5" t="s">
        <v>32</v>
      </c>
      <c r="E3442" s="5" t="s">
        <v>62</v>
      </c>
      <c r="F3442" s="9">
        <v>45</v>
      </c>
      <c r="G3442" s="9">
        <v>451</v>
      </c>
      <c r="H3442" s="5" t="s">
        <v>20</v>
      </c>
      <c r="I3442" s="5" t="s">
        <v>7696</v>
      </c>
      <c r="J3442" s="12" t="str">
        <f>HYPERLINK("https://www.boe.es/gazeta/dias/1806/05/30/pdfs/GMD-1806-45.pdf#page=3","Abrir facsímil")</f>
        <v>Abrir facsímil</v>
      </c>
      <c r="K3442" s="15" t="s">
        <v>22</v>
      </c>
    </row>
    <row r="3443" spans="1:11" ht="42" customHeight="1">
      <c r="A3443" s="4" t="s">
        <v>7697</v>
      </c>
      <c r="B3443" s="5" t="s">
        <v>7697</v>
      </c>
      <c r="C3443" s="5" t="s">
        <v>17</v>
      </c>
      <c r="D3443" s="5" t="s">
        <v>18</v>
      </c>
      <c r="E3443" s="5" t="s">
        <v>178</v>
      </c>
      <c r="F3443" s="9">
        <v>36</v>
      </c>
      <c r="G3443" s="9">
        <v>350</v>
      </c>
      <c r="H3443" s="5" t="s">
        <v>20</v>
      </c>
      <c r="I3443" s="5" t="s">
        <v>7698</v>
      </c>
      <c r="J3443" s="12" t="str">
        <f>HYPERLINK("https://www.boe.es/gazeta/dias/1806/04/29/pdfs/GMD-1806-36.pdf#page=6","Abrir facsímil")</f>
        <v>Abrir facsímil</v>
      </c>
      <c r="K3443" s="15" t="s">
        <v>22</v>
      </c>
    </row>
    <row r="3444" spans="1:11" ht="42" customHeight="1">
      <c r="A3444" s="4" t="s">
        <v>7699</v>
      </c>
      <c r="B3444" s="5" t="s">
        <v>7699</v>
      </c>
      <c r="C3444" s="5" t="s">
        <v>17</v>
      </c>
      <c r="D3444" s="5" t="s">
        <v>18</v>
      </c>
      <c r="E3444" s="5" t="s">
        <v>367</v>
      </c>
      <c r="F3444" s="9">
        <v>87</v>
      </c>
      <c r="G3444" s="9">
        <v>901</v>
      </c>
      <c r="H3444" s="5" t="s">
        <v>20</v>
      </c>
      <c r="I3444" s="5" t="s">
        <v>7700</v>
      </c>
      <c r="J3444" s="12" t="str">
        <f>HYPERLINK("https://www.boe.es/gazeta/dias/1806/10/24/pdfs/GMD-1806-87.pdf#page=9","Abrir facsímil")</f>
        <v>Abrir facsímil</v>
      </c>
      <c r="K3444" s="15" t="s">
        <v>22</v>
      </c>
    </row>
    <row r="3445" spans="1:11" ht="42" customHeight="1">
      <c r="A3445" s="4" t="s">
        <v>7701</v>
      </c>
      <c r="B3445" s="5" t="s">
        <v>7702</v>
      </c>
      <c r="C3445" s="5" t="s">
        <v>75</v>
      </c>
      <c r="D3445" s="5" t="s">
        <v>43</v>
      </c>
      <c r="E3445" s="5" t="s">
        <v>716</v>
      </c>
      <c r="F3445" s="9">
        <v>56</v>
      </c>
      <c r="G3445" s="9">
        <v>586</v>
      </c>
      <c r="H3445" s="5" t="s">
        <v>20</v>
      </c>
      <c r="I3445" s="5" t="s">
        <v>7703</v>
      </c>
      <c r="J3445" s="12" t="str">
        <f>HYPERLINK("https://www.boe.es/gazeta/dias/1806/07/08/pdfs/GMD-1806-56.pdf#page=10","Abrir facsímil")</f>
        <v>Abrir facsímil</v>
      </c>
      <c r="K3445" s="15" t="s">
        <v>22</v>
      </c>
    </row>
    <row r="3446" spans="1:11" ht="42" customHeight="1">
      <c r="A3446" s="4" t="s">
        <v>7704</v>
      </c>
      <c r="B3446" s="5" t="s">
        <v>7705</v>
      </c>
      <c r="C3446" s="5" t="s">
        <v>31</v>
      </c>
      <c r="D3446" s="5" t="s">
        <v>32</v>
      </c>
      <c r="E3446" s="5" t="s">
        <v>121</v>
      </c>
      <c r="F3446" s="9">
        <v>19</v>
      </c>
      <c r="G3446" s="9">
        <v>172</v>
      </c>
      <c r="H3446" s="5" t="s">
        <v>20</v>
      </c>
      <c r="I3446" s="5" t="s">
        <v>7706</v>
      </c>
      <c r="J3446" s="12" t="str">
        <f>HYPERLINK("https://www.boe.es/gazeta/dias/1806/02/28/pdfs/GMD-1806-19.pdf#page=8","Abrir facsímil")</f>
        <v>Abrir facsímil</v>
      </c>
      <c r="K3446" s="15" t="s">
        <v>22</v>
      </c>
    </row>
    <row r="3447" spans="1:11" ht="42" customHeight="1">
      <c r="A3447" s="4" t="s">
        <v>7707</v>
      </c>
      <c r="B3447" s="5" t="s">
        <v>7707</v>
      </c>
      <c r="C3447" s="5" t="s">
        <v>17</v>
      </c>
      <c r="D3447" s="5" t="s">
        <v>18</v>
      </c>
      <c r="E3447" s="5" t="s">
        <v>127</v>
      </c>
      <c r="F3447" s="9">
        <v>81</v>
      </c>
      <c r="G3447" s="9">
        <v>839</v>
      </c>
      <c r="H3447" s="5" t="s">
        <v>20</v>
      </c>
      <c r="I3447" s="5" t="s">
        <v>7708</v>
      </c>
      <c r="J3447" s="12" t="str">
        <f>HYPERLINK("https://www.boe.es/gazeta/dias/1806/10/03/pdfs/GMD-1806-81.pdf#page=7","Abrir facsímil")</f>
        <v>Abrir facsímil</v>
      </c>
      <c r="K3447" s="15" t="s">
        <v>22</v>
      </c>
    </row>
    <row r="3448" spans="1:11" ht="42" customHeight="1">
      <c r="A3448" s="4" t="s">
        <v>7709</v>
      </c>
      <c r="B3448" s="5" t="s">
        <v>7709</v>
      </c>
      <c r="C3448" s="5" t="s">
        <v>75</v>
      </c>
      <c r="D3448" s="5" t="s">
        <v>43</v>
      </c>
      <c r="E3448" s="5" t="s">
        <v>306</v>
      </c>
      <c r="F3448" s="9">
        <v>59</v>
      </c>
      <c r="G3448" s="9">
        <v>615</v>
      </c>
      <c r="H3448" s="5" t="s">
        <v>20</v>
      </c>
      <c r="I3448" s="5" t="s">
        <v>7710</v>
      </c>
      <c r="J3448" s="12" t="str">
        <f>HYPERLINK("https://www.boe.es/gazeta/dias/1806/07/18/pdfs/GMD-1806-59.pdf#page=11","Abrir facsímil")</f>
        <v>Abrir facsímil</v>
      </c>
      <c r="K3448" s="15" t="s">
        <v>22</v>
      </c>
    </row>
    <row r="3449" spans="1:11" ht="42" customHeight="1">
      <c r="A3449" s="4" t="s">
        <v>7711</v>
      </c>
      <c r="B3449" s="5" t="s">
        <v>7711</v>
      </c>
      <c r="C3449" s="5" t="s">
        <v>75</v>
      </c>
      <c r="D3449" s="5" t="s">
        <v>43</v>
      </c>
      <c r="E3449" s="5" t="s">
        <v>405</v>
      </c>
      <c r="F3449" s="9">
        <v>80</v>
      </c>
      <c r="G3449" s="9">
        <v>829</v>
      </c>
      <c r="H3449" s="5" t="s">
        <v>20</v>
      </c>
      <c r="I3449" s="5" t="s">
        <v>7712</v>
      </c>
      <c r="J3449" s="12" t="str">
        <f>HYPERLINK("https://www.boe.es/gazeta/dias/1806/09/30/pdfs/GMD-1806-80.pdf#page=9","Abrir facsímil")</f>
        <v>Abrir facsímil</v>
      </c>
      <c r="K3449" s="15" t="s">
        <v>22</v>
      </c>
    </row>
    <row r="3450" spans="1:11" ht="42" customHeight="1">
      <c r="A3450" s="4" t="s">
        <v>7713</v>
      </c>
      <c r="B3450" s="5" t="s">
        <v>7713</v>
      </c>
      <c r="C3450" s="5" t="s">
        <v>75</v>
      </c>
      <c r="D3450" s="5" t="s">
        <v>43</v>
      </c>
      <c r="E3450" s="5" t="s">
        <v>33</v>
      </c>
      <c r="F3450" s="9">
        <v>82</v>
      </c>
      <c r="G3450" s="9">
        <v>851</v>
      </c>
      <c r="H3450" s="5" t="s">
        <v>20</v>
      </c>
      <c r="I3450" s="5" t="s">
        <v>7714</v>
      </c>
      <c r="J3450" s="12" t="str">
        <f>HYPERLINK("https://www.boe.es/gazeta/dias/1806/10/07/pdfs/GMD-1806-82.pdf#page=11","Abrir facsímil")</f>
        <v>Abrir facsímil</v>
      </c>
      <c r="K3450" s="15" t="s">
        <v>22</v>
      </c>
    </row>
    <row r="3451" spans="1:11" ht="42" customHeight="1">
      <c r="A3451" s="4" t="s">
        <v>7715</v>
      </c>
      <c r="B3451" s="5" t="s">
        <v>7715</v>
      </c>
      <c r="C3451" s="5" t="s">
        <v>31</v>
      </c>
      <c r="D3451" s="5" t="s">
        <v>32</v>
      </c>
      <c r="E3451" s="5" t="s">
        <v>209</v>
      </c>
      <c r="F3451" s="9">
        <v>95</v>
      </c>
      <c r="G3451" s="9">
        <v>1005</v>
      </c>
      <c r="H3451" s="5" t="s">
        <v>20</v>
      </c>
      <c r="I3451" s="5" t="s">
        <v>7716</v>
      </c>
      <c r="J3451" s="12" t="str">
        <f>HYPERLINK("https://www.boe.es/gazeta/dias/1806/11/21/pdfs/GMD-1806-95.pdf#page=13","Abrir facsímil")</f>
        <v>Abrir facsímil</v>
      </c>
      <c r="K3451" s="15" t="s">
        <v>22</v>
      </c>
    </row>
    <row r="3452" spans="1:11" ht="42" customHeight="1">
      <c r="A3452" s="4" t="s">
        <v>7717</v>
      </c>
      <c r="B3452" s="5" t="s">
        <v>7718</v>
      </c>
      <c r="C3452" s="5" t="s">
        <v>69</v>
      </c>
      <c r="D3452" s="5" t="s">
        <v>70</v>
      </c>
      <c r="E3452" s="5" t="s">
        <v>661</v>
      </c>
      <c r="F3452" s="9">
        <v>38</v>
      </c>
      <c r="G3452" s="9">
        <v>365</v>
      </c>
      <c r="H3452" s="5" t="s">
        <v>20</v>
      </c>
      <c r="I3452" s="5" t="s">
        <v>7719</v>
      </c>
      <c r="J3452" s="12" t="str">
        <f>HYPERLINK("https://www.boe.es/gazeta/dias/1806/05/06/pdfs/GMD-1806-38.pdf#page=1","Abrir facsímil")</f>
        <v>Abrir facsímil</v>
      </c>
      <c r="K3452" s="15" t="s">
        <v>22</v>
      </c>
    </row>
    <row r="3453" spans="1:11" ht="42" customHeight="1">
      <c r="A3453" s="4" t="s">
        <v>7720</v>
      </c>
      <c r="B3453" s="5" t="s">
        <v>7720</v>
      </c>
      <c r="C3453" s="5" t="s">
        <v>31</v>
      </c>
      <c r="D3453" s="5" t="s">
        <v>32</v>
      </c>
      <c r="E3453" s="5" t="s">
        <v>175</v>
      </c>
      <c r="F3453" s="9">
        <v>40</v>
      </c>
      <c r="G3453" s="9">
        <v>394</v>
      </c>
      <c r="H3453" s="5" t="s">
        <v>20</v>
      </c>
      <c r="I3453" s="5" t="s">
        <v>7721</v>
      </c>
      <c r="J3453" s="12" t="str">
        <f>HYPERLINK("https://www.boe.es/gazeta/dias/1806/05/13/pdfs/GMD-1806-40.pdf#page=6","Abrir facsímil")</f>
        <v>Abrir facsímil</v>
      </c>
      <c r="K3453" s="15" t="s">
        <v>22</v>
      </c>
    </row>
    <row r="3454" spans="1:11" ht="42" customHeight="1">
      <c r="A3454" s="4" t="s">
        <v>7722</v>
      </c>
      <c r="B3454" s="5" t="s">
        <v>7722</v>
      </c>
      <c r="C3454" s="5" t="s">
        <v>17</v>
      </c>
      <c r="D3454" s="5" t="s">
        <v>18</v>
      </c>
      <c r="E3454" s="5" t="s">
        <v>195</v>
      </c>
      <c r="F3454" s="9">
        <v>4</v>
      </c>
      <c r="G3454" s="9">
        <v>35</v>
      </c>
      <c r="H3454" s="5" t="s">
        <v>20</v>
      </c>
      <c r="I3454" s="5" t="s">
        <v>7723</v>
      </c>
      <c r="J3454" s="12" t="str">
        <f>HYPERLINK("https://www.boe.es/gazeta/dias/1806/01/14/pdfs/GMD-1806-4.pdf#page=7","Abrir facsímil")</f>
        <v>Abrir facsímil</v>
      </c>
      <c r="K3454" s="15" t="s">
        <v>22</v>
      </c>
    </row>
    <row r="3455" spans="1:11" ht="42" customHeight="1">
      <c r="A3455" s="4" t="s">
        <v>7724</v>
      </c>
      <c r="B3455" s="5" t="s">
        <v>7725</v>
      </c>
      <c r="C3455" s="5" t="s">
        <v>31</v>
      </c>
      <c r="D3455" s="5" t="s">
        <v>32</v>
      </c>
      <c r="E3455" s="5" t="s">
        <v>327</v>
      </c>
      <c r="F3455" s="9">
        <v>104</v>
      </c>
      <c r="G3455" s="9">
        <v>1110</v>
      </c>
      <c r="H3455" s="5" t="s">
        <v>20</v>
      </c>
      <c r="I3455" s="5" t="s">
        <v>7726</v>
      </c>
      <c r="J3455" s="12" t="str">
        <f>HYPERLINK("https://www.boe.es/gazeta/dias/1806/12/23/pdfs/GMD-1806-104.pdf#page=10","Abrir facsímil")</f>
        <v>Abrir facsímil</v>
      </c>
      <c r="K3455" s="15" t="s">
        <v>22</v>
      </c>
    </row>
    <row r="3456" spans="1:11" ht="42" customHeight="1">
      <c r="A3456" s="4" t="s">
        <v>7727</v>
      </c>
      <c r="B3456" s="5" t="s">
        <v>7728</v>
      </c>
      <c r="C3456" s="5" t="s">
        <v>31</v>
      </c>
      <c r="D3456" s="5" t="s">
        <v>32</v>
      </c>
      <c r="E3456" s="5" t="s">
        <v>172</v>
      </c>
      <c r="F3456" s="9">
        <v>17</v>
      </c>
      <c r="G3456" s="9">
        <v>151</v>
      </c>
      <c r="H3456" s="5" t="s">
        <v>20</v>
      </c>
      <c r="I3456" s="5" t="s">
        <v>7729</v>
      </c>
      <c r="J3456" s="12" t="str">
        <f>HYPERLINK("https://www.boe.es/gazeta/dias/1806/02/21/pdfs/GMD-1806-17.pdf#page=7","Abrir facsímil")</f>
        <v>Abrir facsímil</v>
      </c>
      <c r="K3456" s="15" t="s">
        <v>22</v>
      </c>
    </row>
    <row r="3457" spans="1:11" ht="42" customHeight="1">
      <c r="A3457" s="4" t="s">
        <v>7730</v>
      </c>
      <c r="B3457" s="5" t="s">
        <v>7731</v>
      </c>
      <c r="C3457" s="5" t="s">
        <v>69</v>
      </c>
      <c r="D3457" s="5" t="s">
        <v>70</v>
      </c>
      <c r="E3457" s="5" t="s">
        <v>1568</v>
      </c>
      <c r="F3457" s="9">
        <v>84</v>
      </c>
      <c r="G3457" s="9">
        <v>868</v>
      </c>
      <c r="H3457" s="5" t="s">
        <v>20</v>
      </c>
      <c r="I3457" s="5" t="s">
        <v>7732</v>
      </c>
      <c r="J3457" s="12" t="str">
        <f>HYPERLINK("https://www.boe.es/gazeta/dias/1806/10/14/pdfs/GMD-1806-84.pdf#page=4","Abrir facsímil")</f>
        <v>Abrir facsímil</v>
      </c>
      <c r="K3457" s="15" t="s">
        <v>22</v>
      </c>
    </row>
    <row r="3458" spans="1:11" ht="42" customHeight="1">
      <c r="A3458" s="4" t="s">
        <v>7733</v>
      </c>
      <c r="B3458" s="5" t="s">
        <v>7733</v>
      </c>
      <c r="C3458" s="5" t="s">
        <v>17</v>
      </c>
      <c r="D3458" s="5" t="s">
        <v>18</v>
      </c>
      <c r="E3458" s="5" t="s">
        <v>438</v>
      </c>
      <c r="F3458" s="9">
        <v>70</v>
      </c>
      <c r="G3458" s="9">
        <v>729</v>
      </c>
      <c r="H3458" s="5" t="s">
        <v>20</v>
      </c>
      <c r="I3458" s="5" t="s">
        <v>7734</v>
      </c>
      <c r="J3458" s="12" t="str">
        <f>HYPERLINK("https://www.boe.es/gazeta/dias/1806/08/26/pdfs/GMD-1806-70.pdf#page=5","Abrir facsímil")</f>
        <v>Abrir facsímil</v>
      </c>
      <c r="K3458" s="15" t="s">
        <v>22</v>
      </c>
    </row>
    <row r="3459" spans="1:11" ht="42" customHeight="1">
      <c r="A3459" s="4" t="s">
        <v>7735</v>
      </c>
      <c r="B3459" s="5" t="s">
        <v>7735</v>
      </c>
      <c r="C3459" s="5" t="s">
        <v>17</v>
      </c>
      <c r="D3459" s="5" t="s">
        <v>18</v>
      </c>
      <c r="E3459" s="5" t="s">
        <v>140</v>
      </c>
      <c r="F3459" s="9">
        <v>83</v>
      </c>
      <c r="G3459" s="9">
        <v>860</v>
      </c>
      <c r="H3459" s="5" t="s">
        <v>20</v>
      </c>
      <c r="I3459" s="5" t="s">
        <v>7736</v>
      </c>
      <c r="J3459" s="12" t="str">
        <f>HYPERLINK("https://www.boe.es/gazeta/dias/1806/10/10/pdfs/GMD-1806-83.pdf#page=8","Abrir facsímil")</f>
        <v>Abrir facsímil</v>
      </c>
      <c r="K3459" s="15" t="s">
        <v>22</v>
      </c>
    </row>
    <row r="3460" spans="1:11" ht="42" customHeight="1">
      <c r="A3460" s="4" t="s">
        <v>7737</v>
      </c>
      <c r="B3460" s="5" t="s">
        <v>7737</v>
      </c>
      <c r="C3460" s="5" t="s">
        <v>17</v>
      </c>
      <c r="D3460" s="5" t="s">
        <v>18</v>
      </c>
      <c r="E3460" s="5" t="s">
        <v>195</v>
      </c>
      <c r="F3460" s="9">
        <v>4</v>
      </c>
      <c r="G3460" s="9">
        <v>35</v>
      </c>
      <c r="H3460" s="5" t="s">
        <v>20</v>
      </c>
      <c r="I3460" s="5" t="s">
        <v>7738</v>
      </c>
      <c r="J3460" s="12" t="str">
        <f>HYPERLINK("https://www.boe.es/gazeta/dias/1806/01/14/pdfs/GMD-1806-4.pdf#page=7","Abrir facsímil")</f>
        <v>Abrir facsímil</v>
      </c>
      <c r="K3460" s="15" t="s">
        <v>22</v>
      </c>
    </row>
    <row r="3461" spans="1:11" ht="42" customHeight="1">
      <c r="A3461" s="4" t="s">
        <v>7739</v>
      </c>
      <c r="B3461" s="5" t="s">
        <v>7739</v>
      </c>
      <c r="C3461" s="5" t="s">
        <v>31</v>
      </c>
      <c r="D3461" s="5" t="s">
        <v>32</v>
      </c>
      <c r="E3461" s="5" t="s">
        <v>55</v>
      </c>
      <c r="F3461" s="9">
        <v>20</v>
      </c>
      <c r="G3461" s="9">
        <v>185</v>
      </c>
      <c r="H3461" s="5" t="s">
        <v>20</v>
      </c>
      <c r="I3461" s="5" t="s">
        <v>7740</v>
      </c>
      <c r="J3461" s="12" t="str">
        <f>HYPERLINK("https://www.boe.es/gazeta/dias/1806/03/04/pdfs/GMD-1806-20.pdf#page=9","Abrir facsímil")</f>
        <v>Abrir facsímil</v>
      </c>
      <c r="K3461" s="15" t="s">
        <v>22</v>
      </c>
    </row>
    <row r="3462" spans="1:11" ht="42" customHeight="1">
      <c r="A3462" s="4" t="s">
        <v>7741</v>
      </c>
      <c r="B3462" s="5" t="s">
        <v>7742</v>
      </c>
      <c r="C3462" s="5" t="s">
        <v>31</v>
      </c>
      <c r="D3462" s="5" t="s">
        <v>32</v>
      </c>
      <c r="E3462" s="5" t="s">
        <v>79</v>
      </c>
      <c r="F3462" s="9">
        <v>68</v>
      </c>
      <c r="G3462" s="9">
        <v>706</v>
      </c>
      <c r="H3462" s="5" t="s">
        <v>20</v>
      </c>
      <c r="I3462" s="5" t="s">
        <v>7743</v>
      </c>
      <c r="J3462" s="12" t="str">
        <f>HYPERLINK("https://www.boe.es/gazeta/dias/1806/08/19/pdfs/GMD-1806-68.pdf#page=2","Abrir facsímil")</f>
        <v>Abrir facsímil</v>
      </c>
      <c r="K3462" s="15" t="s">
        <v>22</v>
      </c>
    </row>
    <row r="3463" spans="1:11" ht="42" customHeight="1">
      <c r="A3463" s="4" t="s">
        <v>7744</v>
      </c>
      <c r="B3463" s="5" t="s">
        <v>7745</v>
      </c>
      <c r="C3463" s="5" t="s">
        <v>69</v>
      </c>
      <c r="D3463" s="5" t="s">
        <v>70</v>
      </c>
      <c r="E3463" s="5" t="s">
        <v>103</v>
      </c>
      <c r="F3463" s="9">
        <v>61</v>
      </c>
      <c r="G3463" s="9">
        <v>630</v>
      </c>
      <c r="H3463" s="5" t="s">
        <v>20</v>
      </c>
      <c r="I3463" s="5" t="s">
        <v>7746</v>
      </c>
      <c r="J3463" s="12" t="str">
        <f>HYPERLINK("https://www.boe.es/gazeta/dias/1806/07/25/pdfs/GMD-1806-61.pdf#page=2","Abrir facsímil")</f>
        <v>Abrir facsímil</v>
      </c>
      <c r="K3463" s="15" t="s">
        <v>22</v>
      </c>
    </row>
    <row r="3464" spans="1:11" ht="42" customHeight="1">
      <c r="A3464" s="4" t="s">
        <v>7747</v>
      </c>
      <c r="B3464" s="5" t="s">
        <v>7748</v>
      </c>
      <c r="C3464" s="5" t="s">
        <v>69</v>
      </c>
      <c r="D3464" s="5" t="s">
        <v>70</v>
      </c>
      <c r="E3464" s="5" t="s">
        <v>96</v>
      </c>
      <c r="F3464" s="9">
        <v>62</v>
      </c>
      <c r="G3464" s="9">
        <v>644</v>
      </c>
      <c r="H3464" s="5" t="s">
        <v>20</v>
      </c>
      <c r="I3464" s="5" t="s">
        <v>7749</v>
      </c>
      <c r="J3464" s="12" t="str">
        <f>HYPERLINK("https://www.boe.es/gazeta/dias/1806/07/29/pdfs/GMD-1806-62.pdf#page=4","Abrir facsímil")</f>
        <v>Abrir facsímil</v>
      </c>
      <c r="K3464" s="15" t="s">
        <v>22</v>
      </c>
    </row>
    <row r="3465" spans="1:11" ht="42" customHeight="1">
      <c r="A3465" s="4" t="s">
        <v>7744</v>
      </c>
      <c r="B3465" s="5" t="s">
        <v>7745</v>
      </c>
      <c r="C3465" s="5" t="s">
        <v>69</v>
      </c>
      <c r="D3465" s="5" t="s">
        <v>70</v>
      </c>
      <c r="E3465" s="5" t="s">
        <v>816</v>
      </c>
      <c r="F3465" s="9">
        <v>86</v>
      </c>
      <c r="G3465" s="9">
        <v>886</v>
      </c>
      <c r="H3465" s="5" t="s">
        <v>20</v>
      </c>
      <c r="I3465" s="5" t="s">
        <v>7750</v>
      </c>
      <c r="J3465" s="12" t="str">
        <f>HYPERLINK("https://www.boe.es/gazeta/dias/1806/10/21/pdfs/GMD-1806-86.pdf#page=2","Abrir facsímil")</f>
        <v>Abrir facsímil</v>
      </c>
      <c r="K3465" s="15" t="s">
        <v>22</v>
      </c>
    </row>
    <row r="3466" spans="1:11" ht="42" customHeight="1">
      <c r="A3466" s="4" t="s">
        <v>7744</v>
      </c>
      <c r="B3466" s="5" t="s">
        <v>7745</v>
      </c>
      <c r="C3466" s="5" t="s">
        <v>69</v>
      </c>
      <c r="D3466" s="5" t="s">
        <v>70</v>
      </c>
      <c r="E3466" s="5" t="s">
        <v>38</v>
      </c>
      <c r="F3466" s="9">
        <v>92</v>
      </c>
      <c r="G3466" s="9">
        <v>957</v>
      </c>
      <c r="H3466" s="5" t="s">
        <v>20</v>
      </c>
      <c r="I3466" s="5" t="s">
        <v>7751</v>
      </c>
      <c r="J3466" s="12" t="str">
        <f>HYPERLINK("https://www.boe.es/gazeta/dias/1806/11/11/pdfs/GMD-1806-92.pdf#page=9","Abrir facsímil")</f>
        <v>Abrir facsímil</v>
      </c>
      <c r="K3466" s="15" t="s">
        <v>22</v>
      </c>
    </row>
    <row r="3467" spans="1:11" ht="42" customHeight="1">
      <c r="A3467" s="4" t="s">
        <v>7744</v>
      </c>
      <c r="B3467" s="5" t="s">
        <v>7745</v>
      </c>
      <c r="C3467" s="5" t="s">
        <v>69</v>
      </c>
      <c r="D3467" s="5" t="s">
        <v>70</v>
      </c>
      <c r="E3467" s="5" t="s">
        <v>38</v>
      </c>
      <c r="F3467" s="9">
        <v>92</v>
      </c>
      <c r="G3467" s="9">
        <v>958</v>
      </c>
      <c r="H3467" s="5" t="s">
        <v>20</v>
      </c>
      <c r="I3467" s="5" t="s">
        <v>7752</v>
      </c>
      <c r="J3467" s="12" t="str">
        <f>HYPERLINK("https://www.boe.es/gazeta/dias/1806/11/11/pdfs/GMD-1806-92.pdf#page=10","Abrir facsímil")</f>
        <v>Abrir facsímil</v>
      </c>
      <c r="K3467" s="15" t="s">
        <v>22</v>
      </c>
    </row>
    <row r="3468" spans="1:11" ht="42" customHeight="1">
      <c r="A3468" s="4" t="s">
        <v>7744</v>
      </c>
      <c r="B3468" s="5" t="s">
        <v>7745</v>
      </c>
      <c r="C3468" s="5" t="s">
        <v>69</v>
      </c>
      <c r="D3468" s="5" t="s">
        <v>70</v>
      </c>
      <c r="E3468" s="5" t="s">
        <v>312</v>
      </c>
      <c r="F3468" s="9">
        <v>100</v>
      </c>
      <c r="G3468" s="9">
        <v>1061</v>
      </c>
      <c r="H3468" s="5" t="s">
        <v>20</v>
      </c>
      <c r="I3468" s="5" t="s">
        <v>7753</v>
      </c>
      <c r="J3468" s="12" t="str">
        <f>HYPERLINK("https://www.boe.es/gazeta/dias/1806/12/09/pdfs/GMD-1806-100.pdf#page=5","Abrir facsímil")</f>
        <v>Abrir facsímil</v>
      </c>
      <c r="K3468" s="15" t="s">
        <v>22</v>
      </c>
    </row>
    <row r="3469" spans="1:11" ht="42" customHeight="1">
      <c r="A3469" s="4" t="s">
        <v>7754</v>
      </c>
      <c r="B3469" s="5" t="s">
        <v>7755</v>
      </c>
      <c r="C3469" s="5" t="s">
        <v>31</v>
      </c>
      <c r="D3469" s="5" t="s">
        <v>32</v>
      </c>
      <c r="E3469" s="5" t="s">
        <v>185</v>
      </c>
      <c r="F3469" s="9">
        <v>46</v>
      </c>
      <c r="G3469" s="9">
        <v>461</v>
      </c>
      <c r="H3469" s="5" t="s">
        <v>20</v>
      </c>
      <c r="I3469" s="5" t="s">
        <v>7756</v>
      </c>
      <c r="J3469" s="12" t="str">
        <f>HYPERLINK("https://www.boe.es/gazeta/dias/1806/06/03/pdfs/GMD-1806-46.pdf#page=1","Abrir facsímil")</f>
        <v>Abrir facsímil</v>
      </c>
      <c r="K3469" s="15" t="s">
        <v>22</v>
      </c>
    </row>
    <row r="3470" spans="1:11" ht="42" customHeight="1">
      <c r="A3470" s="4" t="s">
        <v>7757</v>
      </c>
      <c r="B3470" s="5" t="s">
        <v>7758</v>
      </c>
      <c r="C3470" s="5" t="s">
        <v>69</v>
      </c>
      <c r="D3470" s="5" t="s">
        <v>70</v>
      </c>
      <c r="E3470" s="5" t="s">
        <v>48</v>
      </c>
      <c r="F3470" s="9">
        <v>67</v>
      </c>
      <c r="G3470" s="9">
        <v>695</v>
      </c>
      <c r="H3470" s="5" t="s">
        <v>20</v>
      </c>
      <c r="I3470" s="5" t="s">
        <v>7759</v>
      </c>
      <c r="J3470" s="12" t="str">
        <f>HYPERLINK("https://www.boe.es/gazeta/dias/1806/08/15/pdfs/GMD-1806-67.pdf#page=3","Abrir facsímil")</f>
        <v>Abrir facsímil</v>
      </c>
      <c r="K3470" s="15" t="s">
        <v>22</v>
      </c>
    </row>
    <row r="3471" spans="1:11" ht="42" customHeight="1">
      <c r="A3471" s="4" t="s">
        <v>7760</v>
      </c>
      <c r="B3471" s="5" t="s">
        <v>7761</v>
      </c>
      <c r="C3471" s="5" t="s">
        <v>69</v>
      </c>
      <c r="D3471" s="5" t="s">
        <v>70</v>
      </c>
      <c r="E3471" s="5" t="s">
        <v>191</v>
      </c>
      <c r="F3471" s="9">
        <v>103</v>
      </c>
      <c r="G3471" s="9">
        <v>1092</v>
      </c>
      <c r="H3471" s="5" t="s">
        <v>20</v>
      </c>
      <c r="I3471" s="5" t="s">
        <v>7762</v>
      </c>
      <c r="J3471" s="12" t="str">
        <f>HYPERLINK("https://www.boe.es/gazeta/dias/1806/12/19/pdfs/GMD-1806-103.pdf#page=4","Abrir facsímil")</f>
        <v>Abrir facsímil</v>
      </c>
      <c r="K3471" s="15" t="s">
        <v>22</v>
      </c>
    </row>
    <row r="3472" spans="1:11" ht="42" customHeight="1">
      <c r="A3472" s="4" t="s">
        <v>7763</v>
      </c>
      <c r="B3472" s="5" t="s">
        <v>7763</v>
      </c>
      <c r="C3472" s="5" t="s">
        <v>69</v>
      </c>
      <c r="D3472" s="5" t="s">
        <v>70</v>
      </c>
      <c r="E3472" s="5" t="s">
        <v>400</v>
      </c>
      <c r="F3472" s="9">
        <v>22</v>
      </c>
      <c r="G3472" s="9">
        <v>201</v>
      </c>
      <c r="H3472" s="5" t="s">
        <v>20</v>
      </c>
      <c r="I3472" s="5" t="s">
        <v>7764</v>
      </c>
      <c r="J3472" s="12" t="str">
        <f>HYPERLINK("https://www.boe.es/gazeta/dias/1806/03/11/pdfs/GMD-1806-22.pdf#page=1","Abrir facsímil")</f>
        <v>Abrir facsímil</v>
      </c>
      <c r="K3472" s="15" t="s">
        <v>22</v>
      </c>
    </row>
    <row r="3473" spans="1:11" ht="42" customHeight="1">
      <c r="A3473" s="4" t="s">
        <v>7765</v>
      </c>
      <c r="B3473" s="5" t="s">
        <v>7766</v>
      </c>
      <c r="C3473" s="5" t="s">
        <v>31</v>
      </c>
      <c r="D3473" s="5" t="s">
        <v>32</v>
      </c>
      <c r="E3473" s="5" t="s">
        <v>118</v>
      </c>
      <c r="F3473" s="9">
        <v>15</v>
      </c>
      <c r="G3473" s="9">
        <v>134</v>
      </c>
      <c r="H3473" s="5" t="s">
        <v>20</v>
      </c>
      <c r="I3473" s="5" t="s">
        <v>7767</v>
      </c>
      <c r="J3473" s="12" t="str">
        <f>HYPERLINK("https://www.boe.es/gazeta/dias/1806/02/14/pdfs/GMD-1806-15.pdf#page=10","Abrir facsímil")</f>
        <v>Abrir facsímil</v>
      </c>
      <c r="K3473" s="15" t="s">
        <v>22</v>
      </c>
    </row>
    <row r="3474" spans="1:11" ht="42" customHeight="1">
      <c r="A3474" s="4" t="s">
        <v>7768</v>
      </c>
      <c r="B3474" s="5" t="s">
        <v>7769</v>
      </c>
      <c r="C3474" s="5" t="s">
        <v>17</v>
      </c>
      <c r="D3474" s="5" t="s">
        <v>18</v>
      </c>
      <c r="E3474" s="5" t="s">
        <v>76</v>
      </c>
      <c r="F3474" s="9">
        <v>98</v>
      </c>
      <c r="G3474" s="9">
        <v>1036</v>
      </c>
      <c r="H3474" s="5" t="s">
        <v>20</v>
      </c>
      <c r="I3474" s="5" t="s">
        <v>7770</v>
      </c>
      <c r="J3474" s="12" t="str">
        <f>HYPERLINK("https://www.boe.es/gazeta/dias/1806/12/02/pdfs/GMD-1806-98.pdf#page=4","Abrir facsímil")</f>
        <v>Abrir facsímil</v>
      </c>
      <c r="K3474" s="15" t="s">
        <v>22</v>
      </c>
    </row>
    <row r="3475" spans="1:11" ht="42" customHeight="1">
      <c r="A3475" s="4" t="s">
        <v>7771</v>
      </c>
      <c r="B3475" s="5" t="s">
        <v>7772</v>
      </c>
      <c r="C3475" s="5" t="s">
        <v>69</v>
      </c>
      <c r="D3475" s="5" t="s">
        <v>70</v>
      </c>
      <c r="E3475" s="5" t="s">
        <v>430</v>
      </c>
      <c r="F3475" s="9">
        <v>12</v>
      </c>
      <c r="G3475" s="9">
        <v>104</v>
      </c>
      <c r="H3475" s="5" t="s">
        <v>20</v>
      </c>
      <c r="I3475" s="5" t="s">
        <v>7773</v>
      </c>
      <c r="J3475" s="12" t="str">
        <f>HYPERLINK("https://www.boe.es/gazeta/dias/1806/02/04/pdfs/GMD-1806-12.pdf#page=4","Abrir facsímil")</f>
        <v>Abrir facsímil</v>
      </c>
      <c r="K3475" s="15" t="s">
        <v>22</v>
      </c>
    </row>
    <row r="3476" spans="1:11" ht="42" customHeight="1">
      <c r="A3476" s="4" t="s">
        <v>7774</v>
      </c>
      <c r="B3476" s="5" t="s">
        <v>7775</v>
      </c>
      <c r="C3476" s="5" t="s">
        <v>706</v>
      </c>
      <c r="D3476" s="5" t="s">
        <v>707</v>
      </c>
      <c r="E3476" s="5" t="s">
        <v>195</v>
      </c>
      <c r="F3476" s="9" t="s">
        <v>708</v>
      </c>
      <c r="G3476" s="9">
        <v>42</v>
      </c>
      <c r="H3476" s="5" t="s">
        <v>20</v>
      </c>
      <c r="I3476" s="5" t="s">
        <v>7776</v>
      </c>
      <c r="J3476" s="12" t="str">
        <f>HYPERLINK("https://www.boe.es/gazeta/dias/1806/01/14/pdfs/GMD-1806-5E.pdf#page=2","Abrir facsímil")</f>
        <v>Abrir facsímil</v>
      </c>
      <c r="K3476" s="15" t="s">
        <v>22</v>
      </c>
    </row>
    <row r="3477" spans="1:11" ht="42" customHeight="1">
      <c r="A3477" s="4" t="s">
        <v>7774</v>
      </c>
      <c r="B3477" s="5" t="s">
        <v>7775</v>
      </c>
      <c r="C3477" s="5" t="s">
        <v>69</v>
      </c>
      <c r="D3477" s="5" t="s">
        <v>70</v>
      </c>
      <c r="E3477" s="5" t="s">
        <v>367</v>
      </c>
      <c r="F3477" s="9">
        <v>87</v>
      </c>
      <c r="G3477" s="9">
        <v>900</v>
      </c>
      <c r="H3477" s="5" t="s">
        <v>20</v>
      </c>
      <c r="I3477" s="5" t="s">
        <v>7777</v>
      </c>
      <c r="J3477" s="12" t="str">
        <f>HYPERLINK("https://www.boe.es/gazeta/dias/1806/10/24/pdfs/GMD-1806-87.pdf#page=8","Abrir facsímil")</f>
        <v>Abrir facsímil</v>
      </c>
      <c r="K3477" s="15" t="s">
        <v>22</v>
      </c>
    </row>
    <row r="3478" spans="1:11" ht="42" customHeight="1">
      <c r="A3478" s="4" t="s">
        <v>7778</v>
      </c>
      <c r="B3478" s="5" t="s">
        <v>7779</v>
      </c>
      <c r="C3478" s="5" t="s">
        <v>31</v>
      </c>
      <c r="D3478" s="5" t="s">
        <v>32</v>
      </c>
      <c r="E3478" s="5" t="s">
        <v>130</v>
      </c>
      <c r="F3478" s="9">
        <v>66</v>
      </c>
      <c r="G3478" s="9">
        <v>689</v>
      </c>
      <c r="H3478" s="5" t="s">
        <v>20</v>
      </c>
      <c r="I3478" s="5" t="s">
        <v>7780</v>
      </c>
      <c r="J3478" s="12" t="str">
        <f>HYPERLINK("https://www.boe.es/gazeta/dias/1806/08/12/pdfs/GMD-1806-66.pdf#page=5","Abrir facsímil")</f>
        <v>Abrir facsímil</v>
      </c>
      <c r="K3478" s="15" t="s">
        <v>22</v>
      </c>
    </row>
    <row r="3479" spans="1:11" ht="42" customHeight="1">
      <c r="A3479" s="4" t="s">
        <v>7781</v>
      </c>
      <c r="B3479" s="5" t="s">
        <v>7782</v>
      </c>
      <c r="C3479" s="5" t="s">
        <v>17</v>
      </c>
      <c r="D3479" s="5" t="s">
        <v>18</v>
      </c>
      <c r="E3479" s="5" t="s">
        <v>76</v>
      </c>
      <c r="F3479" s="9">
        <v>98</v>
      </c>
      <c r="G3479" s="9">
        <v>1033</v>
      </c>
      <c r="H3479" s="5" t="s">
        <v>20</v>
      </c>
      <c r="I3479" s="5" t="s">
        <v>7783</v>
      </c>
      <c r="J3479" s="12" t="str">
        <f>HYPERLINK("https://www.boe.es/gazeta/dias/1806/12/02/pdfs/GMD-1806-98.pdf#page=1","Abrir facsímil")</f>
        <v>Abrir facsímil</v>
      </c>
      <c r="K3479" s="15" t="s">
        <v>22</v>
      </c>
    </row>
    <row r="3480" spans="1:11" ht="42" customHeight="1">
      <c r="A3480" s="4" t="s">
        <v>7784</v>
      </c>
      <c r="B3480" s="5" t="s">
        <v>7784</v>
      </c>
      <c r="C3480" s="5" t="s">
        <v>36</v>
      </c>
      <c r="D3480" s="5" t="s">
        <v>37</v>
      </c>
      <c r="E3480" s="5" t="s">
        <v>702</v>
      </c>
      <c r="F3480" s="9">
        <v>43</v>
      </c>
      <c r="G3480" s="9">
        <v>433</v>
      </c>
      <c r="H3480" s="5" t="s">
        <v>20</v>
      </c>
      <c r="I3480" s="5" t="s">
        <v>7785</v>
      </c>
      <c r="J3480" s="12" t="str">
        <f>HYPERLINK("https://www.boe.es/gazeta/dias/1806/05/23/pdfs/GMD-1806-43.pdf#page=9","Abrir facsímil")</f>
        <v>Abrir facsímil</v>
      </c>
      <c r="K3480" s="15" t="s">
        <v>22</v>
      </c>
    </row>
    <row r="3481" spans="1:11" ht="42" customHeight="1">
      <c r="A3481" s="4" t="s">
        <v>7786</v>
      </c>
      <c r="B3481" s="5" t="s">
        <v>7787</v>
      </c>
      <c r="C3481" s="5" t="s">
        <v>31</v>
      </c>
      <c r="D3481" s="5" t="s">
        <v>32</v>
      </c>
      <c r="E3481" s="5" t="s">
        <v>285</v>
      </c>
      <c r="F3481" s="9">
        <v>13</v>
      </c>
      <c r="G3481" s="9">
        <v>115</v>
      </c>
      <c r="H3481" s="5" t="s">
        <v>20</v>
      </c>
      <c r="I3481" s="5" t="s">
        <v>7788</v>
      </c>
      <c r="J3481" s="12" t="str">
        <f>HYPERLINK("https://www.boe.es/gazeta/dias/1806/02/07/pdfs/GMD-1806-13.pdf#page=7","Abrir facsímil")</f>
        <v>Abrir facsímil</v>
      </c>
      <c r="K3481" s="15" t="s">
        <v>22</v>
      </c>
    </row>
    <row r="3482" spans="1:11" ht="42" customHeight="1">
      <c r="A3482" s="4" t="s">
        <v>7789</v>
      </c>
      <c r="B3482" s="5" t="s">
        <v>7790</v>
      </c>
      <c r="C3482" s="5" t="s">
        <v>69</v>
      </c>
      <c r="D3482" s="5" t="s">
        <v>70</v>
      </c>
      <c r="E3482" s="5" t="s">
        <v>348</v>
      </c>
      <c r="F3482" s="9">
        <v>88</v>
      </c>
      <c r="G3482" s="9">
        <v>909</v>
      </c>
      <c r="H3482" s="5" t="s">
        <v>20</v>
      </c>
      <c r="I3482" s="5" t="s">
        <v>7791</v>
      </c>
      <c r="J3482" s="12" t="str">
        <f>HYPERLINK("https://www.boe.es/gazeta/dias/1806/10/28/pdfs/GMD-1806-88.pdf#page=5","Abrir facsímil")</f>
        <v>Abrir facsímil</v>
      </c>
      <c r="K3482" s="15" t="s">
        <v>22</v>
      </c>
    </row>
    <row r="3483" spans="1:11" ht="42" customHeight="1">
      <c r="A3483" s="4" t="s">
        <v>7792</v>
      </c>
      <c r="B3483" s="5" t="s">
        <v>7793</v>
      </c>
      <c r="C3483" s="5" t="s">
        <v>69</v>
      </c>
      <c r="D3483" s="5" t="s">
        <v>70</v>
      </c>
      <c r="E3483" s="5" t="s">
        <v>540</v>
      </c>
      <c r="F3483" s="9">
        <v>51</v>
      </c>
      <c r="G3483" s="9">
        <v>524</v>
      </c>
      <c r="H3483" s="5" t="s">
        <v>20</v>
      </c>
      <c r="I3483" s="5" t="s">
        <v>7794</v>
      </c>
      <c r="J3483" s="12" t="str">
        <f>HYPERLINK("https://www.boe.es/gazeta/dias/1806/06/20/pdfs/GMD-1806-51.pdf#page=4","Abrir facsímil")</f>
        <v>Abrir facsímil</v>
      </c>
      <c r="K3483" s="15" t="s">
        <v>22</v>
      </c>
    </row>
    <row r="3484" spans="1:11" ht="42" customHeight="1">
      <c r="A3484" s="4" t="s">
        <v>7792</v>
      </c>
      <c r="B3484" s="5" t="s">
        <v>7793</v>
      </c>
      <c r="C3484" s="5" t="s">
        <v>69</v>
      </c>
      <c r="D3484" s="5" t="s">
        <v>70</v>
      </c>
      <c r="E3484" s="5" t="s">
        <v>38</v>
      </c>
      <c r="F3484" s="9">
        <v>92</v>
      </c>
      <c r="G3484" s="9">
        <v>959</v>
      </c>
      <c r="H3484" s="5" t="s">
        <v>20</v>
      </c>
      <c r="I3484" s="5" t="s">
        <v>7795</v>
      </c>
      <c r="J3484" s="12" t="str">
        <f>HYPERLINK("https://www.boe.es/gazeta/dias/1806/11/11/pdfs/GMD-1806-92.pdf#page=11","Abrir facsímil")</f>
        <v>Abrir facsímil</v>
      </c>
      <c r="K3484" s="15" t="s">
        <v>22</v>
      </c>
    </row>
    <row r="3485" spans="1:11" ht="42" customHeight="1">
      <c r="A3485" s="4" t="s">
        <v>7792</v>
      </c>
      <c r="B3485" s="5" t="s">
        <v>7793</v>
      </c>
      <c r="C3485" s="5" t="s">
        <v>17</v>
      </c>
      <c r="D3485" s="5" t="s">
        <v>18</v>
      </c>
      <c r="E3485" s="5" t="s">
        <v>76</v>
      </c>
      <c r="F3485" s="9">
        <v>98</v>
      </c>
      <c r="G3485" s="9">
        <v>1034</v>
      </c>
      <c r="H3485" s="5" t="s">
        <v>20</v>
      </c>
      <c r="I3485" s="5" t="s">
        <v>7796</v>
      </c>
      <c r="J3485" s="12" t="str">
        <f>HYPERLINK("https://www.boe.es/gazeta/dias/1806/12/02/pdfs/GMD-1806-98.pdf#page=2","Abrir facsímil")</f>
        <v>Abrir facsímil</v>
      </c>
      <c r="K3485" s="15" t="s">
        <v>22</v>
      </c>
    </row>
    <row r="3486" spans="1:11" ht="42" customHeight="1">
      <c r="A3486" s="4" t="s">
        <v>7797</v>
      </c>
      <c r="B3486" s="5" t="s">
        <v>7797</v>
      </c>
      <c r="C3486" s="5" t="s">
        <v>36</v>
      </c>
      <c r="D3486" s="5" t="s">
        <v>37</v>
      </c>
      <c r="E3486" s="5" t="s">
        <v>600</v>
      </c>
      <c r="F3486" s="9">
        <v>77</v>
      </c>
      <c r="G3486" s="9">
        <v>791</v>
      </c>
      <c r="H3486" s="5" t="s">
        <v>20</v>
      </c>
      <c r="I3486" s="5" t="s">
        <v>7798</v>
      </c>
      <c r="J3486" s="12" t="str">
        <f>HYPERLINK("https://www.boe.es/gazeta/dias/1806/09/19/pdfs/GMD-1806-77.pdf#page=3","Abrir facsímil")</f>
        <v>Abrir facsímil</v>
      </c>
      <c r="K3486" s="15" t="s">
        <v>22</v>
      </c>
    </row>
    <row r="3487" spans="1:11" ht="42" customHeight="1">
      <c r="A3487" s="4" t="s">
        <v>7799</v>
      </c>
      <c r="B3487" s="5" t="s">
        <v>7799</v>
      </c>
      <c r="C3487" s="5" t="s">
        <v>31</v>
      </c>
      <c r="D3487" s="5" t="s">
        <v>32</v>
      </c>
      <c r="E3487" s="5" t="s">
        <v>780</v>
      </c>
      <c r="F3487" s="9">
        <v>33</v>
      </c>
      <c r="G3487" s="9">
        <v>322</v>
      </c>
      <c r="H3487" s="5" t="s">
        <v>20</v>
      </c>
      <c r="I3487" s="5" t="s">
        <v>7800</v>
      </c>
      <c r="J3487" s="12" t="str">
        <f>HYPERLINK("https://www.boe.es/gazeta/dias/1806/04/18/pdfs/GMD-1806-33.pdf#page=2","Abrir facsímil")</f>
        <v>Abrir facsímil</v>
      </c>
      <c r="K3487" s="15" t="s">
        <v>22</v>
      </c>
    </row>
    <row r="3488" spans="1:11" ht="42" customHeight="1">
      <c r="A3488" s="4" t="s">
        <v>7801</v>
      </c>
      <c r="B3488" s="5" t="s">
        <v>7801</v>
      </c>
      <c r="C3488" s="5" t="s">
        <v>31</v>
      </c>
      <c r="D3488" s="5" t="s">
        <v>32</v>
      </c>
      <c r="E3488" s="5" t="s">
        <v>231</v>
      </c>
      <c r="F3488" s="9">
        <v>89</v>
      </c>
      <c r="G3488" s="9">
        <v>921</v>
      </c>
      <c r="H3488" s="5" t="s">
        <v>20</v>
      </c>
      <c r="I3488" s="5" t="s">
        <v>7802</v>
      </c>
      <c r="J3488" s="12" t="str">
        <f>HYPERLINK("https://www.boe.es/gazeta/dias/1806/10/31/pdfs/GMD-1806-89.pdf#page=9","Abrir facsímil")</f>
        <v>Abrir facsímil</v>
      </c>
      <c r="K3488" s="15" t="s">
        <v>22</v>
      </c>
    </row>
    <row r="3489" spans="1:11" ht="42" customHeight="1">
      <c r="A3489" s="4" t="s">
        <v>7803</v>
      </c>
      <c r="B3489" s="5" t="s">
        <v>7804</v>
      </c>
      <c r="C3489" s="5" t="s">
        <v>75</v>
      </c>
      <c r="D3489" s="5" t="s">
        <v>43</v>
      </c>
      <c r="E3489" s="5" t="s">
        <v>348</v>
      </c>
      <c r="F3489" s="9">
        <v>88</v>
      </c>
      <c r="G3489" s="9">
        <v>910</v>
      </c>
      <c r="H3489" s="5" t="s">
        <v>20</v>
      </c>
      <c r="I3489" s="5" t="s">
        <v>7805</v>
      </c>
      <c r="J3489" s="12" t="str">
        <f>HYPERLINK("https://www.boe.es/gazeta/dias/1806/10/28/pdfs/GMD-1806-88.pdf#page=6","Abrir facsímil")</f>
        <v>Abrir facsímil</v>
      </c>
      <c r="K3489" s="15" t="s">
        <v>22</v>
      </c>
    </row>
    <row r="3490" spans="1:11" ht="42" customHeight="1">
      <c r="A3490" s="4" t="s">
        <v>7803</v>
      </c>
      <c r="B3490" s="5" t="s">
        <v>7804</v>
      </c>
      <c r="C3490" s="5" t="s">
        <v>31</v>
      </c>
      <c r="D3490" s="5" t="s">
        <v>32</v>
      </c>
      <c r="E3490" s="5" t="s">
        <v>209</v>
      </c>
      <c r="F3490" s="9">
        <v>95</v>
      </c>
      <c r="G3490" s="9">
        <v>1003</v>
      </c>
      <c r="H3490" s="5" t="s">
        <v>20</v>
      </c>
      <c r="I3490" s="5" t="s">
        <v>7806</v>
      </c>
      <c r="J3490" s="12" t="str">
        <f>HYPERLINK("https://www.boe.es/gazeta/dias/1806/11/21/pdfs/GMD-1806-95.pdf#page=11","Abrir facsímil")</f>
        <v>Abrir facsímil</v>
      </c>
      <c r="K3490" s="15" t="s">
        <v>22</v>
      </c>
    </row>
    <row r="3491" spans="1:11" ht="42" customHeight="1">
      <c r="A3491" s="4" t="s">
        <v>7807</v>
      </c>
      <c r="B3491" s="5" t="s">
        <v>7808</v>
      </c>
      <c r="C3491" s="5" t="s">
        <v>69</v>
      </c>
      <c r="D3491" s="5" t="s">
        <v>70</v>
      </c>
      <c r="E3491" s="5" t="s">
        <v>140</v>
      </c>
      <c r="F3491" s="9">
        <v>83</v>
      </c>
      <c r="G3491" s="9">
        <v>853</v>
      </c>
      <c r="H3491" s="5" t="s">
        <v>20</v>
      </c>
      <c r="I3491" s="5" t="s">
        <v>7809</v>
      </c>
      <c r="J3491" s="12" t="str">
        <f>HYPERLINK("https://www.boe.es/gazeta/dias/1806/10/10/pdfs/GMD-1806-83.pdf#page=1","Abrir facsímil")</f>
        <v>Abrir facsímil</v>
      </c>
      <c r="K3491" s="15" t="s">
        <v>22</v>
      </c>
    </row>
    <row r="3492" spans="1:11" ht="42" customHeight="1">
      <c r="A3492" s="4" t="s">
        <v>7810</v>
      </c>
      <c r="B3492" s="5" t="s">
        <v>7811</v>
      </c>
      <c r="C3492" s="5" t="s">
        <v>69</v>
      </c>
      <c r="D3492" s="5" t="s">
        <v>70</v>
      </c>
      <c r="E3492" s="5" t="s">
        <v>144</v>
      </c>
      <c r="F3492" s="9">
        <v>79</v>
      </c>
      <c r="G3492" s="9">
        <v>813</v>
      </c>
      <c r="H3492" s="5" t="s">
        <v>20</v>
      </c>
      <c r="I3492" s="5" t="s">
        <v>7812</v>
      </c>
      <c r="J3492" s="12" t="str">
        <f>HYPERLINK("https://www.boe.es/gazeta/dias/1806/09/26/pdfs/GMD-1806-79.pdf#page=5","Abrir facsímil")</f>
        <v>Abrir facsímil</v>
      </c>
      <c r="K3492" s="15" t="s">
        <v>22</v>
      </c>
    </row>
    <row r="3493" spans="1:11" ht="42" customHeight="1">
      <c r="A3493" s="4" t="s">
        <v>7813</v>
      </c>
      <c r="B3493" s="5" t="s">
        <v>7813</v>
      </c>
      <c r="C3493" s="5" t="s">
        <v>69</v>
      </c>
      <c r="D3493" s="5" t="s">
        <v>70</v>
      </c>
      <c r="E3493" s="5" t="s">
        <v>494</v>
      </c>
      <c r="F3493" s="9">
        <v>69</v>
      </c>
      <c r="G3493" s="9">
        <v>717</v>
      </c>
      <c r="H3493" s="5" t="s">
        <v>20</v>
      </c>
      <c r="I3493" s="5" t="s">
        <v>7814</v>
      </c>
      <c r="J3493" s="12" t="str">
        <f>HYPERLINK("https://www.boe.es/gazeta/dias/1806/08/22/pdfs/GMD-1806-69.pdf#page=5","Abrir facsímil")</f>
        <v>Abrir facsímil</v>
      </c>
      <c r="K3493" s="15" t="s">
        <v>22</v>
      </c>
    </row>
    <row r="3494" spans="1:11" ht="42" customHeight="1">
      <c r="A3494" s="4" t="s">
        <v>7815</v>
      </c>
      <c r="B3494" s="5" t="s">
        <v>7816</v>
      </c>
      <c r="C3494" s="5" t="s">
        <v>69</v>
      </c>
      <c r="D3494" s="5" t="s">
        <v>70</v>
      </c>
      <c r="E3494" s="5" t="s">
        <v>301</v>
      </c>
      <c r="F3494" s="9">
        <v>75</v>
      </c>
      <c r="G3494" s="9">
        <v>771</v>
      </c>
      <c r="H3494" s="5" t="s">
        <v>20</v>
      </c>
      <c r="I3494" s="5" t="s">
        <v>7817</v>
      </c>
      <c r="J3494" s="12" t="str">
        <f>HYPERLINK("https://www.boe.es/gazeta/dias/1806/09/12/pdfs/GMD-1806-75.pdf#page=3","Abrir facsímil")</f>
        <v>Abrir facsímil</v>
      </c>
      <c r="K3494" s="15" t="s">
        <v>22</v>
      </c>
    </row>
    <row r="3495" spans="1:11" ht="42" customHeight="1">
      <c r="A3495" s="4" t="s">
        <v>7818</v>
      </c>
      <c r="B3495" s="5" t="s">
        <v>7818</v>
      </c>
      <c r="C3495" s="5" t="s">
        <v>69</v>
      </c>
      <c r="D3495" s="5" t="s">
        <v>70</v>
      </c>
      <c r="E3495" s="5" t="s">
        <v>33</v>
      </c>
      <c r="F3495" s="9">
        <v>82</v>
      </c>
      <c r="G3495" s="9">
        <v>848</v>
      </c>
      <c r="H3495" s="5" t="s">
        <v>20</v>
      </c>
      <c r="I3495" s="5" t="s">
        <v>7819</v>
      </c>
      <c r="J3495" s="12" t="str">
        <f>HYPERLINK("https://www.boe.es/gazeta/dias/1806/10/07/pdfs/GMD-1806-82.pdf#page=8","Abrir facsímil")</f>
        <v>Abrir facsímil</v>
      </c>
      <c r="K3495" s="15" t="s">
        <v>22</v>
      </c>
    </row>
    <row r="3496" spans="1:11" ht="42" customHeight="1">
      <c r="A3496" s="4" t="s">
        <v>7820</v>
      </c>
      <c r="B3496" s="5" t="s">
        <v>7820</v>
      </c>
      <c r="C3496" s="5" t="s">
        <v>69</v>
      </c>
      <c r="D3496" s="5" t="s">
        <v>70</v>
      </c>
      <c r="E3496" s="5" t="s">
        <v>271</v>
      </c>
      <c r="F3496" s="9">
        <v>6</v>
      </c>
      <c r="G3496" s="9">
        <v>46</v>
      </c>
      <c r="H3496" s="5" t="s">
        <v>20</v>
      </c>
      <c r="I3496" s="5" t="s">
        <v>7821</v>
      </c>
      <c r="J3496" s="12" t="str">
        <f>HYPERLINK("https://www.boe.es/gazeta/dias/1806/01/17/pdfs/GMD-1806-6.pdf#page=2","Abrir facsímil")</f>
        <v>Abrir facsímil</v>
      </c>
      <c r="K3496" s="15" t="s">
        <v>22</v>
      </c>
    </row>
    <row r="3497" spans="1:11" ht="42" customHeight="1">
      <c r="A3497" s="4" t="s">
        <v>7822</v>
      </c>
      <c r="B3497" s="5" t="s">
        <v>7823</v>
      </c>
      <c r="C3497" s="5" t="s">
        <v>42</v>
      </c>
      <c r="D3497" s="5" t="s">
        <v>43</v>
      </c>
      <c r="E3497" s="5" t="s">
        <v>172</v>
      </c>
      <c r="F3497" s="9">
        <v>17</v>
      </c>
      <c r="G3497" s="9">
        <v>145</v>
      </c>
      <c r="H3497" s="5" t="s">
        <v>20</v>
      </c>
      <c r="I3497" s="5" t="s">
        <v>7824</v>
      </c>
      <c r="J3497" s="12" t="str">
        <f>HYPERLINK("https://www.boe.es/gazeta/dias/1806/02/21/pdfs/GMD-1806-17.pdf#page=1","Abrir facsímil")</f>
        <v>Abrir facsímil</v>
      </c>
      <c r="K3497" s="15" t="s">
        <v>22</v>
      </c>
    </row>
    <row r="3498" spans="1:11" ht="42" customHeight="1">
      <c r="A3498" s="4" t="s">
        <v>7822</v>
      </c>
      <c r="B3498" s="5" t="s">
        <v>7823</v>
      </c>
      <c r="C3498" s="5" t="s">
        <v>31</v>
      </c>
      <c r="D3498" s="5" t="s">
        <v>32</v>
      </c>
      <c r="E3498" s="5" t="s">
        <v>33</v>
      </c>
      <c r="F3498" s="9">
        <v>82</v>
      </c>
      <c r="G3498" s="9">
        <v>843</v>
      </c>
      <c r="H3498" s="5" t="s">
        <v>20</v>
      </c>
      <c r="I3498" s="5" t="s">
        <v>7825</v>
      </c>
      <c r="J3498" s="12" t="str">
        <f>HYPERLINK("https://www.boe.es/gazeta/dias/1806/10/07/pdfs/GMD-1806-82.pdf#page=3","Abrir facsímil")</f>
        <v>Abrir facsímil</v>
      </c>
      <c r="K3498" s="15" t="s">
        <v>22</v>
      </c>
    </row>
    <row r="3499" spans="1:11" ht="42" customHeight="1">
      <c r="A3499" s="4" t="s">
        <v>7826</v>
      </c>
      <c r="B3499" s="5" t="s">
        <v>7827</v>
      </c>
      <c r="C3499" s="5" t="s">
        <v>31</v>
      </c>
      <c r="D3499" s="5" t="s">
        <v>32</v>
      </c>
      <c r="E3499" s="5" t="s">
        <v>96</v>
      </c>
      <c r="F3499" s="9">
        <v>62</v>
      </c>
      <c r="G3499" s="9">
        <v>643</v>
      </c>
      <c r="H3499" s="5" t="s">
        <v>20</v>
      </c>
      <c r="I3499" s="5" t="s">
        <v>7828</v>
      </c>
      <c r="J3499" s="12" t="str">
        <f>HYPERLINK("https://www.boe.es/gazeta/dias/1806/07/29/pdfs/GMD-1806-62.pdf#page=3","Abrir facsímil")</f>
        <v>Abrir facsímil</v>
      </c>
      <c r="K3499" s="15" t="s">
        <v>22</v>
      </c>
    </row>
    <row r="3500" spans="1:11" ht="42" customHeight="1">
      <c r="A3500" s="4" t="s">
        <v>7829</v>
      </c>
      <c r="B3500" s="5" t="s">
        <v>7830</v>
      </c>
      <c r="C3500" s="5" t="s">
        <v>31</v>
      </c>
      <c r="D3500" s="5" t="s">
        <v>32</v>
      </c>
      <c r="E3500" s="5" t="s">
        <v>238</v>
      </c>
      <c r="F3500" s="9">
        <v>18</v>
      </c>
      <c r="G3500" s="9">
        <v>153</v>
      </c>
      <c r="H3500" s="5" t="s">
        <v>20</v>
      </c>
      <c r="I3500" s="5" t="s">
        <v>7831</v>
      </c>
      <c r="J3500" s="12" t="str">
        <f>HYPERLINK("https://www.boe.es/gazeta/dias/1806/02/25/pdfs/GMD-1806-18.pdf#page=1","Abrir facsímil")</f>
        <v>Abrir facsímil</v>
      </c>
      <c r="K3500" s="15" t="s">
        <v>22</v>
      </c>
    </row>
    <row r="3501" spans="1:11" ht="42" customHeight="1">
      <c r="A3501" s="4" t="s">
        <v>7832</v>
      </c>
      <c r="B3501" s="5" t="s">
        <v>7832</v>
      </c>
      <c r="C3501" s="5" t="s">
        <v>69</v>
      </c>
      <c r="D3501" s="5" t="s">
        <v>70</v>
      </c>
      <c r="E3501" s="5" t="s">
        <v>172</v>
      </c>
      <c r="F3501" s="9">
        <v>17</v>
      </c>
      <c r="G3501" s="9">
        <v>145</v>
      </c>
      <c r="H3501" s="5" t="s">
        <v>20</v>
      </c>
      <c r="I3501" s="5" t="s">
        <v>7833</v>
      </c>
      <c r="J3501" s="12" t="str">
        <f>HYPERLINK("https://www.boe.es/gazeta/dias/1806/02/21/pdfs/GMD-1806-17.pdf#page=1","Abrir facsímil")</f>
        <v>Abrir facsímil</v>
      </c>
      <c r="K3501" s="15" t="s">
        <v>22</v>
      </c>
    </row>
    <row r="3502" spans="1:11" ht="42" customHeight="1">
      <c r="A3502" s="4" t="s">
        <v>7834</v>
      </c>
      <c r="B3502" s="5" t="s">
        <v>7834</v>
      </c>
      <c r="C3502" s="5" t="s">
        <v>69</v>
      </c>
      <c r="D3502" s="5" t="s">
        <v>70</v>
      </c>
      <c r="E3502" s="5" t="s">
        <v>363</v>
      </c>
      <c r="F3502" s="9">
        <v>8</v>
      </c>
      <c r="G3502" s="9">
        <v>71</v>
      </c>
      <c r="H3502" s="5" t="s">
        <v>20</v>
      </c>
      <c r="I3502" s="5" t="s">
        <v>7835</v>
      </c>
      <c r="J3502" s="12" t="str">
        <f>HYPERLINK("https://www.boe.es/gazeta/dias/1806/01/24/pdfs/GMD-1806-8.pdf#page=3","Abrir facsímil")</f>
        <v>Abrir facsímil</v>
      </c>
      <c r="K3502" s="15" t="s">
        <v>22</v>
      </c>
    </row>
    <row r="3503" spans="1:11" ht="42" customHeight="1">
      <c r="A3503" s="4" t="s">
        <v>7836</v>
      </c>
      <c r="B3503" s="5" t="s">
        <v>7837</v>
      </c>
      <c r="C3503" s="5" t="s">
        <v>69</v>
      </c>
      <c r="D3503" s="5" t="s">
        <v>70</v>
      </c>
      <c r="E3503" s="5" t="s">
        <v>93</v>
      </c>
      <c r="F3503" s="9">
        <v>72</v>
      </c>
      <c r="G3503" s="9">
        <v>742</v>
      </c>
      <c r="H3503" s="5" t="s">
        <v>20</v>
      </c>
      <c r="I3503" s="5" t="s">
        <v>7838</v>
      </c>
      <c r="J3503" s="12" t="str">
        <f>HYPERLINK("https://www.boe.es/gazeta/dias/1806/09/02/pdfs/GMD-1806-72.pdf#page=2","Abrir facsímil")</f>
        <v>Abrir facsímil</v>
      </c>
      <c r="K3503" s="15" t="s">
        <v>22</v>
      </c>
    </row>
    <row r="3504" spans="1:11" ht="42" customHeight="1">
      <c r="A3504" s="4" t="s">
        <v>7836</v>
      </c>
      <c r="B3504" s="5" t="s">
        <v>7837</v>
      </c>
      <c r="C3504" s="5" t="s">
        <v>69</v>
      </c>
      <c r="D3504" s="5" t="s">
        <v>70</v>
      </c>
      <c r="E3504" s="5" t="s">
        <v>140</v>
      </c>
      <c r="F3504" s="9">
        <v>83</v>
      </c>
      <c r="G3504" s="9">
        <v>853</v>
      </c>
      <c r="H3504" s="5" t="s">
        <v>20</v>
      </c>
      <c r="I3504" s="5" t="s">
        <v>7839</v>
      </c>
      <c r="J3504" s="12" t="str">
        <f>HYPERLINK("https://www.boe.es/gazeta/dias/1806/10/10/pdfs/GMD-1806-83.pdf#page=1","Abrir facsímil")</f>
        <v>Abrir facsímil</v>
      </c>
      <c r="K3504" s="15" t="s">
        <v>22</v>
      </c>
    </row>
    <row r="3505" spans="1:11" ht="42" customHeight="1">
      <c r="A3505" s="4" t="s">
        <v>7840</v>
      </c>
      <c r="B3505" s="5" t="s">
        <v>7840</v>
      </c>
      <c r="C3505" s="5" t="s">
        <v>69</v>
      </c>
      <c r="D3505" s="5" t="s">
        <v>70</v>
      </c>
      <c r="E3505" s="5" t="s">
        <v>48</v>
      </c>
      <c r="F3505" s="9">
        <v>67</v>
      </c>
      <c r="G3505" s="9">
        <v>697</v>
      </c>
      <c r="H3505" s="5" t="s">
        <v>20</v>
      </c>
      <c r="I3505" s="5" t="s">
        <v>7841</v>
      </c>
      <c r="J3505" s="12" t="str">
        <f>HYPERLINK("https://www.boe.es/gazeta/dias/1806/08/15/pdfs/GMD-1806-67.pdf#page=5","Abrir facsímil")</f>
        <v>Abrir facsímil</v>
      </c>
      <c r="K3505" s="15" t="s">
        <v>22</v>
      </c>
    </row>
    <row r="3506" spans="1:11" ht="42" customHeight="1">
      <c r="A3506" s="4" t="s">
        <v>7842</v>
      </c>
      <c r="B3506" s="5" t="s">
        <v>7842</v>
      </c>
      <c r="C3506" s="5" t="s">
        <v>17</v>
      </c>
      <c r="D3506" s="5" t="s">
        <v>18</v>
      </c>
      <c r="E3506" s="5" t="s">
        <v>1031</v>
      </c>
      <c r="F3506" s="9">
        <v>107</v>
      </c>
      <c r="G3506" s="9">
        <v>1130</v>
      </c>
      <c r="H3506" s="5" t="s">
        <v>20</v>
      </c>
      <c r="I3506" s="5" t="s">
        <v>7843</v>
      </c>
      <c r="J3506" s="12" t="str">
        <f>HYPERLINK("https://www.boe.es/gazeta/dias/1806/12/30/pdfs/GMD-1806-107.pdf#page=6","Abrir facsímil")</f>
        <v>Abrir facsímil</v>
      </c>
      <c r="K3506" s="15" t="s">
        <v>22</v>
      </c>
    </row>
    <row r="3507" spans="1:11" ht="42" customHeight="1">
      <c r="A3507" s="4" t="s">
        <v>7844</v>
      </c>
      <c r="B3507" s="5" t="s">
        <v>7845</v>
      </c>
      <c r="C3507" s="5" t="s">
        <v>17</v>
      </c>
      <c r="D3507" s="5" t="s">
        <v>18</v>
      </c>
      <c r="E3507" s="5" t="s">
        <v>96</v>
      </c>
      <c r="F3507" s="9">
        <v>62</v>
      </c>
      <c r="G3507" s="9">
        <v>648</v>
      </c>
      <c r="H3507" s="5" t="s">
        <v>20</v>
      </c>
      <c r="I3507" s="5" t="s">
        <v>7846</v>
      </c>
      <c r="J3507" s="12" t="str">
        <f>HYPERLINK("https://www.boe.es/gazeta/dias/1806/07/29/pdfs/GMD-1806-62.pdf#page=8","Abrir facsímil")</f>
        <v>Abrir facsímil</v>
      </c>
      <c r="K3507" s="15" t="s">
        <v>22</v>
      </c>
    </row>
    <row r="3508" spans="1:11" ht="42" customHeight="1">
      <c r="A3508" s="4" t="s">
        <v>7847</v>
      </c>
      <c r="B3508" s="5" t="s">
        <v>7848</v>
      </c>
      <c r="C3508" s="5" t="s">
        <v>69</v>
      </c>
      <c r="D3508" s="5" t="s">
        <v>70</v>
      </c>
      <c r="E3508" s="5" t="s">
        <v>188</v>
      </c>
      <c r="F3508" s="9">
        <v>2</v>
      </c>
      <c r="G3508" s="9">
        <v>16</v>
      </c>
      <c r="H3508" s="5" t="s">
        <v>20</v>
      </c>
      <c r="I3508" s="5" t="s">
        <v>7849</v>
      </c>
      <c r="J3508" s="12" t="str">
        <f>HYPERLINK("https://www.boe.es/gazeta/dias/1806/01/07/pdfs/GMD-1806-2.pdf#page=4","Abrir facsímil")</f>
        <v>Abrir facsímil</v>
      </c>
      <c r="K3508" s="15" t="s">
        <v>22</v>
      </c>
    </row>
    <row r="3509" spans="1:11" ht="42" customHeight="1">
      <c r="A3509" s="4" t="s">
        <v>7847</v>
      </c>
      <c r="B3509" s="5" t="s">
        <v>7848</v>
      </c>
      <c r="C3509" s="5" t="s">
        <v>69</v>
      </c>
      <c r="D3509" s="5" t="s">
        <v>70</v>
      </c>
      <c r="E3509" s="5" t="s">
        <v>113</v>
      </c>
      <c r="F3509" s="9">
        <v>28</v>
      </c>
      <c r="G3509" s="9">
        <v>275</v>
      </c>
      <c r="H3509" s="5" t="s">
        <v>20</v>
      </c>
      <c r="I3509" s="5" t="s">
        <v>7850</v>
      </c>
      <c r="J3509" s="12" t="str">
        <f>HYPERLINK("https://www.boe.es/gazeta/dias/1806/04/01/pdfs/GMD-1806-28.pdf#page=3","Abrir facsímil")</f>
        <v>Abrir facsímil</v>
      </c>
      <c r="K3509" s="15" t="s">
        <v>22</v>
      </c>
    </row>
    <row r="3510" spans="1:11" ht="42" customHeight="1">
      <c r="A3510" s="4" t="s">
        <v>7847</v>
      </c>
      <c r="B3510" s="5" t="s">
        <v>7848</v>
      </c>
      <c r="C3510" s="5" t="s">
        <v>36</v>
      </c>
      <c r="D3510" s="5" t="s">
        <v>37</v>
      </c>
      <c r="E3510" s="5" t="s">
        <v>259</v>
      </c>
      <c r="F3510" s="9">
        <v>34</v>
      </c>
      <c r="G3510" s="9">
        <v>329</v>
      </c>
      <c r="H3510" s="5" t="s">
        <v>20</v>
      </c>
      <c r="I3510" s="5" t="s">
        <v>7851</v>
      </c>
      <c r="J3510" s="12" t="str">
        <f>HYPERLINK("https://www.boe.es/gazeta/dias/1806/04/22/pdfs/GMD-1806-34.pdf#page=1","Abrir facsímil")</f>
        <v>Abrir facsímil</v>
      </c>
      <c r="K3510" s="15" t="s">
        <v>22</v>
      </c>
    </row>
    <row r="3511" spans="1:11" ht="42" customHeight="1">
      <c r="A3511" s="4" t="s">
        <v>7847</v>
      </c>
      <c r="B3511" s="5" t="s">
        <v>7848</v>
      </c>
      <c r="C3511" s="5" t="s">
        <v>69</v>
      </c>
      <c r="D3511" s="5" t="s">
        <v>70</v>
      </c>
      <c r="E3511" s="5" t="s">
        <v>259</v>
      </c>
      <c r="F3511" s="9">
        <v>34</v>
      </c>
      <c r="G3511" s="9">
        <v>330</v>
      </c>
      <c r="H3511" s="5" t="s">
        <v>20</v>
      </c>
      <c r="I3511" s="5" t="s">
        <v>7852</v>
      </c>
      <c r="J3511" s="12" t="str">
        <f>HYPERLINK("https://www.boe.es/gazeta/dias/1806/04/22/pdfs/GMD-1806-34.pdf#page=2","Abrir facsímil")</f>
        <v>Abrir facsímil</v>
      </c>
      <c r="K3511" s="15" t="s">
        <v>22</v>
      </c>
    </row>
    <row r="3512" spans="1:11" ht="42" customHeight="1">
      <c r="A3512" s="4" t="s">
        <v>7847</v>
      </c>
      <c r="B3512" s="5" t="s">
        <v>7848</v>
      </c>
      <c r="C3512" s="5" t="s">
        <v>31</v>
      </c>
      <c r="D3512" s="5" t="s">
        <v>32</v>
      </c>
      <c r="E3512" s="5" t="s">
        <v>48</v>
      </c>
      <c r="F3512" s="9">
        <v>67</v>
      </c>
      <c r="G3512" s="9">
        <v>695</v>
      </c>
      <c r="H3512" s="5" t="s">
        <v>20</v>
      </c>
      <c r="I3512" s="5" t="s">
        <v>7853</v>
      </c>
      <c r="J3512" s="12" t="str">
        <f>HYPERLINK("https://www.boe.es/gazeta/dias/1806/08/15/pdfs/GMD-1806-67.pdf#page=3","Abrir facsímil")</f>
        <v>Abrir facsímil</v>
      </c>
      <c r="K3512" s="15" t="s">
        <v>22</v>
      </c>
    </row>
    <row r="3513" spans="1:11" ht="42" customHeight="1">
      <c r="A3513" s="4" t="s">
        <v>7854</v>
      </c>
      <c r="B3513" s="5" t="s">
        <v>7854</v>
      </c>
      <c r="C3513" s="5" t="s">
        <v>36</v>
      </c>
      <c r="D3513" s="5" t="s">
        <v>37</v>
      </c>
      <c r="E3513" s="5" t="s">
        <v>312</v>
      </c>
      <c r="F3513" s="9">
        <v>100</v>
      </c>
      <c r="G3513" s="9">
        <v>1068</v>
      </c>
      <c r="H3513" s="5" t="s">
        <v>20</v>
      </c>
      <c r="I3513" s="5" t="s">
        <v>7855</v>
      </c>
      <c r="J3513" s="12" t="str">
        <f>HYPERLINK("https://www.boe.es/gazeta/dias/1806/12/09/pdfs/GMD-1806-100.pdf#page=12","Abrir facsímil")</f>
        <v>Abrir facsímil</v>
      </c>
      <c r="K3513" s="15" t="s">
        <v>22</v>
      </c>
    </row>
    <row r="3514" spans="1:11" ht="42" customHeight="1">
      <c r="A3514" s="4" t="s">
        <v>7856</v>
      </c>
      <c r="B3514" s="5" t="s">
        <v>7857</v>
      </c>
      <c r="C3514" s="5" t="s">
        <v>75</v>
      </c>
      <c r="D3514" s="5" t="s">
        <v>43</v>
      </c>
      <c r="E3514" s="5" t="s">
        <v>1031</v>
      </c>
      <c r="F3514" s="9">
        <v>107</v>
      </c>
      <c r="G3514" s="9">
        <v>1132</v>
      </c>
      <c r="H3514" s="5" t="s">
        <v>20</v>
      </c>
      <c r="I3514" s="5" t="s">
        <v>7858</v>
      </c>
      <c r="J3514" s="12" t="str">
        <f>HYPERLINK("https://www.boe.es/gazeta/dias/1806/12/30/pdfs/GMD-1806-107.pdf#page=8","Abrir facsímil")</f>
        <v>Abrir facsímil</v>
      </c>
      <c r="K3514" s="15" t="s">
        <v>22</v>
      </c>
    </row>
    <row r="3515" spans="1:11" ht="42" customHeight="1">
      <c r="A3515" s="4" t="s">
        <v>7859</v>
      </c>
      <c r="B3515" s="5" t="s">
        <v>7860</v>
      </c>
      <c r="C3515" s="5" t="s">
        <v>447</v>
      </c>
      <c r="D3515" s="5" t="s">
        <v>448</v>
      </c>
      <c r="E3515" s="5" t="s">
        <v>434</v>
      </c>
      <c r="F3515" s="9">
        <v>74</v>
      </c>
      <c r="G3515" s="9" t="s">
        <v>2031</v>
      </c>
      <c r="H3515" s="5" t="s">
        <v>20</v>
      </c>
      <c r="I3515" s="5" t="s">
        <v>7861</v>
      </c>
      <c r="J3515" s="12" t="str">
        <f>HYPERLINK("https://www.boe.es/gazeta/dias/1806/09/09/pdfs/GMD-C-1806-74.pdf#page=1","Abrir facsímil")</f>
        <v>Abrir facsímil</v>
      </c>
      <c r="K3515" s="15" t="s">
        <v>22</v>
      </c>
    </row>
    <row r="3516" spans="1:11" ht="42" customHeight="1">
      <c r="A3516" s="4" t="s">
        <v>7862</v>
      </c>
      <c r="B3516" s="5" t="s">
        <v>7862</v>
      </c>
      <c r="C3516" s="5" t="s">
        <v>17</v>
      </c>
      <c r="D3516" s="5" t="s">
        <v>18</v>
      </c>
      <c r="E3516" s="5" t="s">
        <v>118</v>
      </c>
      <c r="F3516" s="9">
        <v>15</v>
      </c>
      <c r="G3516" s="9">
        <v>136</v>
      </c>
      <c r="H3516" s="5" t="s">
        <v>20</v>
      </c>
      <c r="I3516" s="5" t="s">
        <v>7863</v>
      </c>
      <c r="J3516" s="12" t="str">
        <f>HYPERLINK("https://www.boe.es/gazeta/dias/1806/02/14/pdfs/GMD-1806-15.pdf#page=12","Abrir facsímil")</f>
        <v>Abrir facsímil</v>
      </c>
      <c r="K3516" s="15" t="s">
        <v>22</v>
      </c>
    </row>
    <row r="3517" spans="1:11" ht="42" customHeight="1">
      <c r="A3517" s="4" t="s">
        <v>7864</v>
      </c>
      <c r="B3517" s="5" t="s">
        <v>7865</v>
      </c>
      <c r="C3517" s="5" t="s">
        <v>17</v>
      </c>
      <c r="D3517" s="5" t="s">
        <v>18</v>
      </c>
      <c r="E3517" s="5" t="s">
        <v>33</v>
      </c>
      <c r="F3517" s="9">
        <v>82</v>
      </c>
      <c r="G3517" s="9">
        <v>852</v>
      </c>
      <c r="H3517" s="5" t="s">
        <v>20</v>
      </c>
      <c r="I3517" s="5" t="s">
        <v>7866</v>
      </c>
      <c r="J3517" s="12" t="str">
        <f>HYPERLINK("https://www.boe.es/gazeta/dias/1806/10/07/pdfs/GMD-1806-82.pdf#page=12","Abrir facsímil")</f>
        <v>Abrir facsímil</v>
      </c>
      <c r="K3517" s="15" t="s">
        <v>22</v>
      </c>
    </row>
    <row r="3518" spans="1:11" ht="42" customHeight="1">
      <c r="A3518" s="4" t="s">
        <v>7867</v>
      </c>
      <c r="B3518" s="5" t="s">
        <v>7868</v>
      </c>
      <c r="C3518" s="5" t="s">
        <v>42</v>
      </c>
      <c r="D3518" s="5" t="s">
        <v>43</v>
      </c>
      <c r="E3518" s="5" t="s">
        <v>405</v>
      </c>
      <c r="F3518" s="9">
        <v>80</v>
      </c>
      <c r="G3518" s="9">
        <v>830</v>
      </c>
      <c r="H3518" s="5" t="s">
        <v>20</v>
      </c>
      <c r="I3518" s="5" t="s">
        <v>7869</v>
      </c>
      <c r="J3518" s="12" t="str">
        <f>HYPERLINK("https://www.boe.es/gazeta/dias/1806/09/30/pdfs/GMD-1806-80.pdf#page=10","Abrir facsímil")</f>
        <v>Abrir facsímil</v>
      </c>
      <c r="K3518" s="15" t="s">
        <v>22</v>
      </c>
    </row>
    <row r="3519" spans="1:11" ht="42" customHeight="1">
      <c r="A3519" s="4" t="s">
        <v>7870</v>
      </c>
      <c r="B3519" s="5" t="s">
        <v>7871</v>
      </c>
      <c r="C3519" s="5" t="s">
        <v>447</v>
      </c>
      <c r="D3519" s="5" t="s">
        <v>448</v>
      </c>
      <c r="E3519" s="5" t="s">
        <v>304</v>
      </c>
      <c r="F3519" s="9">
        <v>47</v>
      </c>
      <c r="G3519" s="9">
        <v>483</v>
      </c>
      <c r="H3519" s="5" t="s">
        <v>20</v>
      </c>
      <c r="I3519" s="5" t="s">
        <v>7872</v>
      </c>
      <c r="J3519" s="12" t="str">
        <f>HYPERLINK("https://www.boe.es/gazeta/dias/1806/06/06/pdfs/GMD-C-1806-47.pdf#page=3","Abrir facsímil")</f>
        <v>Abrir facsímil</v>
      </c>
      <c r="K3519" s="15" t="s">
        <v>22</v>
      </c>
    </row>
    <row r="3520" spans="1:11" ht="42" customHeight="1">
      <c r="A3520" s="4" t="s">
        <v>7873</v>
      </c>
      <c r="B3520" s="5" t="s">
        <v>7873</v>
      </c>
      <c r="C3520" s="5" t="s">
        <v>69</v>
      </c>
      <c r="D3520" s="5" t="s">
        <v>70</v>
      </c>
      <c r="E3520" s="5" t="s">
        <v>1005</v>
      </c>
      <c r="F3520" s="9">
        <v>76</v>
      </c>
      <c r="G3520" s="9">
        <v>782</v>
      </c>
      <c r="H3520" s="5" t="s">
        <v>20</v>
      </c>
      <c r="I3520" s="5" t="s">
        <v>7874</v>
      </c>
      <c r="J3520" s="12" t="str">
        <f>HYPERLINK("https://www.boe.es/gazeta/dias/1806/09/16/pdfs/GMD-1806-76.pdf#page=2","Abrir facsímil")</f>
        <v>Abrir facsímil</v>
      </c>
      <c r="K3520" s="15" t="s">
        <v>22</v>
      </c>
    </row>
    <row r="3521" spans="1:11" ht="42" customHeight="1">
      <c r="A3521" s="4" t="s">
        <v>7873</v>
      </c>
      <c r="B3521" s="5" t="s">
        <v>7873</v>
      </c>
      <c r="C3521" s="5" t="s">
        <v>31</v>
      </c>
      <c r="D3521" s="5" t="s">
        <v>32</v>
      </c>
      <c r="E3521" s="5" t="s">
        <v>396</v>
      </c>
      <c r="F3521" s="9">
        <v>91</v>
      </c>
      <c r="G3521" s="9">
        <v>943</v>
      </c>
      <c r="H3521" s="5" t="s">
        <v>20</v>
      </c>
      <c r="I3521" s="5" t="s">
        <v>7875</v>
      </c>
      <c r="J3521" s="12" t="str">
        <f>HYPERLINK("https://www.boe.es/gazeta/dias/1806/11/07/pdfs/GMD-1806-91.pdf#page=7","Abrir facsímil")</f>
        <v>Abrir facsímil</v>
      </c>
      <c r="K3521" s="15" t="s">
        <v>22</v>
      </c>
    </row>
    <row r="3522" spans="1:11" ht="42" customHeight="1">
      <c r="A3522" s="4" t="s">
        <v>7876</v>
      </c>
      <c r="B3522" s="5" t="s">
        <v>7876</v>
      </c>
      <c r="C3522" s="5" t="s">
        <v>69</v>
      </c>
      <c r="D3522" s="5" t="s">
        <v>70</v>
      </c>
      <c r="E3522" s="5" t="s">
        <v>271</v>
      </c>
      <c r="F3522" s="9">
        <v>6</v>
      </c>
      <c r="G3522" s="9">
        <v>46</v>
      </c>
      <c r="H3522" s="5" t="s">
        <v>20</v>
      </c>
      <c r="I3522" s="5" t="s">
        <v>7877</v>
      </c>
      <c r="J3522" s="12" t="str">
        <f>HYPERLINK("https://www.boe.es/gazeta/dias/1806/01/17/pdfs/GMD-1806-6.pdf#page=2","Abrir facsímil")</f>
        <v>Abrir facsímil</v>
      </c>
      <c r="K3522" s="15" t="s">
        <v>22</v>
      </c>
    </row>
    <row r="3523" spans="1:11" ht="42" customHeight="1">
      <c r="A3523" s="4" t="s">
        <v>7878</v>
      </c>
      <c r="B3523" s="5" t="s">
        <v>7878</v>
      </c>
      <c r="C3523" s="5" t="s">
        <v>69</v>
      </c>
      <c r="D3523" s="5" t="s">
        <v>70</v>
      </c>
      <c r="E3523" s="5" t="s">
        <v>100</v>
      </c>
      <c r="F3523" s="9">
        <v>7</v>
      </c>
      <c r="G3523" s="9">
        <v>62</v>
      </c>
      <c r="H3523" s="5" t="s">
        <v>20</v>
      </c>
      <c r="I3523" s="5" t="s">
        <v>7879</v>
      </c>
      <c r="J3523" s="12" t="str">
        <f>HYPERLINK("https://www.boe.es/gazeta/dias/1806/01/21/pdfs/GMD-1806-7.pdf#page=6","Abrir facsímil")</f>
        <v>Abrir facsímil</v>
      </c>
      <c r="K3523" s="15" t="s">
        <v>22</v>
      </c>
    </row>
    <row r="3524" spans="1:11" ht="42" customHeight="1">
      <c r="A3524" s="4" t="s">
        <v>7878</v>
      </c>
      <c r="B3524" s="5" t="s">
        <v>7878</v>
      </c>
      <c r="C3524" s="5" t="s">
        <v>69</v>
      </c>
      <c r="D3524" s="5" t="s">
        <v>70</v>
      </c>
      <c r="E3524" s="5" t="s">
        <v>172</v>
      </c>
      <c r="F3524" s="9">
        <v>17</v>
      </c>
      <c r="G3524" s="9">
        <v>145</v>
      </c>
      <c r="H3524" s="5" t="s">
        <v>20</v>
      </c>
      <c r="I3524" s="5" t="s">
        <v>7880</v>
      </c>
      <c r="J3524" s="12" t="str">
        <f>HYPERLINK("https://www.boe.es/gazeta/dias/1806/02/21/pdfs/GMD-1806-17.pdf#page=1","Abrir facsímil")</f>
        <v>Abrir facsímil</v>
      </c>
      <c r="K3524" s="15" t="s">
        <v>22</v>
      </c>
    </row>
    <row r="3525" spans="1:11" ht="42" customHeight="1">
      <c r="A3525" s="4" t="s">
        <v>7878</v>
      </c>
      <c r="B3525" s="5" t="s">
        <v>7878</v>
      </c>
      <c r="C3525" s="5" t="s">
        <v>17</v>
      </c>
      <c r="D3525" s="5" t="s">
        <v>18</v>
      </c>
      <c r="E3525" s="5" t="s">
        <v>209</v>
      </c>
      <c r="F3525" s="9">
        <v>95</v>
      </c>
      <c r="G3525" s="9">
        <v>996</v>
      </c>
      <c r="H3525" s="5" t="s">
        <v>20</v>
      </c>
      <c r="I3525" s="5" t="s">
        <v>7881</v>
      </c>
      <c r="J3525" s="12" t="str">
        <f>HYPERLINK("https://www.boe.es/gazeta/dias/1806/11/21/pdfs/GMD-1806-95.pdf#page=4","Abrir facsímil")</f>
        <v>Abrir facsímil</v>
      </c>
      <c r="K3525" s="15" t="s">
        <v>22</v>
      </c>
    </row>
    <row r="3526" spans="1:11" ht="42" customHeight="1">
      <c r="A3526" s="4" t="s">
        <v>7882</v>
      </c>
      <c r="B3526" s="5" t="s">
        <v>7882</v>
      </c>
      <c r="C3526" s="5" t="s">
        <v>69</v>
      </c>
      <c r="D3526" s="5" t="s">
        <v>70</v>
      </c>
      <c r="E3526" s="5" t="s">
        <v>245</v>
      </c>
      <c r="F3526" s="9">
        <v>106</v>
      </c>
      <c r="G3526" s="9">
        <v>1119</v>
      </c>
      <c r="H3526" s="5" t="s">
        <v>20</v>
      </c>
      <c r="I3526" s="5" t="s">
        <v>7883</v>
      </c>
      <c r="J3526" s="12" t="str">
        <f>HYPERLINK("https://www.boe.es/gazeta/dias/1806/12/26/pdfs/GMD-1806-106.pdf#page=3","Abrir facsímil")</f>
        <v>Abrir facsímil</v>
      </c>
      <c r="K3526" s="15" t="s">
        <v>22</v>
      </c>
    </row>
    <row r="3527" spans="1:11" ht="42" customHeight="1">
      <c r="A3527" s="4" t="s">
        <v>7884</v>
      </c>
      <c r="B3527" s="5" t="s">
        <v>7885</v>
      </c>
      <c r="C3527" s="5" t="s">
        <v>31</v>
      </c>
      <c r="D3527" s="5" t="s">
        <v>32</v>
      </c>
      <c r="E3527" s="5" t="s">
        <v>810</v>
      </c>
      <c r="F3527" s="9">
        <v>71</v>
      </c>
      <c r="G3527" s="9">
        <v>739</v>
      </c>
      <c r="H3527" s="5" t="s">
        <v>20</v>
      </c>
      <c r="I3527" s="5" t="s">
        <v>7886</v>
      </c>
      <c r="J3527" s="12" t="str">
        <f>HYPERLINK("https://www.boe.es/gazeta/dias/1806/08/29/pdfs/GMD-1806-71.pdf#page=7","Abrir facsímil")</f>
        <v>Abrir facsímil</v>
      </c>
      <c r="K3527" s="15" t="s">
        <v>22</v>
      </c>
    </row>
    <row r="3528" spans="1:11" ht="42" customHeight="1">
      <c r="A3528" s="4" t="s">
        <v>7887</v>
      </c>
      <c r="B3528" s="5" t="s">
        <v>7888</v>
      </c>
      <c r="C3528" s="5" t="s">
        <v>31</v>
      </c>
      <c r="D3528" s="5" t="s">
        <v>32</v>
      </c>
      <c r="E3528" s="5" t="s">
        <v>76</v>
      </c>
      <c r="F3528" s="9">
        <v>98</v>
      </c>
      <c r="G3528" s="9">
        <v>1038</v>
      </c>
      <c r="H3528" s="5" t="s">
        <v>20</v>
      </c>
      <c r="I3528" s="5" t="s">
        <v>7889</v>
      </c>
      <c r="J3528" s="12" t="str">
        <f>HYPERLINK("https://www.boe.es/gazeta/dias/1806/12/02/pdfs/GMD-1806-98.pdf#page=6","Abrir facsímil")</f>
        <v>Abrir facsímil</v>
      </c>
      <c r="K3528" s="15" t="s">
        <v>22</v>
      </c>
    </row>
    <row r="3529" spans="1:11" ht="42" customHeight="1">
      <c r="A3529" s="4" t="s">
        <v>7890</v>
      </c>
      <c r="B3529" s="5" t="s">
        <v>7891</v>
      </c>
      <c r="C3529" s="5" t="s">
        <v>75</v>
      </c>
      <c r="D3529" s="5" t="s">
        <v>43</v>
      </c>
      <c r="E3529" s="5" t="s">
        <v>1031</v>
      </c>
      <c r="F3529" s="9">
        <v>107</v>
      </c>
      <c r="G3529" s="9">
        <v>1131</v>
      </c>
      <c r="H3529" s="5" t="s">
        <v>20</v>
      </c>
      <c r="I3529" s="5" t="s">
        <v>7892</v>
      </c>
      <c r="J3529" s="12" t="str">
        <f>HYPERLINK("https://www.boe.es/gazeta/dias/1806/12/30/pdfs/GMD-1806-107.pdf#page=7","Abrir facsímil")</f>
        <v>Abrir facsímil</v>
      </c>
      <c r="K3529" s="15" t="s">
        <v>22</v>
      </c>
    </row>
    <row r="3530" spans="1:11" ht="42" customHeight="1">
      <c r="A3530" s="4" t="s">
        <v>7893</v>
      </c>
      <c r="B3530" s="5" t="s">
        <v>7894</v>
      </c>
      <c r="C3530" s="5" t="s">
        <v>31</v>
      </c>
      <c r="D3530" s="5" t="s">
        <v>32</v>
      </c>
      <c r="E3530" s="5" t="s">
        <v>113</v>
      </c>
      <c r="F3530" s="9">
        <v>28</v>
      </c>
      <c r="G3530" s="9">
        <v>276</v>
      </c>
      <c r="H3530" s="5" t="s">
        <v>20</v>
      </c>
      <c r="I3530" s="5" t="s">
        <v>7895</v>
      </c>
      <c r="J3530" s="12" t="str">
        <f>HYPERLINK("https://www.boe.es/gazeta/dias/1806/04/01/pdfs/GMD-1806-28.pdf#page=4","Abrir facsímil")</f>
        <v>Abrir facsímil</v>
      </c>
      <c r="K3530" s="15" t="s">
        <v>22</v>
      </c>
    </row>
    <row r="3531" spans="1:11" ht="42" customHeight="1">
      <c r="A3531" s="4" t="s">
        <v>7893</v>
      </c>
      <c r="B3531" s="5" t="s">
        <v>7894</v>
      </c>
      <c r="C3531" s="5" t="s">
        <v>69</v>
      </c>
      <c r="D3531" s="5" t="s">
        <v>70</v>
      </c>
      <c r="E3531" s="5" t="s">
        <v>136</v>
      </c>
      <c r="F3531" s="9">
        <v>50</v>
      </c>
      <c r="G3531" s="9">
        <v>511</v>
      </c>
      <c r="H3531" s="5" t="s">
        <v>20</v>
      </c>
      <c r="I3531" s="5" t="s">
        <v>7896</v>
      </c>
      <c r="J3531" s="12" t="str">
        <f>HYPERLINK("https://www.boe.es/gazeta/dias/1806/06/17/pdfs/GMD-1806-50.pdf#page=3","Abrir facsímil")</f>
        <v>Abrir facsímil</v>
      </c>
      <c r="K3531" s="15" t="s">
        <v>22</v>
      </c>
    </row>
    <row r="3532" spans="1:11" ht="42" customHeight="1">
      <c r="A3532" s="4" t="s">
        <v>7893</v>
      </c>
      <c r="B3532" s="5" t="s">
        <v>7894</v>
      </c>
      <c r="C3532" s="5" t="s">
        <v>31</v>
      </c>
      <c r="D3532" s="5" t="s">
        <v>32</v>
      </c>
      <c r="E3532" s="5" t="s">
        <v>48</v>
      </c>
      <c r="F3532" s="9">
        <v>67</v>
      </c>
      <c r="G3532" s="9">
        <v>696</v>
      </c>
      <c r="H3532" s="5" t="s">
        <v>20</v>
      </c>
      <c r="I3532" s="5" t="s">
        <v>7897</v>
      </c>
      <c r="J3532" s="12" t="str">
        <f>HYPERLINK("https://www.boe.es/gazeta/dias/1806/08/15/pdfs/GMD-1806-67.pdf#page=4","Abrir facsímil")</f>
        <v>Abrir facsímil</v>
      </c>
      <c r="K3532" s="15" t="s">
        <v>22</v>
      </c>
    </row>
    <row r="3533" spans="1:11" ht="42" customHeight="1">
      <c r="A3533" s="4" t="s">
        <v>7898</v>
      </c>
      <c r="B3533" s="5" t="s">
        <v>7899</v>
      </c>
      <c r="C3533" s="5" t="s">
        <v>69</v>
      </c>
      <c r="D3533" s="5" t="s">
        <v>70</v>
      </c>
      <c r="E3533" s="5" t="s">
        <v>238</v>
      </c>
      <c r="F3533" s="9">
        <v>18</v>
      </c>
      <c r="G3533" s="9">
        <v>157</v>
      </c>
      <c r="H3533" s="5" t="s">
        <v>20</v>
      </c>
      <c r="I3533" s="5" t="s">
        <v>7900</v>
      </c>
      <c r="J3533" s="12" t="str">
        <f>HYPERLINK("https://www.boe.es/gazeta/dias/1806/02/25/pdfs/GMD-1806-18.pdf#page=5","Abrir facsímil")</f>
        <v>Abrir facsímil</v>
      </c>
      <c r="K3533" s="15" t="s">
        <v>22</v>
      </c>
    </row>
    <row r="3534" spans="1:11" ht="42" customHeight="1">
      <c r="A3534" s="4" t="s">
        <v>7898</v>
      </c>
      <c r="B3534" s="5" t="s">
        <v>7899</v>
      </c>
      <c r="C3534" s="5" t="s">
        <v>69</v>
      </c>
      <c r="D3534" s="5" t="s">
        <v>70</v>
      </c>
      <c r="E3534" s="5" t="s">
        <v>911</v>
      </c>
      <c r="F3534" s="9">
        <v>64</v>
      </c>
      <c r="G3534" s="9">
        <v>669</v>
      </c>
      <c r="H3534" s="5" t="s">
        <v>20</v>
      </c>
      <c r="I3534" s="5" t="s">
        <v>7901</v>
      </c>
      <c r="J3534" s="12" t="str">
        <f>HYPERLINK("https://www.boe.es/gazeta/dias/1806/08/05/pdfs/GMD-1806-64.pdf#page=5","Abrir facsímil")</f>
        <v>Abrir facsímil</v>
      </c>
      <c r="K3534" s="15" t="s">
        <v>22</v>
      </c>
    </row>
    <row r="3535" spans="1:11" ht="42" customHeight="1">
      <c r="A3535" s="4" t="s">
        <v>7898</v>
      </c>
      <c r="B3535" s="5" t="s">
        <v>7899</v>
      </c>
      <c r="C3535" s="5" t="s">
        <v>69</v>
      </c>
      <c r="D3535" s="5" t="s">
        <v>70</v>
      </c>
      <c r="E3535" s="5" t="s">
        <v>554</v>
      </c>
      <c r="F3535" s="9">
        <v>90</v>
      </c>
      <c r="G3535" s="9">
        <v>925</v>
      </c>
      <c r="H3535" s="5" t="s">
        <v>20</v>
      </c>
      <c r="I3535" s="5" t="s">
        <v>7902</v>
      </c>
      <c r="J3535" s="12" t="str">
        <f>HYPERLINK("https://www.boe.es/gazeta/dias/1806/11/04/pdfs/GMD-1806-90.pdf#page=1","Abrir facsímil")</f>
        <v>Abrir facsímil</v>
      </c>
      <c r="K3535" s="15" t="s">
        <v>22</v>
      </c>
    </row>
    <row r="3536" spans="1:11" ht="42" customHeight="1">
      <c r="A3536" s="4" t="s">
        <v>7903</v>
      </c>
      <c r="B3536" s="5" t="s">
        <v>7903</v>
      </c>
      <c r="C3536" s="5" t="s">
        <v>36</v>
      </c>
      <c r="D3536" s="5" t="s">
        <v>37</v>
      </c>
      <c r="E3536" s="5" t="s">
        <v>103</v>
      </c>
      <c r="F3536" s="9">
        <v>61</v>
      </c>
      <c r="G3536" s="9">
        <v>635</v>
      </c>
      <c r="H3536" s="5" t="s">
        <v>20</v>
      </c>
      <c r="I3536" s="5" t="s">
        <v>7904</v>
      </c>
      <c r="J3536" s="12" t="str">
        <f>HYPERLINK("https://www.boe.es/gazeta/dias/1806/07/25/pdfs/GMD-1806-61.pdf#page=7","Abrir facsímil")</f>
        <v>Abrir facsímil</v>
      </c>
      <c r="K3536" s="15" t="s">
        <v>22</v>
      </c>
    </row>
    <row r="3537" spans="1:11" ht="42" customHeight="1">
      <c r="A3537" s="4" t="s">
        <v>7905</v>
      </c>
      <c r="B3537" s="5" t="s">
        <v>7905</v>
      </c>
      <c r="C3537" s="5" t="s">
        <v>69</v>
      </c>
      <c r="D3537" s="5" t="s">
        <v>70</v>
      </c>
      <c r="E3537" s="5" t="s">
        <v>127</v>
      </c>
      <c r="F3537" s="9">
        <v>81</v>
      </c>
      <c r="G3537" s="9">
        <v>835</v>
      </c>
      <c r="H3537" s="5" t="s">
        <v>20</v>
      </c>
      <c r="I3537" s="5" t="s">
        <v>7906</v>
      </c>
      <c r="J3537" s="12" t="str">
        <f>HYPERLINK("https://www.boe.es/gazeta/dias/1806/10/03/pdfs/GMD-1806-81.pdf#page=3","Abrir facsímil")</f>
        <v>Abrir facsímil</v>
      </c>
      <c r="K3537" s="15" t="s">
        <v>22</v>
      </c>
    </row>
    <row r="3538" spans="1:11" ht="42" customHeight="1">
      <c r="A3538" s="4" t="s">
        <v>7907</v>
      </c>
      <c r="B3538" s="5" t="s">
        <v>7907</v>
      </c>
      <c r="C3538" s="5" t="s">
        <v>31</v>
      </c>
      <c r="D3538" s="5" t="s">
        <v>32</v>
      </c>
      <c r="E3538" s="5" t="s">
        <v>816</v>
      </c>
      <c r="F3538" s="9">
        <v>86</v>
      </c>
      <c r="G3538" s="9">
        <v>888</v>
      </c>
      <c r="H3538" s="5" t="s">
        <v>20</v>
      </c>
      <c r="I3538" s="5" t="s">
        <v>7908</v>
      </c>
      <c r="J3538" s="12" t="str">
        <f>HYPERLINK("https://www.boe.es/gazeta/dias/1806/10/21/pdfs/GMD-1806-86.pdf#page=4","Abrir facsímil")</f>
        <v>Abrir facsímil</v>
      </c>
      <c r="K3538" s="15" t="s">
        <v>22</v>
      </c>
    </row>
    <row r="3539" spans="1:11" ht="42" customHeight="1">
      <c r="A3539" s="4" t="s">
        <v>7909</v>
      </c>
      <c r="B3539" s="5" t="s">
        <v>7909</v>
      </c>
      <c r="C3539" s="5" t="s">
        <v>31</v>
      </c>
      <c r="D3539" s="5" t="s">
        <v>32</v>
      </c>
      <c r="E3539" s="5" t="s">
        <v>430</v>
      </c>
      <c r="F3539" s="9">
        <v>12</v>
      </c>
      <c r="G3539" s="9">
        <v>102</v>
      </c>
      <c r="H3539" s="5" t="s">
        <v>20</v>
      </c>
      <c r="I3539" s="5" t="s">
        <v>7910</v>
      </c>
      <c r="J3539" s="12" t="str">
        <f>HYPERLINK("https://www.boe.es/gazeta/dias/1806/02/04/pdfs/GMD-1806-12.pdf#page=2","Abrir facsímil")</f>
        <v>Abrir facsímil</v>
      </c>
      <c r="K3539" s="15" t="s">
        <v>22</v>
      </c>
    </row>
    <row r="3540" spans="1:11" ht="42" customHeight="1">
      <c r="A3540" s="4" t="s">
        <v>7911</v>
      </c>
      <c r="B3540" s="5" t="s">
        <v>7911</v>
      </c>
      <c r="C3540" s="5" t="s">
        <v>31</v>
      </c>
      <c r="D3540" s="5" t="s">
        <v>32</v>
      </c>
      <c r="E3540" s="5" t="s">
        <v>55</v>
      </c>
      <c r="F3540" s="9">
        <v>20</v>
      </c>
      <c r="G3540" s="9">
        <v>184</v>
      </c>
      <c r="H3540" s="5" t="s">
        <v>20</v>
      </c>
      <c r="I3540" s="5" t="s">
        <v>7912</v>
      </c>
      <c r="J3540" s="12" t="str">
        <f>HYPERLINK("https://www.boe.es/gazeta/dias/1806/03/04/pdfs/GMD-1806-20.pdf#page=8","Abrir facsímil")</f>
        <v>Abrir facsímil</v>
      </c>
      <c r="K3540" s="15" t="s">
        <v>22</v>
      </c>
    </row>
    <row r="3541" spans="1:11" ht="42" customHeight="1">
      <c r="A3541" s="4" t="s">
        <v>7913</v>
      </c>
      <c r="B3541" s="5" t="s">
        <v>7914</v>
      </c>
      <c r="C3541" s="5" t="s">
        <v>31</v>
      </c>
      <c r="D3541" s="5" t="s">
        <v>32</v>
      </c>
      <c r="E3541" s="5" t="s">
        <v>205</v>
      </c>
      <c r="F3541" s="9">
        <v>57</v>
      </c>
      <c r="G3541" s="9">
        <v>594</v>
      </c>
      <c r="H3541" s="5" t="s">
        <v>20</v>
      </c>
      <c r="I3541" s="5" t="s">
        <v>7915</v>
      </c>
      <c r="J3541" s="12" t="str">
        <f>HYPERLINK("https://www.boe.es/gazeta/dias/1806/07/11/pdfs/GMD-1806-57.pdf#page=6","Abrir facsímil")</f>
        <v>Abrir facsímil</v>
      </c>
      <c r="K3541" s="15" t="s">
        <v>22</v>
      </c>
    </row>
    <row r="3542" spans="1:11" ht="42" customHeight="1">
      <c r="A3542" s="4" t="s">
        <v>7916</v>
      </c>
      <c r="B3542" s="5" t="s">
        <v>7917</v>
      </c>
      <c r="C3542" s="5" t="s">
        <v>75</v>
      </c>
      <c r="D3542" s="5" t="s">
        <v>43</v>
      </c>
      <c r="E3542" s="5" t="s">
        <v>540</v>
      </c>
      <c r="F3542" s="9">
        <v>51</v>
      </c>
      <c r="G3542" s="9">
        <v>531</v>
      </c>
      <c r="H3542" s="5" t="s">
        <v>20</v>
      </c>
      <c r="I3542" s="5" t="s">
        <v>7918</v>
      </c>
      <c r="J3542" s="12" t="str">
        <f>HYPERLINK("https://www.boe.es/gazeta/dias/1806/06/20/pdfs/GMD-1806-51.pdf#page=11","Abrir facsímil")</f>
        <v>Abrir facsímil</v>
      </c>
      <c r="K3542" s="15" t="s">
        <v>22</v>
      </c>
    </row>
    <row r="3543" spans="1:11" ht="42" customHeight="1">
      <c r="A3543" s="4" t="s">
        <v>7916</v>
      </c>
      <c r="B3543" s="5" t="s">
        <v>7917</v>
      </c>
      <c r="C3543" s="5" t="s">
        <v>75</v>
      </c>
      <c r="D3543" s="5" t="s">
        <v>43</v>
      </c>
      <c r="E3543" s="5" t="s">
        <v>148</v>
      </c>
      <c r="F3543" s="9">
        <v>78</v>
      </c>
      <c r="G3543" s="9">
        <v>805</v>
      </c>
      <c r="H3543" s="5" t="s">
        <v>20</v>
      </c>
      <c r="I3543" s="5" t="s">
        <v>7919</v>
      </c>
      <c r="J3543" s="12" t="str">
        <f>HYPERLINK("https://www.boe.es/gazeta/dias/1806/09/23/pdfs/GMD-1806-78.pdf#page=9","Abrir facsímil")</f>
        <v>Abrir facsímil</v>
      </c>
      <c r="K3543" s="15" t="s">
        <v>22</v>
      </c>
    </row>
    <row r="3544" spans="1:11" ht="42" customHeight="1">
      <c r="A3544" s="4" t="s">
        <v>7916</v>
      </c>
      <c r="B3544" s="5" t="s">
        <v>7917</v>
      </c>
      <c r="C3544" s="5" t="s">
        <v>75</v>
      </c>
      <c r="D3544" s="5" t="s">
        <v>43</v>
      </c>
      <c r="E3544" s="5" t="s">
        <v>455</v>
      </c>
      <c r="F3544" s="9">
        <v>85</v>
      </c>
      <c r="G3544" s="9">
        <v>882</v>
      </c>
      <c r="H3544" s="5" t="s">
        <v>20</v>
      </c>
      <c r="I3544" s="5" t="s">
        <v>7920</v>
      </c>
      <c r="J3544" s="12" t="str">
        <f>HYPERLINK("https://www.boe.es/gazeta/dias/1806/10/17/pdfs/GMD-1806-85.pdf#page=10","Abrir facsímil")</f>
        <v>Abrir facsímil</v>
      </c>
      <c r="K3544" s="15" t="s">
        <v>22</v>
      </c>
    </row>
    <row r="3545" spans="1:11" ht="42" customHeight="1">
      <c r="A3545" s="4" t="s">
        <v>7916</v>
      </c>
      <c r="B3545" s="5" t="s">
        <v>7917</v>
      </c>
      <c r="C3545" s="5" t="s">
        <v>75</v>
      </c>
      <c r="D3545" s="5" t="s">
        <v>43</v>
      </c>
      <c r="E3545" s="5" t="s">
        <v>327</v>
      </c>
      <c r="F3545" s="9">
        <v>104</v>
      </c>
      <c r="G3545" s="9">
        <v>1111</v>
      </c>
      <c r="H3545" s="5" t="s">
        <v>20</v>
      </c>
      <c r="I3545" s="5" t="s">
        <v>7921</v>
      </c>
      <c r="J3545" s="12" t="str">
        <f>HYPERLINK("https://www.boe.es/gazeta/dias/1806/12/23/pdfs/GMD-1806-104.pdf#page=11","Abrir facsímil")</f>
        <v>Abrir facsímil</v>
      </c>
      <c r="K3545" s="15" t="s">
        <v>22</v>
      </c>
    </row>
    <row r="3546" spans="1:11" ht="42" customHeight="1">
      <c r="A3546" s="4" t="s">
        <v>7922</v>
      </c>
      <c r="B3546" s="5" t="s">
        <v>7923</v>
      </c>
      <c r="C3546" s="5" t="s">
        <v>17</v>
      </c>
      <c r="D3546" s="5" t="s">
        <v>18</v>
      </c>
      <c r="E3546" s="5" t="s">
        <v>55</v>
      </c>
      <c r="F3546" s="9">
        <v>20</v>
      </c>
      <c r="G3546" s="9">
        <v>184</v>
      </c>
      <c r="H3546" s="5" t="s">
        <v>20</v>
      </c>
      <c r="I3546" s="5" t="s">
        <v>7924</v>
      </c>
      <c r="J3546" s="12" t="str">
        <f>HYPERLINK("https://www.boe.es/gazeta/dias/1806/03/04/pdfs/GMD-1806-20.pdf#page=8","Abrir facsímil")</f>
        <v>Abrir facsímil</v>
      </c>
      <c r="K3546" s="15" t="s">
        <v>22</v>
      </c>
    </row>
    <row r="3547" spans="1:11" ht="42" customHeight="1">
      <c r="A3547" s="4" t="s">
        <v>7925</v>
      </c>
      <c r="B3547" s="5" t="s">
        <v>7926</v>
      </c>
      <c r="C3547" s="5" t="s">
        <v>17</v>
      </c>
      <c r="D3547" s="5" t="s">
        <v>18</v>
      </c>
      <c r="E3547" s="5" t="s">
        <v>55</v>
      </c>
      <c r="F3547" s="9">
        <v>20</v>
      </c>
      <c r="G3547" s="9">
        <v>184</v>
      </c>
      <c r="H3547" s="5" t="s">
        <v>20</v>
      </c>
      <c r="I3547" s="5" t="s">
        <v>7927</v>
      </c>
      <c r="J3547" s="12" t="str">
        <f>HYPERLINK("https://www.boe.es/gazeta/dias/1806/03/04/pdfs/GMD-1806-20.pdf#page=8","Abrir facsímil")</f>
        <v>Abrir facsímil</v>
      </c>
      <c r="K3547" s="15" t="s">
        <v>22</v>
      </c>
    </row>
    <row r="3548" spans="1:11" ht="42" customHeight="1">
      <c r="A3548" s="4" t="s">
        <v>7928</v>
      </c>
      <c r="B3548" s="5" t="s">
        <v>7929</v>
      </c>
      <c r="C3548" s="5" t="s">
        <v>69</v>
      </c>
      <c r="D3548" s="5" t="s">
        <v>70</v>
      </c>
      <c r="E3548" s="5" t="s">
        <v>570</v>
      </c>
      <c r="F3548" s="9">
        <v>93</v>
      </c>
      <c r="G3548" s="9">
        <v>976</v>
      </c>
      <c r="H3548" s="5" t="s">
        <v>20</v>
      </c>
      <c r="I3548" s="5" t="s">
        <v>7930</v>
      </c>
      <c r="J3548" s="12" t="str">
        <f>HYPERLINK("https://www.boe.es/gazeta/dias/1806/11/14/pdfs/GMD-1806-93.pdf#page=12","Abrir facsímil")</f>
        <v>Abrir facsímil</v>
      </c>
      <c r="K3548" s="15" t="s">
        <v>22</v>
      </c>
    </row>
    <row r="3549" spans="1:11" ht="42" customHeight="1">
      <c r="A3549" s="4" t="s">
        <v>7931</v>
      </c>
      <c r="B3549" s="5" t="s">
        <v>7932</v>
      </c>
      <c r="C3549" s="5" t="s">
        <v>69</v>
      </c>
      <c r="D3549" s="5" t="s">
        <v>70</v>
      </c>
      <c r="E3549" s="5" t="s">
        <v>570</v>
      </c>
      <c r="F3549" s="9">
        <v>93</v>
      </c>
      <c r="G3549" s="9">
        <v>973</v>
      </c>
      <c r="H3549" s="5" t="s">
        <v>20</v>
      </c>
      <c r="I3549" s="5" t="s">
        <v>7933</v>
      </c>
      <c r="J3549" s="12" t="str">
        <f>HYPERLINK("https://www.boe.es/gazeta/dias/1806/11/14/pdfs/GMD-1806-93.pdf#page=9","Abrir facsímil")</f>
        <v>Abrir facsímil</v>
      </c>
      <c r="K3549" s="15" t="s">
        <v>22</v>
      </c>
    </row>
    <row r="3550" spans="1:11" ht="42" customHeight="1">
      <c r="A3550" s="4" t="s">
        <v>7934</v>
      </c>
      <c r="B3550" s="5" t="s">
        <v>7935</v>
      </c>
      <c r="C3550" s="5" t="s">
        <v>69</v>
      </c>
      <c r="D3550" s="5" t="s">
        <v>70</v>
      </c>
      <c r="E3550" s="5" t="s">
        <v>1568</v>
      </c>
      <c r="F3550" s="9">
        <v>84</v>
      </c>
      <c r="G3550" s="9">
        <v>868</v>
      </c>
      <c r="H3550" s="5" t="s">
        <v>20</v>
      </c>
      <c r="I3550" s="5" t="s">
        <v>7936</v>
      </c>
      <c r="J3550" s="12" t="str">
        <f>HYPERLINK("https://www.boe.es/gazeta/dias/1806/10/14/pdfs/GMD-1806-84.pdf#page=4","Abrir facsímil")</f>
        <v>Abrir facsímil</v>
      </c>
      <c r="K3550" s="15" t="s">
        <v>22</v>
      </c>
    </row>
    <row r="3551" spans="1:11" ht="42" customHeight="1">
      <c r="A3551" s="4" t="s">
        <v>7934</v>
      </c>
      <c r="B3551" s="5" t="s">
        <v>7935</v>
      </c>
      <c r="C3551" s="5" t="s">
        <v>69</v>
      </c>
      <c r="D3551" s="5" t="s">
        <v>70</v>
      </c>
      <c r="E3551" s="5" t="s">
        <v>38</v>
      </c>
      <c r="F3551" s="9">
        <v>92</v>
      </c>
      <c r="G3551" s="9">
        <v>950</v>
      </c>
      <c r="H3551" s="5" t="s">
        <v>20</v>
      </c>
      <c r="I3551" s="5" t="s">
        <v>7937</v>
      </c>
      <c r="J3551" s="12" t="str">
        <f>HYPERLINK("https://www.boe.es/gazeta/dias/1806/11/11/pdfs/GMD-1806-92.pdf#page=2","Abrir facsímil")</f>
        <v>Abrir facsímil</v>
      </c>
      <c r="K3551" s="15" t="s">
        <v>22</v>
      </c>
    </row>
    <row r="3552" spans="1:11" ht="42" customHeight="1">
      <c r="A3552" s="4" t="s">
        <v>7934</v>
      </c>
      <c r="B3552" s="5" t="s">
        <v>7935</v>
      </c>
      <c r="C3552" s="5" t="s">
        <v>75</v>
      </c>
      <c r="D3552" s="5" t="s">
        <v>43</v>
      </c>
      <c r="E3552" s="5" t="s">
        <v>38</v>
      </c>
      <c r="F3552" s="9">
        <v>92</v>
      </c>
      <c r="G3552" s="9">
        <v>951</v>
      </c>
      <c r="H3552" s="5" t="s">
        <v>20</v>
      </c>
      <c r="I3552" s="5" t="s">
        <v>7938</v>
      </c>
      <c r="J3552" s="12" t="str">
        <f>HYPERLINK("https://www.boe.es/gazeta/dias/1806/11/11/pdfs/GMD-1806-92.pdf#page=3","Abrir facsímil")</f>
        <v>Abrir facsímil</v>
      </c>
      <c r="K3552" s="15" t="s">
        <v>22</v>
      </c>
    </row>
    <row r="3553" spans="1:11" ht="42" customHeight="1">
      <c r="A3553" s="4" t="s">
        <v>7934</v>
      </c>
      <c r="B3553" s="5" t="s">
        <v>7935</v>
      </c>
      <c r="C3553" s="5" t="s">
        <v>69</v>
      </c>
      <c r="D3553" s="5" t="s">
        <v>70</v>
      </c>
      <c r="E3553" s="5" t="s">
        <v>38</v>
      </c>
      <c r="F3553" s="9">
        <v>92</v>
      </c>
      <c r="G3553" s="9">
        <v>952</v>
      </c>
      <c r="H3553" s="5" t="s">
        <v>20</v>
      </c>
      <c r="I3553" s="5" t="s">
        <v>7939</v>
      </c>
      <c r="J3553" s="12" t="str">
        <f>HYPERLINK("https://www.boe.es/gazeta/dias/1806/11/11/pdfs/GMD-1806-92.pdf#page=4","Abrir facsímil")</f>
        <v>Abrir facsímil</v>
      </c>
      <c r="K3553" s="15" t="s">
        <v>22</v>
      </c>
    </row>
    <row r="3554" spans="1:11" ht="42" customHeight="1">
      <c r="A3554" s="4" t="s">
        <v>7934</v>
      </c>
      <c r="B3554" s="5" t="s">
        <v>7935</v>
      </c>
      <c r="C3554" s="5" t="s">
        <v>69</v>
      </c>
      <c r="D3554" s="5" t="s">
        <v>70</v>
      </c>
      <c r="E3554" s="5" t="s">
        <v>38</v>
      </c>
      <c r="F3554" s="9">
        <v>92</v>
      </c>
      <c r="G3554" s="9">
        <v>953</v>
      </c>
      <c r="H3554" s="5" t="s">
        <v>20</v>
      </c>
      <c r="I3554" s="5" t="s">
        <v>7940</v>
      </c>
      <c r="J3554" s="12" t="str">
        <f>HYPERLINK("https://www.boe.es/gazeta/dias/1806/11/11/pdfs/GMD-1806-92.pdf#page=5","Abrir facsímil")</f>
        <v>Abrir facsímil</v>
      </c>
      <c r="K3554" s="15" t="s">
        <v>22</v>
      </c>
    </row>
    <row r="3555" spans="1:11" ht="42" customHeight="1">
      <c r="A3555" s="4" t="s">
        <v>7934</v>
      </c>
      <c r="B3555" s="5" t="s">
        <v>7935</v>
      </c>
      <c r="C3555" s="5" t="s">
        <v>69</v>
      </c>
      <c r="D3555" s="5" t="s">
        <v>70</v>
      </c>
      <c r="E3555" s="5" t="s">
        <v>570</v>
      </c>
      <c r="F3555" s="9">
        <v>93</v>
      </c>
      <c r="G3555" s="9">
        <v>977</v>
      </c>
      <c r="H3555" s="5" t="s">
        <v>20</v>
      </c>
      <c r="I3555" s="5" t="s">
        <v>7941</v>
      </c>
      <c r="J3555" s="12" t="str">
        <f>HYPERLINK("https://www.boe.es/gazeta/dias/1806/11/14/pdfs/GMD-1806-93.pdf#page=13","Abrir facsímil")</f>
        <v>Abrir facsímil</v>
      </c>
      <c r="K3555" s="15" t="s">
        <v>22</v>
      </c>
    </row>
    <row r="3556" spans="1:11" ht="42" customHeight="1">
      <c r="A3556" s="4" t="s">
        <v>7934</v>
      </c>
      <c r="B3556" s="5" t="s">
        <v>7935</v>
      </c>
      <c r="C3556" s="5" t="s">
        <v>75</v>
      </c>
      <c r="D3556" s="5" t="s">
        <v>43</v>
      </c>
      <c r="E3556" s="5" t="s">
        <v>209</v>
      </c>
      <c r="F3556" s="9">
        <v>95</v>
      </c>
      <c r="G3556" s="9">
        <v>999</v>
      </c>
      <c r="H3556" s="5" t="s">
        <v>20</v>
      </c>
      <c r="I3556" s="5" t="s">
        <v>7942</v>
      </c>
      <c r="J3556" s="12" t="str">
        <f>HYPERLINK("https://www.boe.es/gazeta/dias/1806/11/21/pdfs/GMD-1806-95.pdf#page=7","Abrir facsímil")</f>
        <v>Abrir facsímil</v>
      </c>
      <c r="K3556" s="15" t="s">
        <v>22</v>
      </c>
    </row>
    <row r="3557" spans="1:11" ht="42" customHeight="1">
      <c r="A3557" s="4" t="s">
        <v>7943</v>
      </c>
      <c r="B3557" s="5" t="s">
        <v>7944</v>
      </c>
      <c r="C3557" s="5" t="s">
        <v>69</v>
      </c>
      <c r="D3557" s="5" t="s">
        <v>70</v>
      </c>
      <c r="E3557" s="5" t="s">
        <v>680</v>
      </c>
      <c r="F3557" s="9">
        <v>97</v>
      </c>
      <c r="G3557" s="9">
        <v>1025</v>
      </c>
      <c r="H3557" s="5" t="s">
        <v>20</v>
      </c>
      <c r="I3557" s="5" t="s">
        <v>7945</v>
      </c>
      <c r="J3557" s="12" t="str">
        <f>HYPERLINK("https://www.boe.es/gazeta/dias/1806/11/28/pdfs/GMD-1806-97.pdf#page=5","Abrir facsímil")</f>
        <v>Abrir facsímil</v>
      </c>
      <c r="K3557" s="15" t="s">
        <v>22</v>
      </c>
    </row>
    <row r="3558" spans="1:11" ht="42" customHeight="1">
      <c r="A3558" s="4" t="s">
        <v>7934</v>
      </c>
      <c r="B3558" s="5" t="s">
        <v>7935</v>
      </c>
      <c r="C3558" s="5" t="s">
        <v>69</v>
      </c>
      <c r="D3558" s="5" t="s">
        <v>70</v>
      </c>
      <c r="E3558" s="5" t="s">
        <v>327</v>
      </c>
      <c r="F3558" s="9">
        <v>104</v>
      </c>
      <c r="G3558" s="9">
        <v>1102</v>
      </c>
      <c r="H3558" s="5" t="s">
        <v>20</v>
      </c>
      <c r="I3558" s="5" t="s">
        <v>7946</v>
      </c>
      <c r="J3558" s="12" t="str">
        <f>HYPERLINK("https://www.boe.es/gazeta/dias/1806/12/23/pdfs/GMD-1806-104.pdf#page=2","Abrir facsímil")</f>
        <v>Abrir facsímil</v>
      </c>
      <c r="K3558" s="15" t="s">
        <v>22</v>
      </c>
    </row>
    <row r="3559" spans="1:11" ht="42" customHeight="1">
      <c r="A3559" s="4" t="s">
        <v>7947</v>
      </c>
      <c r="B3559" s="5" t="s">
        <v>7948</v>
      </c>
      <c r="C3559" s="5" t="s">
        <v>69</v>
      </c>
      <c r="D3559" s="5" t="s">
        <v>70</v>
      </c>
      <c r="E3559" s="5" t="s">
        <v>259</v>
      </c>
      <c r="F3559" s="9">
        <v>34</v>
      </c>
      <c r="G3559" s="9">
        <v>329</v>
      </c>
      <c r="H3559" s="5" t="s">
        <v>20</v>
      </c>
      <c r="I3559" s="5" t="s">
        <v>7949</v>
      </c>
      <c r="J3559" s="12" t="str">
        <f>HYPERLINK("https://www.boe.es/gazeta/dias/1806/04/22/pdfs/GMD-1806-34.pdf#page=1","Abrir facsímil")</f>
        <v>Abrir facsímil</v>
      </c>
      <c r="K3559" s="15" t="s">
        <v>22</v>
      </c>
    </row>
    <row r="3560" spans="1:11" ht="42" customHeight="1">
      <c r="A3560" s="4" t="s">
        <v>7950</v>
      </c>
      <c r="B3560" s="5" t="s">
        <v>7951</v>
      </c>
      <c r="C3560" s="5" t="s">
        <v>447</v>
      </c>
      <c r="D3560" s="5" t="s">
        <v>448</v>
      </c>
      <c r="E3560" s="5" t="s">
        <v>304</v>
      </c>
      <c r="F3560" s="9">
        <v>47</v>
      </c>
      <c r="G3560" s="9">
        <v>483</v>
      </c>
      <c r="H3560" s="5" t="s">
        <v>20</v>
      </c>
      <c r="I3560" s="5" t="s">
        <v>7952</v>
      </c>
      <c r="J3560" s="12" t="str">
        <f>HYPERLINK("https://www.boe.es/gazeta/dias/1806/06/06/pdfs/GMD-C-1806-47.pdf#page=3","Abrir facsímil")</f>
        <v>Abrir facsímil</v>
      </c>
      <c r="K3560" s="15" t="s">
        <v>22</v>
      </c>
    </row>
    <row r="3561" spans="1:11" ht="42" customHeight="1">
      <c r="A3561" s="4" t="s">
        <v>7953</v>
      </c>
      <c r="B3561" s="5" t="s">
        <v>7954</v>
      </c>
      <c r="C3561" s="5" t="s">
        <v>31</v>
      </c>
      <c r="D3561" s="5" t="s">
        <v>32</v>
      </c>
      <c r="E3561" s="5" t="s">
        <v>405</v>
      </c>
      <c r="F3561" s="9">
        <v>80</v>
      </c>
      <c r="G3561" s="9">
        <v>830</v>
      </c>
      <c r="H3561" s="5" t="s">
        <v>20</v>
      </c>
      <c r="I3561" s="5" t="s">
        <v>7955</v>
      </c>
      <c r="J3561" s="12" t="str">
        <f>HYPERLINK("https://www.boe.es/gazeta/dias/1806/09/30/pdfs/GMD-1806-80.pdf#page=10","Abrir facsímil")</f>
        <v>Abrir facsímil</v>
      </c>
      <c r="K3561" s="15" t="s">
        <v>22</v>
      </c>
    </row>
    <row r="3562" spans="1:11" ht="42" customHeight="1">
      <c r="A3562" s="4" t="s">
        <v>7956</v>
      </c>
      <c r="B3562" s="5" t="s">
        <v>7957</v>
      </c>
      <c r="C3562" s="5" t="s">
        <v>69</v>
      </c>
      <c r="D3562" s="5" t="s">
        <v>70</v>
      </c>
      <c r="E3562" s="5" t="s">
        <v>312</v>
      </c>
      <c r="F3562" s="9">
        <v>100</v>
      </c>
      <c r="G3562" s="9">
        <v>1062</v>
      </c>
      <c r="H3562" s="5" t="s">
        <v>20</v>
      </c>
      <c r="I3562" s="5" t="s">
        <v>7958</v>
      </c>
      <c r="J3562" s="12" t="str">
        <f>HYPERLINK("https://www.boe.es/gazeta/dias/1806/12/09/pdfs/GMD-1806-100.pdf#page=6","Abrir facsímil")</f>
        <v>Abrir facsímil</v>
      </c>
      <c r="K3562" s="15" t="s">
        <v>22</v>
      </c>
    </row>
    <row r="3563" spans="1:11" ht="42" customHeight="1">
      <c r="A3563" s="4" t="s">
        <v>7959</v>
      </c>
      <c r="B3563" s="5" t="s">
        <v>7960</v>
      </c>
      <c r="C3563" s="5" t="s">
        <v>69</v>
      </c>
      <c r="D3563" s="5" t="s">
        <v>70</v>
      </c>
      <c r="E3563" s="5" t="s">
        <v>93</v>
      </c>
      <c r="F3563" s="9">
        <v>72</v>
      </c>
      <c r="G3563" s="9">
        <v>742</v>
      </c>
      <c r="H3563" s="5" t="s">
        <v>20</v>
      </c>
      <c r="I3563" s="5" t="s">
        <v>7961</v>
      </c>
      <c r="J3563" s="12" t="str">
        <f>HYPERLINK("https://www.boe.es/gazeta/dias/1806/09/02/pdfs/GMD-1806-72.pdf#page=2","Abrir facsímil")</f>
        <v>Abrir facsímil</v>
      </c>
      <c r="K3563" s="15" t="s">
        <v>22</v>
      </c>
    </row>
    <row r="3564" spans="1:11" ht="42" customHeight="1">
      <c r="A3564" s="4" t="s">
        <v>7962</v>
      </c>
      <c r="B3564" s="5" t="s">
        <v>7963</v>
      </c>
      <c r="C3564" s="5" t="s">
        <v>31</v>
      </c>
      <c r="D3564" s="5" t="s">
        <v>32</v>
      </c>
      <c r="E3564" s="5" t="s">
        <v>702</v>
      </c>
      <c r="F3564" s="9">
        <v>43</v>
      </c>
      <c r="G3564" s="9">
        <v>433</v>
      </c>
      <c r="H3564" s="5" t="s">
        <v>20</v>
      </c>
      <c r="I3564" s="5" t="s">
        <v>7964</v>
      </c>
      <c r="J3564" s="12" t="str">
        <f>HYPERLINK("https://www.boe.es/gazeta/dias/1806/05/23/pdfs/GMD-1806-43.pdf#page=9","Abrir facsímil")</f>
        <v>Abrir facsímil</v>
      </c>
      <c r="K3564" s="15" t="s">
        <v>22</v>
      </c>
    </row>
    <row r="3565" spans="1:11" ht="42" customHeight="1">
      <c r="A3565" s="4" t="s">
        <v>7965</v>
      </c>
      <c r="B3565" s="5" t="s">
        <v>7966</v>
      </c>
      <c r="C3565" s="5" t="s">
        <v>42</v>
      </c>
      <c r="D3565" s="5" t="s">
        <v>43</v>
      </c>
      <c r="E3565" s="5" t="s">
        <v>96</v>
      </c>
      <c r="F3565" s="9">
        <v>62</v>
      </c>
      <c r="G3565" s="9">
        <v>649</v>
      </c>
      <c r="H3565" s="5" t="s">
        <v>20</v>
      </c>
      <c r="I3565" s="5" t="s">
        <v>7967</v>
      </c>
      <c r="J3565" s="12" t="str">
        <f>HYPERLINK("https://www.boe.es/gazeta/dias/1806/07/29/pdfs/GMD-1806-62.pdf#page=9","Abrir facsímil")</f>
        <v>Abrir facsímil</v>
      </c>
      <c r="K3565" s="15" t="s">
        <v>22</v>
      </c>
    </row>
    <row r="3566" spans="1:11" ht="42" customHeight="1">
      <c r="A3566" s="4" t="s">
        <v>7968</v>
      </c>
      <c r="B3566" s="5" t="s">
        <v>7969</v>
      </c>
      <c r="C3566" s="5" t="s">
        <v>75</v>
      </c>
      <c r="D3566" s="5" t="s">
        <v>43</v>
      </c>
      <c r="E3566" s="5" t="s">
        <v>438</v>
      </c>
      <c r="F3566" s="9">
        <v>70</v>
      </c>
      <c r="G3566" s="9">
        <v>729</v>
      </c>
      <c r="H3566" s="5" t="s">
        <v>20</v>
      </c>
      <c r="I3566" s="5" t="s">
        <v>7970</v>
      </c>
      <c r="J3566" s="12" t="str">
        <f>HYPERLINK("https://www.boe.es/gazeta/dias/1806/08/26/pdfs/GMD-1806-70.pdf#page=5","Abrir facsímil")</f>
        <v>Abrir facsímil</v>
      </c>
      <c r="K3566" s="15" t="s">
        <v>22</v>
      </c>
    </row>
    <row r="3567" spans="1:11" ht="42" customHeight="1">
      <c r="A3567" s="4" t="s">
        <v>7971</v>
      </c>
      <c r="B3567" s="5" t="s">
        <v>7972</v>
      </c>
      <c r="C3567" s="5" t="s">
        <v>17</v>
      </c>
      <c r="D3567" s="5" t="s">
        <v>18</v>
      </c>
      <c r="E3567" s="5" t="s">
        <v>93</v>
      </c>
      <c r="F3567" s="9">
        <v>72</v>
      </c>
      <c r="G3567" s="9">
        <v>747</v>
      </c>
      <c r="H3567" s="5" t="s">
        <v>20</v>
      </c>
      <c r="I3567" s="5" t="s">
        <v>7973</v>
      </c>
      <c r="J3567" s="12" t="str">
        <f>HYPERLINK("https://www.boe.es/gazeta/dias/1806/09/02/pdfs/GMD-1806-72.pdf#page=7","Abrir facsímil")</f>
        <v>Abrir facsímil</v>
      </c>
      <c r="K3567" s="15" t="s">
        <v>22</v>
      </c>
    </row>
    <row r="3568" spans="1:11" ht="42" customHeight="1">
      <c r="A3568" s="4" t="s">
        <v>7974</v>
      </c>
      <c r="B3568" s="5" t="s">
        <v>7975</v>
      </c>
      <c r="C3568" s="5" t="s">
        <v>17</v>
      </c>
      <c r="D3568" s="5" t="s">
        <v>18</v>
      </c>
      <c r="E3568" s="5" t="s">
        <v>209</v>
      </c>
      <c r="F3568" s="9">
        <v>95</v>
      </c>
      <c r="G3568" s="9">
        <v>996</v>
      </c>
      <c r="H3568" s="5" t="s">
        <v>20</v>
      </c>
      <c r="I3568" s="5" t="s">
        <v>7976</v>
      </c>
      <c r="J3568" s="12" t="str">
        <f>HYPERLINK("https://www.boe.es/gazeta/dias/1806/11/21/pdfs/GMD-1806-95.pdf#page=4","Abrir facsímil")</f>
        <v>Abrir facsímil</v>
      </c>
      <c r="K3568" s="15" t="s">
        <v>22</v>
      </c>
    </row>
    <row r="3569" spans="1:11" ht="42" customHeight="1">
      <c r="A3569" s="4" t="s">
        <v>7977</v>
      </c>
      <c r="B3569" s="5" t="s">
        <v>7978</v>
      </c>
      <c r="C3569" s="5" t="s">
        <v>69</v>
      </c>
      <c r="D3569" s="5" t="s">
        <v>70</v>
      </c>
      <c r="E3569" s="5" t="s">
        <v>570</v>
      </c>
      <c r="F3569" s="9">
        <v>93</v>
      </c>
      <c r="G3569" s="9">
        <v>976</v>
      </c>
      <c r="H3569" s="5" t="s">
        <v>20</v>
      </c>
      <c r="I3569" s="5" t="s">
        <v>7979</v>
      </c>
      <c r="J3569" s="12" t="str">
        <f>HYPERLINK("https://www.boe.es/gazeta/dias/1806/11/14/pdfs/GMD-1806-93.pdf#page=12","Abrir facsímil")</f>
        <v>Abrir facsímil</v>
      </c>
      <c r="K3569" s="15" t="s">
        <v>22</v>
      </c>
    </row>
    <row r="3570" spans="1:11" ht="42" customHeight="1">
      <c r="A3570" s="4" t="s">
        <v>7977</v>
      </c>
      <c r="B3570" s="5" t="s">
        <v>7978</v>
      </c>
      <c r="C3570" s="5" t="s">
        <v>69</v>
      </c>
      <c r="D3570" s="5" t="s">
        <v>70</v>
      </c>
      <c r="E3570" s="5" t="s">
        <v>570</v>
      </c>
      <c r="F3570" s="9">
        <v>93</v>
      </c>
      <c r="G3570" s="9">
        <v>977</v>
      </c>
      <c r="H3570" s="5" t="s">
        <v>20</v>
      </c>
      <c r="I3570" s="5" t="s">
        <v>7980</v>
      </c>
      <c r="J3570" s="12" t="str">
        <f>HYPERLINK("https://www.boe.es/gazeta/dias/1806/11/14/pdfs/GMD-1806-93.pdf#page=13","Abrir facsímil")</f>
        <v>Abrir facsímil</v>
      </c>
      <c r="K3570" s="15" t="s">
        <v>22</v>
      </c>
    </row>
    <row r="3571" spans="1:11" ht="42" customHeight="1">
      <c r="A3571" s="4" t="s">
        <v>7981</v>
      </c>
      <c r="B3571" s="5" t="s">
        <v>7982</v>
      </c>
      <c r="C3571" s="5" t="s">
        <v>69</v>
      </c>
      <c r="D3571" s="5" t="s">
        <v>70</v>
      </c>
      <c r="E3571" s="5" t="s">
        <v>540</v>
      </c>
      <c r="F3571" s="9">
        <v>51</v>
      </c>
      <c r="G3571" s="9">
        <v>524</v>
      </c>
      <c r="H3571" s="5" t="s">
        <v>20</v>
      </c>
      <c r="I3571" s="5" t="s">
        <v>7983</v>
      </c>
      <c r="J3571" s="12" t="str">
        <f>HYPERLINK("https://www.boe.es/gazeta/dias/1806/06/20/pdfs/GMD-1806-51.pdf#page=4","Abrir facsímil")</f>
        <v>Abrir facsímil</v>
      </c>
      <c r="K3571" s="15" t="s">
        <v>22</v>
      </c>
    </row>
    <row r="3572" spans="1:11" ht="42" customHeight="1">
      <c r="A3572" s="4" t="s">
        <v>7981</v>
      </c>
      <c r="B3572" s="5" t="s">
        <v>7982</v>
      </c>
      <c r="C3572" s="5" t="s">
        <v>17</v>
      </c>
      <c r="D3572" s="5" t="s">
        <v>18</v>
      </c>
      <c r="E3572" s="5" t="s">
        <v>209</v>
      </c>
      <c r="F3572" s="9">
        <v>95</v>
      </c>
      <c r="G3572" s="9">
        <v>1002</v>
      </c>
      <c r="H3572" s="5" t="s">
        <v>20</v>
      </c>
      <c r="I3572" s="5" t="s">
        <v>7984</v>
      </c>
      <c r="J3572" s="12" t="str">
        <f>HYPERLINK("https://www.boe.es/gazeta/dias/1806/11/21/pdfs/GMD-1806-95.pdf#page=10","Abrir facsímil")</f>
        <v>Abrir facsímil</v>
      </c>
      <c r="K3572" s="15" t="s">
        <v>22</v>
      </c>
    </row>
    <row r="3573" spans="1:11" ht="42" customHeight="1">
      <c r="A3573" s="4" t="s">
        <v>7981</v>
      </c>
      <c r="B3573" s="5" t="s">
        <v>7982</v>
      </c>
      <c r="C3573" s="5" t="s">
        <v>36</v>
      </c>
      <c r="D3573" s="5" t="s">
        <v>37</v>
      </c>
      <c r="E3573" s="5" t="s">
        <v>209</v>
      </c>
      <c r="F3573" s="9">
        <v>95</v>
      </c>
      <c r="G3573" s="9">
        <v>995</v>
      </c>
      <c r="H3573" s="5" t="s">
        <v>20</v>
      </c>
      <c r="I3573" s="5" t="s">
        <v>7985</v>
      </c>
      <c r="J3573" s="12" t="str">
        <f>HYPERLINK("https://www.boe.es/gazeta/dias/1806/11/21/pdfs/GMD-1806-95.pdf#page=3","Abrir facsímil")</f>
        <v>Abrir facsímil</v>
      </c>
      <c r="K3573" s="15" t="s">
        <v>22</v>
      </c>
    </row>
    <row r="3574" spans="1:11" ht="42" customHeight="1">
      <c r="A3574" s="4" t="s">
        <v>7981</v>
      </c>
      <c r="B3574" s="5" t="s">
        <v>7982</v>
      </c>
      <c r="C3574" s="5" t="s">
        <v>69</v>
      </c>
      <c r="D3574" s="5" t="s">
        <v>70</v>
      </c>
      <c r="E3574" s="5" t="s">
        <v>312</v>
      </c>
      <c r="F3574" s="9">
        <v>100</v>
      </c>
      <c r="G3574" s="9">
        <v>1061</v>
      </c>
      <c r="H3574" s="5" t="s">
        <v>20</v>
      </c>
      <c r="I3574" s="5" t="s">
        <v>7986</v>
      </c>
      <c r="J3574" s="12" t="str">
        <f>HYPERLINK("https://www.boe.es/gazeta/dias/1806/12/09/pdfs/GMD-1806-100.pdf#page=5","Abrir facsímil")</f>
        <v>Abrir facsímil</v>
      </c>
      <c r="K3574" s="15" t="s">
        <v>22</v>
      </c>
    </row>
    <row r="3575" spans="1:11" ht="42" customHeight="1">
      <c r="A3575" s="4" t="s">
        <v>7987</v>
      </c>
      <c r="B3575" s="5" t="s">
        <v>7987</v>
      </c>
      <c r="C3575" s="5" t="s">
        <v>69</v>
      </c>
      <c r="D3575" s="5" t="s">
        <v>70</v>
      </c>
      <c r="E3575" s="5" t="s">
        <v>59</v>
      </c>
      <c r="F3575" s="9">
        <v>21</v>
      </c>
      <c r="G3575" s="9">
        <v>193</v>
      </c>
      <c r="H3575" s="5" t="s">
        <v>20</v>
      </c>
      <c r="I3575" s="5" t="s">
        <v>7988</v>
      </c>
      <c r="J3575" s="12" t="str">
        <f>HYPERLINK("https://www.boe.es/gazeta/dias/1806/03/07/pdfs/GMD-1806-21.pdf#page=5","Abrir facsímil")</f>
        <v>Abrir facsímil</v>
      </c>
      <c r="K3575" s="15" t="s">
        <v>22</v>
      </c>
    </row>
    <row r="3576" spans="1:11" ht="42" customHeight="1">
      <c r="A3576" s="4" t="s">
        <v>7989</v>
      </c>
      <c r="B3576" s="5" t="s">
        <v>7989</v>
      </c>
      <c r="C3576" s="5" t="s">
        <v>69</v>
      </c>
      <c r="D3576" s="5" t="s">
        <v>70</v>
      </c>
      <c r="E3576" s="5" t="s">
        <v>238</v>
      </c>
      <c r="F3576" s="9">
        <v>18</v>
      </c>
      <c r="G3576" s="9">
        <v>157</v>
      </c>
      <c r="H3576" s="5" t="s">
        <v>20</v>
      </c>
      <c r="I3576" s="5" t="s">
        <v>7990</v>
      </c>
      <c r="J3576" s="12" t="str">
        <f>HYPERLINK("https://www.boe.es/gazeta/dias/1806/02/25/pdfs/GMD-1806-18.pdf#page=5","Abrir facsímil")</f>
        <v>Abrir facsímil</v>
      </c>
      <c r="K3576" s="15" t="s">
        <v>22</v>
      </c>
    </row>
    <row r="3577" spans="1:11" ht="42" customHeight="1">
      <c r="A3577" s="4" t="s">
        <v>7991</v>
      </c>
      <c r="B3577" s="5" t="s">
        <v>7991</v>
      </c>
      <c r="C3577" s="5" t="s">
        <v>69</v>
      </c>
      <c r="D3577" s="5" t="s">
        <v>70</v>
      </c>
      <c r="E3577" s="5" t="s">
        <v>1778</v>
      </c>
      <c r="F3577" s="9">
        <v>16</v>
      </c>
      <c r="G3577" s="9">
        <v>140</v>
      </c>
      <c r="H3577" s="5" t="s">
        <v>20</v>
      </c>
      <c r="I3577" s="5" t="s">
        <v>7992</v>
      </c>
      <c r="J3577" s="12" t="str">
        <f>HYPERLINK("https://www.boe.es/gazeta/dias/1806/02/18/pdfs/GMD-1806-16.pdf#page=4","Abrir facsímil")</f>
        <v>Abrir facsímil</v>
      </c>
      <c r="K3577" s="15" t="s">
        <v>22</v>
      </c>
    </row>
    <row r="3578" spans="1:11" ht="42" customHeight="1">
      <c r="A3578" s="4" t="s">
        <v>7993</v>
      </c>
      <c r="B3578" s="5" t="s">
        <v>7994</v>
      </c>
      <c r="C3578" s="5" t="s">
        <v>17</v>
      </c>
      <c r="D3578" s="5" t="s">
        <v>18</v>
      </c>
      <c r="E3578" s="5" t="s">
        <v>661</v>
      </c>
      <c r="F3578" s="9">
        <v>38</v>
      </c>
      <c r="G3578" s="9">
        <v>372</v>
      </c>
      <c r="H3578" s="5" t="s">
        <v>20</v>
      </c>
      <c r="I3578" s="5" t="s">
        <v>7995</v>
      </c>
      <c r="J3578" s="12" t="str">
        <f>HYPERLINK("https://www.boe.es/gazeta/dias/1806/05/06/pdfs/GMD-1806-38.pdf#page=8","Abrir facsímil")</f>
        <v>Abrir facsímil</v>
      </c>
      <c r="K3578" s="15" t="s">
        <v>22</v>
      </c>
    </row>
    <row r="3579" spans="1:11" ht="42" customHeight="1">
      <c r="A3579" s="4" t="s">
        <v>7993</v>
      </c>
      <c r="B3579" s="5" t="s">
        <v>7994</v>
      </c>
      <c r="C3579" s="5" t="s">
        <v>69</v>
      </c>
      <c r="D3579" s="5" t="s">
        <v>70</v>
      </c>
      <c r="E3579" s="5" t="s">
        <v>702</v>
      </c>
      <c r="F3579" s="9">
        <v>43</v>
      </c>
      <c r="G3579" s="9">
        <v>425</v>
      </c>
      <c r="H3579" s="5" t="s">
        <v>20</v>
      </c>
      <c r="I3579" s="5" t="s">
        <v>7996</v>
      </c>
      <c r="J3579" s="12" t="str">
        <f>HYPERLINK("https://www.boe.es/gazeta/dias/1806/05/23/pdfs/GMD-1806-43.pdf#page=1","Abrir facsímil")</f>
        <v>Abrir facsímil</v>
      </c>
      <c r="K3579" s="15" t="s">
        <v>22</v>
      </c>
    </row>
    <row r="3580" spans="1:11" ht="42" customHeight="1">
      <c r="A3580" s="4" t="s">
        <v>7997</v>
      </c>
      <c r="B3580" s="5" t="s">
        <v>7998</v>
      </c>
      <c r="C3580" s="5" t="s">
        <v>31</v>
      </c>
      <c r="D3580" s="5" t="s">
        <v>32</v>
      </c>
      <c r="E3580" s="5" t="s">
        <v>367</v>
      </c>
      <c r="F3580" s="9">
        <v>87</v>
      </c>
      <c r="G3580" s="9">
        <v>901</v>
      </c>
      <c r="H3580" s="5" t="s">
        <v>20</v>
      </c>
      <c r="I3580" s="5" t="s">
        <v>7999</v>
      </c>
      <c r="J3580" s="12" t="str">
        <f>HYPERLINK("https://www.boe.es/gazeta/dias/1806/10/24/pdfs/GMD-1806-87.pdf#page=9","Abrir facsímil")</f>
        <v>Abrir facsímil</v>
      </c>
      <c r="K3580" s="15" t="s">
        <v>22</v>
      </c>
    </row>
    <row r="3581" spans="1:11" ht="42" customHeight="1">
      <c r="A3581" s="4" t="s">
        <v>8000</v>
      </c>
      <c r="B3581" s="5" t="s">
        <v>8001</v>
      </c>
      <c r="C3581" s="5" t="s">
        <v>31</v>
      </c>
      <c r="D3581" s="5" t="s">
        <v>32</v>
      </c>
      <c r="E3581" s="5" t="s">
        <v>438</v>
      </c>
      <c r="F3581" s="9">
        <v>70</v>
      </c>
      <c r="G3581" s="9">
        <v>730</v>
      </c>
      <c r="H3581" s="5" t="s">
        <v>20</v>
      </c>
      <c r="I3581" s="5" t="s">
        <v>8002</v>
      </c>
      <c r="J3581" s="12" t="str">
        <f>HYPERLINK("https://www.boe.es/gazeta/dias/1806/08/26/pdfs/GMD-1806-70.pdf#page=6","Abrir facsímil")</f>
        <v>Abrir facsímil</v>
      </c>
      <c r="K3581" s="15" t="s">
        <v>22</v>
      </c>
    </row>
    <row r="3582" spans="1:11" ht="42" customHeight="1">
      <c r="A3582" s="4" t="s">
        <v>8003</v>
      </c>
      <c r="B3582" s="5" t="s">
        <v>8004</v>
      </c>
      <c r="C3582" s="5" t="s">
        <v>31</v>
      </c>
      <c r="D3582" s="5" t="s">
        <v>32</v>
      </c>
      <c r="E3582" s="5" t="s">
        <v>90</v>
      </c>
      <c r="F3582" s="9">
        <v>60</v>
      </c>
      <c r="G3582" s="9">
        <v>623</v>
      </c>
      <c r="H3582" s="5" t="s">
        <v>20</v>
      </c>
      <c r="I3582" s="5" t="s">
        <v>8005</v>
      </c>
      <c r="J3582" s="12" t="str">
        <f>HYPERLINK("https://www.boe.es/gazeta/dias/1806/07/22/pdfs/GMD-1806-60.pdf#page=7","Abrir facsímil")</f>
        <v>Abrir facsímil</v>
      </c>
      <c r="K3582" s="15" t="s">
        <v>22</v>
      </c>
    </row>
    <row r="3583" spans="1:11" ht="42" customHeight="1">
      <c r="A3583" s="4" t="s">
        <v>8006</v>
      </c>
      <c r="B3583" s="5" t="s">
        <v>8007</v>
      </c>
      <c r="C3583" s="5" t="s">
        <v>31</v>
      </c>
      <c r="D3583" s="5" t="s">
        <v>32</v>
      </c>
      <c r="E3583" s="5" t="s">
        <v>28</v>
      </c>
      <c r="F3583" s="9">
        <v>102</v>
      </c>
      <c r="G3583" s="9">
        <v>1085</v>
      </c>
      <c r="H3583" s="5" t="s">
        <v>20</v>
      </c>
      <c r="I3583" s="5" t="s">
        <v>8008</v>
      </c>
      <c r="J3583" s="12" t="str">
        <f>HYPERLINK("https://www.boe.es/gazeta/dias/1806/12/16/pdfs/GMD-1806-102.pdf#page=9","Abrir facsímil")</f>
        <v>Abrir facsímil</v>
      </c>
      <c r="K3583" s="15" t="s">
        <v>22</v>
      </c>
    </row>
    <row r="3584" spans="1:11" ht="42" customHeight="1">
      <c r="A3584" s="4" t="s">
        <v>8009</v>
      </c>
      <c r="B3584" s="5" t="s">
        <v>8010</v>
      </c>
      <c r="C3584" s="5" t="s">
        <v>31</v>
      </c>
      <c r="D3584" s="5" t="s">
        <v>32</v>
      </c>
      <c r="E3584" s="5" t="s">
        <v>554</v>
      </c>
      <c r="F3584" s="9">
        <v>90</v>
      </c>
      <c r="G3584" s="9">
        <v>930</v>
      </c>
      <c r="H3584" s="5" t="s">
        <v>20</v>
      </c>
      <c r="I3584" s="5" t="s">
        <v>8011</v>
      </c>
      <c r="J3584" s="12" t="str">
        <f>HYPERLINK("https://www.boe.es/gazeta/dias/1806/11/04/pdfs/GMD-1806-90.pdf#page=6","Abrir facsímil")</f>
        <v>Abrir facsímil</v>
      </c>
      <c r="K3584" s="15" t="s">
        <v>22</v>
      </c>
    </row>
    <row r="3585" spans="1:11" ht="42" customHeight="1">
      <c r="A3585" s="4" t="s">
        <v>8009</v>
      </c>
      <c r="B3585" s="5" t="s">
        <v>8010</v>
      </c>
      <c r="C3585" s="5" t="s">
        <v>31</v>
      </c>
      <c r="D3585" s="5" t="s">
        <v>32</v>
      </c>
      <c r="E3585" s="5" t="s">
        <v>554</v>
      </c>
      <c r="F3585" s="9">
        <v>90</v>
      </c>
      <c r="G3585" s="9">
        <v>931</v>
      </c>
      <c r="H3585" s="5" t="s">
        <v>20</v>
      </c>
      <c r="I3585" s="5" t="s">
        <v>8012</v>
      </c>
      <c r="J3585" s="12" t="str">
        <f>HYPERLINK("https://www.boe.es/gazeta/dias/1806/11/04/pdfs/GMD-1806-90.pdf#page=7","Abrir facsímil")</f>
        <v>Abrir facsímil</v>
      </c>
      <c r="K3585" s="15" t="s">
        <v>22</v>
      </c>
    </row>
    <row r="3586" spans="1:11" ht="42" customHeight="1">
      <c r="A3586" s="4" t="s">
        <v>8009</v>
      </c>
      <c r="B3586" s="5" t="s">
        <v>8010</v>
      </c>
      <c r="C3586" s="5" t="s">
        <v>69</v>
      </c>
      <c r="D3586" s="5" t="s">
        <v>70</v>
      </c>
      <c r="E3586" s="5" t="s">
        <v>570</v>
      </c>
      <c r="F3586" s="9">
        <v>93</v>
      </c>
      <c r="G3586" s="9">
        <v>971</v>
      </c>
      <c r="H3586" s="5" t="s">
        <v>20</v>
      </c>
      <c r="I3586" s="5" t="s">
        <v>8013</v>
      </c>
      <c r="J3586" s="12" t="str">
        <f>HYPERLINK("https://www.boe.es/gazeta/dias/1806/11/14/pdfs/GMD-1806-93.pdf#page=7","Abrir facsímil")</f>
        <v>Abrir facsímil</v>
      </c>
      <c r="K3586" s="15" t="s">
        <v>22</v>
      </c>
    </row>
    <row r="3587" spans="1:11" ht="42" customHeight="1">
      <c r="A3587" s="4" t="s">
        <v>8009</v>
      </c>
      <c r="B3587" s="5" t="s">
        <v>8010</v>
      </c>
      <c r="C3587" s="5" t="s">
        <v>69</v>
      </c>
      <c r="D3587" s="5" t="s">
        <v>70</v>
      </c>
      <c r="E3587" s="5" t="s">
        <v>312</v>
      </c>
      <c r="F3587" s="9">
        <v>100</v>
      </c>
      <c r="G3587" s="9">
        <v>1057</v>
      </c>
      <c r="H3587" s="5" t="s">
        <v>20</v>
      </c>
      <c r="I3587" s="5" t="s">
        <v>8014</v>
      </c>
      <c r="J3587" s="12" t="str">
        <f>HYPERLINK("https://www.boe.es/gazeta/dias/1806/12/09/pdfs/GMD-1806-100.pdf#page=1","Abrir facsímil")</f>
        <v>Abrir facsímil</v>
      </c>
      <c r="K3587" s="15" t="s">
        <v>22</v>
      </c>
    </row>
    <row r="3588" spans="1:11" ht="42" customHeight="1">
      <c r="A3588" s="4" t="s">
        <v>8015</v>
      </c>
      <c r="B3588" s="5" t="s">
        <v>8016</v>
      </c>
      <c r="C3588" s="5" t="s">
        <v>69</v>
      </c>
      <c r="D3588" s="5" t="s">
        <v>70</v>
      </c>
      <c r="E3588" s="5" t="s">
        <v>309</v>
      </c>
      <c r="F3588" s="9">
        <v>41</v>
      </c>
      <c r="G3588" s="9">
        <v>401</v>
      </c>
      <c r="H3588" s="5" t="s">
        <v>20</v>
      </c>
      <c r="I3588" s="5" t="s">
        <v>8017</v>
      </c>
      <c r="J3588" s="12" t="str">
        <f>HYPERLINK("https://www.boe.es/gazeta/dias/1806/05/16/pdfs/GMD-1806-41.pdf#page=1","Abrir facsímil")</f>
        <v>Abrir facsímil</v>
      </c>
      <c r="K3588" s="15" t="s">
        <v>22</v>
      </c>
    </row>
    <row r="3589" spans="1:11" ht="42" customHeight="1">
      <c r="A3589" s="4" t="s">
        <v>8018</v>
      </c>
      <c r="B3589" s="5" t="s">
        <v>8019</v>
      </c>
      <c r="C3589" s="5" t="s">
        <v>69</v>
      </c>
      <c r="D3589" s="5" t="s">
        <v>70</v>
      </c>
      <c r="E3589" s="5" t="s">
        <v>483</v>
      </c>
      <c r="F3589" s="9">
        <v>58</v>
      </c>
      <c r="G3589" s="9">
        <v>598</v>
      </c>
      <c r="H3589" s="5" t="s">
        <v>20</v>
      </c>
      <c r="I3589" s="5" t="s">
        <v>8020</v>
      </c>
      <c r="J3589" s="12" t="str">
        <f>HYPERLINK("https://www.boe.es/gazeta/dias/1806/07/15/pdfs/GMD-1806-58.pdf#page=2","Abrir facsímil")</f>
        <v>Abrir facsímil</v>
      </c>
      <c r="K3589" s="15" t="s">
        <v>22</v>
      </c>
    </row>
    <row r="3590" spans="1:11" ht="42" customHeight="1">
      <c r="A3590" s="4" t="s">
        <v>8021</v>
      </c>
      <c r="B3590" s="5" t="s">
        <v>8022</v>
      </c>
      <c r="C3590" s="5" t="s">
        <v>69</v>
      </c>
      <c r="D3590" s="5" t="s">
        <v>70</v>
      </c>
      <c r="E3590" s="5" t="s">
        <v>191</v>
      </c>
      <c r="F3590" s="9">
        <v>103</v>
      </c>
      <c r="G3590" s="9">
        <v>1093</v>
      </c>
      <c r="H3590" s="5" t="s">
        <v>20</v>
      </c>
      <c r="I3590" s="5" t="s">
        <v>8023</v>
      </c>
      <c r="J3590" s="12" t="str">
        <f>HYPERLINK("https://www.boe.es/gazeta/dias/1806/12/19/pdfs/GMD-1806-103.pdf#page=5","Abrir facsímil")</f>
        <v>Abrir facsímil</v>
      </c>
      <c r="K3590" s="15" t="s">
        <v>22</v>
      </c>
    </row>
    <row r="3591" spans="1:11" ht="42" customHeight="1">
      <c r="A3591" s="4" t="s">
        <v>8024</v>
      </c>
      <c r="B3591" s="5" t="s">
        <v>8025</v>
      </c>
      <c r="C3591" s="5" t="s">
        <v>69</v>
      </c>
      <c r="D3591" s="5" t="s">
        <v>70</v>
      </c>
      <c r="E3591" s="5" t="s">
        <v>570</v>
      </c>
      <c r="F3591" s="9">
        <v>93</v>
      </c>
      <c r="G3591" s="9">
        <v>966</v>
      </c>
      <c r="H3591" s="5" t="s">
        <v>20</v>
      </c>
      <c r="I3591" s="5" t="s">
        <v>8026</v>
      </c>
      <c r="J3591" s="12" t="str">
        <f>HYPERLINK("https://www.boe.es/gazeta/dias/1806/11/14/pdfs/GMD-1806-93.pdf#page=2","Abrir facsímil")</f>
        <v>Abrir facsímil</v>
      </c>
      <c r="K3591" s="15" t="s">
        <v>22</v>
      </c>
    </row>
    <row r="3592" spans="1:11" ht="42" customHeight="1">
      <c r="A3592" s="4" t="s">
        <v>8027</v>
      </c>
      <c r="B3592" s="5" t="s">
        <v>8028</v>
      </c>
      <c r="C3592" s="5" t="s">
        <v>69</v>
      </c>
      <c r="D3592" s="5" t="s">
        <v>70</v>
      </c>
      <c r="E3592" s="5" t="s">
        <v>205</v>
      </c>
      <c r="F3592" s="9">
        <v>57</v>
      </c>
      <c r="G3592" s="9">
        <v>590</v>
      </c>
      <c r="H3592" s="5" t="s">
        <v>20</v>
      </c>
      <c r="I3592" s="5" t="s">
        <v>8029</v>
      </c>
      <c r="J3592" s="12" t="str">
        <f>HYPERLINK("https://www.boe.es/gazeta/dias/1806/07/11/pdfs/GMD-1806-57.pdf#page=2","Abrir facsímil")</f>
        <v>Abrir facsímil</v>
      </c>
      <c r="K3592" s="15" t="s">
        <v>22</v>
      </c>
    </row>
    <row r="3593" spans="1:11" ht="42" customHeight="1">
      <c r="A3593" s="4" t="s">
        <v>8030</v>
      </c>
      <c r="B3593" s="5" t="s">
        <v>8031</v>
      </c>
      <c r="C3593" s="5" t="s">
        <v>69</v>
      </c>
      <c r="D3593" s="5" t="s">
        <v>70</v>
      </c>
      <c r="E3593" s="5" t="s">
        <v>144</v>
      </c>
      <c r="F3593" s="9">
        <v>79</v>
      </c>
      <c r="G3593" s="9">
        <v>815</v>
      </c>
      <c r="H3593" s="5" t="s">
        <v>20</v>
      </c>
      <c r="I3593" s="5" t="s">
        <v>8032</v>
      </c>
      <c r="J3593" s="12" t="str">
        <f>HYPERLINK("https://www.boe.es/gazeta/dias/1806/09/26/pdfs/GMD-1806-79.pdf#page=7","Abrir facsímil")</f>
        <v>Abrir facsímil</v>
      </c>
      <c r="K3593" s="15" t="s">
        <v>22</v>
      </c>
    </row>
    <row r="3594" spans="1:11" ht="42" customHeight="1">
      <c r="A3594" s="4" t="s">
        <v>8033</v>
      </c>
      <c r="B3594" s="5" t="s">
        <v>8034</v>
      </c>
      <c r="C3594" s="5" t="s">
        <v>69</v>
      </c>
      <c r="D3594" s="5" t="s">
        <v>70</v>
      </c>
      <c r="E3594" s="5" t="s">
        <v>494</v>
      </c>
      <c r="F3594" s="9">
        <v>69</v>
      </c>
      <c r="G3594" s="9">
        <v>720</v>
      </c>
      <c r="H3594" s="5" t="s">
        <v>20</v>
      </c>
      <c r="I3594" s="5" t="s">
        <v>8035</v>
      </c>
      <c r="J3594" s="12" t="str">
        <f>HYPERLINK("https://www.boe.es/gazeta/dias/1806/08/22/pdfs/GMD-1806-69.pdf#page=8","Abrir facsímil")</f>
        <v>Abrir facsímil</v>
      </c>
      <c r="K3594" s="15" t="s">
        <v>22</v>
      </c>
    </row>
    <row r="3595" spans="1:11" ht="42" customHeight="1">
      <c r="A3595" s="4" t="s">
        <v>8036</v>
      </c>
      <c r="B3595" s="5" t="s">
        <v>8037</v>
      </c>
      <c r="C3595" s="5" t="s">
        <v>31</v>
      </c>
      <c r="D3595" s="5" t="s">
        <v>32</v>
      </c>
      <c r="E3595" s="5" t="s">
        <v>383</v>
      </c>
      <c r="F3595" s="9">
        <v>54</v>
      </c>
      <c r="G3595" s="9">
        <v>559</v>
      </c>
      <c r="H3595" s="5" t="s">
        <v>20</v>
      </c>
      <c r="I3595" s="5" t="s">
        <v>8038</v>
      </c>
      <c r="J3595" s="12" t="str">
        <f>HYPERLINK("https://www.boe.es/gazeta/dias/1806/07/01/pdfs/GMD-1806-54.pdf#page=3","Abrir facsímil")</f>
        <v>Abrir facsímil</v>
      </c>
      <c r="K3595" s="15" t="s">
        <v>22</v>
      </c>
    </row>
    <row r="3596" spans="1:11" ht="42" customHeight="1">
      <c r="A3596" s="4" t="s">
        <v>8036</v>
      </c>
      <c r="B3596" s="5" t="s">
        <v>8037</v>
      </c>
      <c r="C3596" s="5" t="s">
        <v>31</v>
      </c>
      <c r="D3596" s="5" t="s">
        <v>32</v>
      </c>
      <c r="E3596" s="5" t="s">
        <v>205</v>
      </c>
      <c r="F3596" s="9">
        <v>57</v>
      </c>
      <c r="G3596" s="9">
        <v>591</v>
      </c>
      <c r="H3596" s="5" t="s">
        <v>20</v>
      </c>
      <c r="I3596" s="5" t="s">
        <v>8039</v>
      </c>
      <c r="J3596" s="12" t="str">
        <f>HYPERLINK("https://www.boe.es/gazeta/dias/1806/07/11/pdfs/GMD-1806-57.pdf#page=3","Abrir facsímil")</f>
        <v>Abrir facsímil</v>
      </c>
      <c r="K3596" s="15" t="s">
        <v>22</v>
      </c>
    </row>
    <row r="3597" spans="1:11" ht="42" customHeight="1">
      <c r="A3597" s="4" t="s">
        <v>8036</v>
      </c>
      <c r="B3597" s="5" t="s">
        <v>8037</v>
      </c>
      <c r="C3597" s="5" t="s">
        <v>31</v>
      </c>
      <c r="D3597" s="5" t="s">
        <v>32</v>
      </c>
      <c r="E3597" s="5" t="s">
        <v>859</v>
      </c>
      <c r="F3597" s="9">
        <v>63</v>
      </c>
      <c r="G3597" s="9">
        <v>657</v>
      </c>
      <c r="H3597" s="5" t="s">
        <v>20</v>
      </c>
      <c r="I3597" s="5" t="s">
        <v>8040</v>
      </c>
      <c r="J3597" s="12" t="str">
        <f>HYPERLINK("https://www.boe.es/gazeta/dias/1806/08/01/pdfs/GMD-1806-63.pdf#page=5","Abrir facsímil")</f>
        <v>Abrir facsímil</v>
      </c>
      <c r="K3597" s="15" t="s">
        <v>22</v>
      </c>
    </row>
    <row r="3598" spans="1:11" ht="42" customHeight="1">
      <c r="A3598" s="4" t="s">
        <v>8036</v>
      </c>
      <c r="B3598" s="5" t="s">
        <v>8037</v>
      </c>
      <c r="C3598" s="5" t="s">
        <v>69</v>
      </c>
      <c r="D3598" s="5" t="s">
        <v>70</v>
      </c>
      <c r="E3598" s="5" t="s">
        <v>438</v>
      </c>
      <c r="F3598" s="9">
        <v>70</v>
      </c>
      <c r="G3598" s="9">
        <v>727</v>
      </c>
      <c r="H3598" s="5" t="s">
        <v>20</v>
      </c>
      <c r="I3598" s="5" t="s">
        <v>8041</v>
      </c>
      <c r="J3598" s="12" t="str">
        <f>HYPERLINK("https://www.boe.es/gazeta/dias/1806/08/26/pdfs/GMD-1806-70.pdf#page=3","Abrir facsímil")</f>
        <v>Abrir facsímil</v>
      </c>
      <c r="K3598" s="15" t="s">
        <v>22</v>
      </c>
    </row>
    <row r="3599" spans="1:11" ht="42" customHeight="1">
      <c r="A3599" s="4" t="s">
        <v>8036</v>
      </c>
      <c r="B3599" s="5" t="s">
        <v>8037</v>
      </c>
      <c r="C3599" s="5" t="s">
        <v>69</v>
      </c>
      <c r="D3599" s="5" t="s">
        <v>70</v>
      </c>
      <c r="E3599" s="5" t="s">
        <v>93</v>
      </c>
      <c r="F3599" s="9">
        <v>72</v>
      </c>
      <c r="G3599" s="9">
        <v>745</v>
      </c>
      <c r="H3599" s="5" t="s">
        <v>20</v>
      </c>
      <c r="I3599" s="5" t="s">
        <v>8042</v>
      </c>
      <c r="J3599" s="12" t="str">
        <f>HYPERLINK("https://www.boe.es/gazeta/dias/1806/09/02/pdfs/GMD-1806-72.pdf#page=5","Abrir facsímil")</f>
        <v>Abrir facsímil</v>
      </c>
      <c r="K3599" s="15" t="s">
        <v>22</v>
      </c>
    </row>
    <row r="3600" spans="1:11" ht="42" customHeight="1">
      <c r="A3600" s="4" t="s">
        <v>8043</v>
      </c>
      <c r="B3600" s="5" t="s">
        <v>8044</v>
      </c>
      <c r="C3600" s="5" t="s">
        <v>31</v>
      </c>
      <c r="D3600" s="5" t="s">
        <v>32</v>
      </c>
      <c r="E3600" s="5" t="s">
        <v>434</v>
      </c>
      <c r="F3600" s="9">
        <v>74</v>
      </c>
      <c r="G3600" s="9">
        <v>764</v>
      </c>
      <c r="H3600" s="5" t="s">
        <v>20</v>
      </c>
      <c r="I3600" s="5" t="s">
        <v>8045</v>
      </c>
      <c r="J3600" s="12" t="str">
        <f>HYPERLINK("https://www.boe.es/gazeta/dias/1806/09/09/pdfs/GMD-1806-74.pdf#page=4","Abrir facsímil")</f>
        <v>Abrir facsímil</v>
      </c>
      <c r="K3600" s="15" t="s">
        <v>22</v>
      </c>
    </row>
    <row r="3601" spans="1:11" ht="42" customHeight="1">
      <c r="A3601" s="4" t="s">
        <v>8036</v>
      </c>
      <c r="B3601" s="5" t="s">
        <v>8037</v>
      </c>
      <c r="C3601" s="5" t="s">
        <v>69</v>
      </c>
      <c r="D3601" s="5" t="s">
        <v>70</v>
      </c>
      <c r="E3601" s="5" t="s">
        <v>1005</v>
      </c>
      <c r="F3601" s="9">
        <v>76</v>
      </c>
      <c r="G3601" s="9">
        <v>783</v>
      </c>
      <c r="H3601" s="5" t="s">
        <v>20</v>
      </c>
      <c r="I3601" s="5" t="s">
        <v>8046</v>
      </c>
      <c r="J3601" s="12" t="str">
        <f>HYPERLINK("https://www.boe.es/gazeta/dias/1806/09/16/pdfs/GMD-1806-76.pdf#page=3","Abrir facsímil")</f>
        <v>Abrir facsímil</v>
      </c>
      <c r="K3601" s="15" t="s">
        <v>22</v>
      </c>
    </row>
    <row r="3602" spans="1:11" ht="42" customHeight="1">
      <c r="A3602" s="4" t="s">
        <v>8036</v>
      </c>
      <c r="B3602" s="5" t="s">
        <v>8037</v>
      </c>
      <c r="C3602" s="5" t="s">
        <v>36</v>
      </c>
      <c r="D3602" s="5" t="s">
        <v>37</v>
      </c>
      <c r="E3602" s="5" t="s">
        <v>1005</v>
      </c>
      <c r="F3602" s="9">
        <v>76</v>
      </c>
      <c r="G3602" s="9">
        <v>785</v>
      </c>
      <c r="H3602" s="5" t="s">
        <v>20</v>
      </c>
      <c r="I3602" s="5" t="s">
        <v>8047</v>
      </c>
      <c r="J3602" s="12" t="str">
        <f>HYPERLINK("https://www.boe.es/gazeta/dias/1806/09/16/pdfs/GMD-1806-76.pdf#page=5","Abrir facsímil")</f>
        <v>Abrir facsímil</v>
      </c>
      <c r="K3602" s="15" t="s">
        <v>22</v>
      </c>
    </row>
    <row r="3603" spans="1:11" ht="42" customHeight="1">
      <c r="A3603" s="4" t="s">
        <v>8036</v>
      </c>
      <c r="B3603" s="5" t="s">
        <v>8037</v>
      </c>
      <c r="C3603" s="5" t="s">
        <v>69</v>
      </c>
      <c r="D3603" s="5" t="s">
        <v>70</v>
      </c>
      <c r="E3603" s="5" t="s">
        <v>600</v>
      </c>
      <c r="F3603" s="9">
        <v>77</v>
      </c>
      <c r="G3603" s="9">
        <v>792</v>
      </c>
      <c r="H3603" s="5" t="s">
        <v>20</v>
      </c>
      <c r="I3603" s="5" t="s">
        <v>8048</v>
      </c>
      <c r="J3603" s="12" t="str">
        <f>HYPERLINK("https://www.boe.es/gazeta/dias/1806/09/19/pdfs/GMD-1806-77.pdf#page=4","Abrir facsímil")</f>
        <v>Abrir facsímil</v>
      </c>
      <c r="K3603" s="15" t="s">
        <v>22</v>
      </c>
    </row>
    <row r="3604" spans="1:11" ht="42" customHeight="1">
      <c r="A3604" s="4" t="s">
        <v>8036</v>
      </c>
      <c r="B3604" s="5" t="s">
        <v>8037</v>
      </c>
      <c r="C3604" s="5" t="s">
        <v>69</v>
      </c>
      <c r="D3604" s="5" t="s">
        <v>70</v>
      </c>
      <c r="E3604" s="5" t="s">
        <v>405</v>
      </c>
      <c r="F3604" s="9">
        <v>80</v>
      </c>
      <c r="G3604" s="9">
        <v>824</v>
      </c>
      <c r="H3604" s="5" t="s">
        <v>20</v>
      </c>
      <c r="I3604" s="5" t="s">
        <v>8049</v>
      </c>
      <c r="J3604" s="12" t="str">
        <f>HYPERLINK("https://www.boe.es/gazeta/dias/1806/09/30/pdfs/GMD-1806-80.pdf#page=4","Abrir facsímil")</f>
        <v>Abrir facsímil</v>
      </c>
      <c r="K3604" s="15" t="s">
        <v>22</v>
      </c>
    </row>
    <row r="3605" spans="1:11" ht="42" customHeight="1">
      <c r="A3605" s="4" t="s">
        <v>8036</v>
      </c>
      <c r="B3605" s="5" t="s">
        <v>8037</v>
      </c>
      <c r="C3605" s="5" t="s">
        <v>17</v>
      </c>
      <c r="D3605" s="5" t="s">
        <v>18</v>
      </c>
      <c r="E3605" s="5" t="s">
        <v>33</v>
      </c>
      <c r="F3605" s="9">
        <v>82</v>
      </c>
      <c r="G3605" s="9">
        <v>849</v>
      </c>
      <c r="H3605" s="5" t="s">
        <v>20</v>
      </c>
      <c r="I3605" s="5" t="s">
        <v>8050</v>
      </c>
      <c r="J3605" s="12" t="str">
        <f>HYPERLINK("https://www.boe.es/gazeta/dias/1806/10/07/pdfs/GMD-1806-82.pdf#page=9","Abrir facsímil")</f>
        <v>Abrir facsímil</v>
      </c>
      <c r="K3605" s="15" t="s">
        <v>22</v>
      </c>
    </row>
    <row r="3606" spans="1:11" ht="42" customHeight="1">
      <c r="A3606" s="4" t="s">
        <v>8036</v>
      </c>
      <c r="B3606" s="5" t="s">
        <v>8037</v>
      </c>
      <c r="C3606" s="5" t="s">
        <v>69</v>
      </c>
      <c r="D3606" s="5" t="s">
        <v>70</v>
      </c>
      <c r="E3606" s="5" t="s">
        <v>1568</v>
      </c>
      <c r="F3606" s="9">
        <v>84</v>
      </c>
      <c r="G3606" s="9">
        <v>868</v>
      </c>
      <c r="H3606" s="5" t="s">
        <v>20</v>
      </c>
      <c r="I3606" s="5" t="s">
        <v>8051</v>
      </c>
      <c r="J3606" s="12" t="str">
        <f>HYPERLINK("https://www.boe.es/gazeta/dias/1806/10/14/pdfs/GMD-1806-84.pdf#page=4","Abrir facsímil")</f>
        <v>Abrir facsímil</v>
      </c>
      <c r="K3606" s="15" t="s">
        <v>22</v>
      </c>
    </row>
    <row r="3607" spans="1:11" ht="42" customHeight="1">
      <c r="A3607" s="4" t="s">
        <v>8036</v>
      </c>
      <c r="B3607" s="5" t="s">
        <v>8037</v>
      </c>
      <c r="C3607" s="5" t="s">
        <v>17</v>
      </c>
      <c r="D3607" s="5" t="s">
        <v>18</v>
      </c>
      <c r="E3607" s="5" t="s">
        <v>816</v>
      </c>
      <c r="F3607" s="9">
        <v>86</v>
      </c>
      <c r="G3607" s="9">
        <v>889</v>
      </c>
      <c r="H3607" s="5" t="s">
        <v>20</v>
      </c>
      <c r="I3607" s="5" t="s">
        <v>8052</v>
      </c>
      <c r="J3607" s="12" t="str">
        <f>HYPERLINK("https://www.boe.es/gazeta/dias/1806/10/21/pdfs/GMD-1806-86.pdf#page=5","Abrir facsímil")</f>
        <v>Abrir facsímil</v>
      </c>
      <c r="K3607" s="15" t="s">
        <v>22</v>
      </c>
    </row>
    <row r="3608" spans="1:11" ht="42" customHeight="1">
      <c r="A3608" s="4" t="s">
        <v>8036</v>
      </c>
      <c r="B3608" s="5" t="s">
        <v>8037</v>
      </c>
      <c r="C3608" s="5" t="s">
        <v>31</v>
      </c>
      <c r="D3608" s="5" t="s">
        <v>32</v>
      </c>
      <c r="E3608" s="5" t="s">
        <v>231</v>
      </c>
      <c r="F3608" s="9">
        <v>89</v>
      </c>
      <c r="G3608" s="9">
        <v>921</v>
      </c>
      <c r="H3608" s="5" t="s">
        <v>20</v>
      </c>
      <c r="I3608" s="5" t="s">
        <v>8053</v>
      </c>
      <c r="J3608" s="12" t="str">
        <f>HYPERLINK("https://www.boe.es/gazeta/dias/1806/10/31/pdfs/GMD-1806-89.pdf#page=9","Abrir facsímil")</f>
        <v>Abrir facsímil</v>
      </c>
      <c r="K3608" s="15" t="s">
        <v>22</v>
      </c>
    </row>
    <row r="3609" spans="1:11" ht="42" customHeight="1">
      <c r="A3609" s="4" t="s">
        <v>8036</v>
      </c>
      <c r="B3609" s="5" t="s">
        <v>8037</v>
      </c>
      <c r="C3609" s="5" t="s">
        <v>75</v>
      </c>
      <c r="D3609" s="5" t="s">
        <v>43</v>
      </c>
      <c r="E3609" s="5" t="s">
        <v>396</v>
      </c>
      <c r="F3609" s="9">
        <v>91</v>
      </c>
      <c r="G3609" s="9">
        <v>941</v>
      </c>
      <c r="H3609" s="5" t="s">
        <v>20</v>
      </c>
      <c r="I3609" s="5" t="s">
        <v>8054</v>
      </c>
      <c r="J3609" s="12" t="str">
        <f>HYPERLINK("https://www.boe.es/gazeta/dias/1806/11/07/pdfs/GMD-1806-91.pdf#page=5","Abrir facsímil")</f>
        <v>Abrir facsímil</v>
      </c>
      <c r="K3609" s="15" t="s">
        <v>22</v>
      </c>
    </row>
    <row r="3610" spans="1:11" ht="42" customHeight="1">
      <c r="A3610" s="4" t="s">
        <v>8036</v>
      </c>
      <c r="B3610" s="5" t="s">
        <v>8037</v>
      </c>
      <c r="C3610" s="5" t="s">
        <v>69</v>
      </c>
      <c r="D3610" s="5" t="s">
        <v>70</v>
      </c>
      <c r="E3610" s="5" t="s">
        <v>570</v>
      </c>
      <c r="F3610" s="9">
        <v>93</v>
      </c>
      <c r="G3610" s="9">
        <v>966</v>
      </c>
      <c r="H3610" s="5" t="s">
        <v>20</v>
      </c>
      <c r="I3610" s="5" t="s">
        <v>8055</v>
      </c>
      <c r="J3610" s="12" t="str">
        <f>HYPERLINK("https://www.boe.es/gazeta/dias/1806/11/14/pdfs/GMD-1806-93.pdf#page=2","Abrir facsímil")</f>
        <v>Abrir facsímil</v>
      </c>
      <c r="K3610" s="15" t="s">
        <v>22</v>
      </c>
    </row>
    <row r="3611" spans="1:11" ht="42" customHeight="1">
      <c r="A3611" s="4" t="s">
        <v>8036</v>
      </c>
      <c r="B3611" s="5" t="s">
        <v>8037</v>
      </c>
      <c r="C3611" s="5" t="s">
        <v>69</v>
      </c>
      <c r="D3611" s="5" t="s">
        <v>70</v>
      </c>
      <c r="E3611" s="5" t="s">
        <v>297</v>
      </c>
      <c r="F3611" s="9">
        <v>94</v>
      </c>
      <c r="G3611" s="9">
        <v>987</v>
      </c>
      <c r="H3611" s="5" t="s">
        <v>20</v>
      </c>
      <c r="I3611" s="5" t="s">
        <v>8056</v>
      </c>
      <c r="J3611" s="12" t="str">
        <f>HYPERLINK("https://www.boe.es/gazeta/dias/1806/11/18/pdfs/GMD-1806-94.pdf#page=7","Abrir facsímil")</f>
        <v>Abrir facsímil</v>
      </c>
      <c r="K3611" s="15" t="s">
        <v>22</v>
      </c>
    </row>
    <row r="3612" spans="1:11" ht="42" customHeight="1">
      <c r="A3612" s="4" t="s">
        <v>8036</v>
      </c>
      <c r="B3612" s="5" t="s">
        <v>8037</v>
      </c>
      <c r="C3612" s="5" t="s">
        <v>69</v>
      </c>
      <c r="D3612" s="5" t="s">
        <v>70</v>
      </c>
      <c r="E3612" s="5" t="s">
        <v>327</v>
      </c>
      <c r="F3612" s="9">
        <v>104</v>
      </c>
      <c r="G3612" s="9">
        <v>1107</v>
      </c>
      <c r="H3612" s="5" t="s">
        <v>20</v>
      </c>
      <c r="I3612" s="5" t="s">
        <v>8057</v>
      </c>
      <c r="J3612" s="12" t="str">
        <f>HYPERLINK("https://www.boe.es/gazeta/dias/1806/12/23/pdfs/GMD-1806-104.pdf#page=7","Abrir facsímil")</f>
        <v>Abrir facsímil</v>
      </c>
      <c r="K3612" s="15" t="s">
        <v>22</v>
      </c>
    </row>
    <row r="3613" spans="1:11" ht="42" customHeight="1">
      <c r="A3613" s="4" t="s">
        <v>8036</v>
      </c>
      <c r="B3613" s="5" t="s">
        <v>8037</v>
      </c>
      <c r="C3613" s="5" t="s">
        <v>31</v>
      </c>
      <c r="D3613" s="5" t="s">
        <v>32</v>
      </c>
      <c r="E3613" s="5" t="s">
        <v>327</v>
      </c>
      <c r="F3613" s="9">
        <v>104</v>
      </c>
      <c r="G3613" s="9">
        <v>1108</v>
      </c>
      <c r="H3613" s="5" t="s">
        <v>20</v>
      </c>
      <c r="I3613" s="5" t="s">
        <v>8058</v>
      </c>
      <c r="J3613" s="12" t="str">
        <f>HYPERLINK("https://www.boe.es/gazeta/dias/1806/12/23/pdfs/GMD-1806-104.pdf#page=8","Abrir facsímil")</f>
        <v>Abrir facsímil</v>
      </c>
      <c r="K3613" s="15" t="s">
        <v>22</v>
      </c>
    </row>
    <row r="3614" spans="1:11" ht="42" customHeight="1">
      <c r="A3614" s="4" t="s">
        <v>8036</v>
      </c>
      <c r="B3614" s="5" t="s">
        <v>8037</v>
      </c>
      <c r="C3614" s="5" t="s">
        <v>69</v>
      </c>
      <c r="D3614" s="5" t="s">
        <v>70</v>
      </c>
      <c r="E3614" s="5" t="s">
        <v>327</v>
      </c>
      <c r="F3614" s="9">
        <v>104</v>
      </c>
      <c r="G3614" s="9">
        <v>1109</v>
      </c>
      <c r="H3614" s="5" t="s">
        <v>20</v>
      </c>
      <c r="I3614" s="5" t="s">
        <v>8059</v>
      </c>
      <c r="J3614" s="12" t="str">
        <f>HYPERLINK("https://www.boe.es/gazeta/dias/1806/12/23/pdfs/GMD-1806-104.pdf#page=9","Abrir facsímil")</f>
        <v>Abrir facsímil</v>
      </c>
      <c r="K3614" s="15" t="s">
        <v>22</v>
      </c>
    </row>
    <row r="3615" spans="1:11" ht="42" customHeight="1">
      <c r="A3615" s="4" t="s">
        <v>8060</v>
      </c>
      <c r="B3615" s="5" t="s">
        <v>8061</v>
      </c>
      <c r="C3615" s="5" t="s">
        <v>69</v>
      </c>
      <c r="D3615" s="5" t="s">
        <v>70</v>
      </c>
      <c r="E3615" s="5" t="s">
        <v>327</v>
      </c>
      <c r="F3615" s="9">
        <v>104</v>
      </c>
      <c r="G3615" s="9">
        <v>1104</v>
      </c>
      <c r="H3615" s="5" t="s">
        <v>20</v>
      </c>
      <c r="I3615" s="5" t="s">
        <v>8062</v>
      </c>
      <c r="J3615" s="12" t="str">
        <f>HYPERLINK("https://www.boe.es/gazeta/dias/1806/12/23/pdfs/GMD-1806-104.pdf#page=4","Abrir facsímil")</f>
        <v>Abrir facsímil</v>
      </c>
      <c r="K3615" s="15" t="s">
        <v>22</v>
      </c>
    </row>
    <row r="3616" spans="1:11" ht="42" customHeight="1">
      <c r="A3616" s="4" t="s">
        <v>8063</v>
      </c>
      <c r="B3616" s="5" t="s">
        <v>8063</v>
      </c>
      <c r="C3616" s="5" t="s">
        <v>17</v>
      </c>
      <c r="D3616" s="5" t="s">
        <v>18</v>
      </c>
      <c r="E3616" s="5" t="s">
        <v>279</v>
      </c>
      <c r="F3616" s="9">
        <v>52</v>
      </c>
      <c r="G3616" s="9">
        <v>540</v>
      </c>
      <c r="H3616" s="5" t="s">
        <v>20</v>
      </c>
      <c r="I3616" s="5" t="s">
        <v>8064</v>
      </c>
      <c r="J3616" s="12" t="str">
        <f>HYPERLINK("https://www.boe.es/gazeta/dias/1806/06/24/pdfs/GMD-1806-52.pdf#page=8","Abrir facsímil")</f>
        <v>Abrir facsímil</v>
      </c>
      <c r="K3616" s="15" t="s">
        <v>22</v>
      </c>
    </row>
    <row r="3617" spans="1:11" ht="42" customHeight="1">
      <c r="A3617" s="4" t="s">
        <v>8065</v>
      </c>
      <c r="B3617" s="5" t="s">
        <v>8065</v>
      </c>
      <c r="C3617" s="5" t="s">
        <v>31</v>
      </c>
      <c r="D3617" s="5" t="s">
        <v>32</v>
      </c>
      <c r="E3617" s="5" t="s">
        <v>55</v>
      </c>
      <c r="F3617" s="9">
        <v>20</v>
      </c>
      <c r="G3617" s="9">
        <v>185</v>
      </c>
      <c r="H3617" s="5" t="s">
        <v>20</v>
      </c>
      <c r="I3617" s="5" t="s">
        <v>8066</v>
      </c>
      <c r="J3617" s="12" t="str">
        <f>HYPERLINK("https://www.boe.es/gazeta/dias/1806/03/04/pdfs/GMD-1806-20.pdf#page=9","Abrir facsímil")</f>
        <v>Abrir facsímil</v>
      </c>
      <c r="K3617" s="15" t="s">
        <v>22</v>
      </c>
    </row>
    <row r="3618" spans="1:11" ht="42" customHeight="1">
      <c r="A3618" s="4" t="s">
        <v>8067</v>
      </c>
      <c r="B3618" s="5" t="s">
        <v>8068</v>
      </c>
      <c r="C3618" s="5" t="s">
        <v>36</v>
      </c>
      <c r="D3618" s="5" t="s">
        <v>37</v>
      </c>
      <c r="E3618" s="5" t="s">
        <v>51</v>
      </c>
      <c r="F3618" s="9">
        <v>44</v>
      </c>
      <c r="G3618" s="9">
        <v>447</v>
      </c>
      <c r="H3618" s="5" t="s">
        <v>20</v>
      </c>
      <c r="I3618" s="5" t="s">
        <v>8069</v>
      </c>
      <c r="J3618" s="12" t="str">
        <f>HYPERLINK("https://www.boe.es/gazeta/dias/1806/05/27/pdfs/GMD-1806-44.pdf#page=11","Abrir facsímil")</f>
        <v>Abrir facsímil</v>
      </c>
      <c r="K3618" s="15" t="s">
        <v>22</v>
      </c>
    </row>
    <row r="3619" spans="1:11" ht="42" customHeight="1">
      <c r="A3619" s="4" t="s">
        <v>8070</v>
      </c>
      <c r="B3619" s="5" t="s">
        <v>8071</v>
      </c>
      <c r="C3619" s="5" t="s">
        <v>69</v>
      </c>
      <c r="D3619" s="5" t="s">
        <v>70</v>
      </c>
      <c r="E3619" s="5" t="s">
        <v>48</v>
      </c>
      <c r="F3619" s="9">
        <v>67</v>
      </c>
      <c r="G3619" s="9">
        <v>698</v>
      </c>
      <c r="H3619" s="5" t="s">
        <v>20</v>
      </c>
      <c r="I3619" s="5" t="s">
        <v>8072</v>
      </c>
      <c r="J3619" s="12" t="str">
        <f>HYPERLINK("https://www.boe.es/gazeta/dias/1806/08/15/pdfs/GMD-1806-67.pdf#page=6","Abrir facsímil")</f>
        <v>Abrir facsímil</v>
      </c>
      <c r="K3619" s="15" t="s">
        <v>22</v>
      </c>
    </row>
    <row r="3620" spans="1:11" ht="42" customHeight="1">
      <c r="A3620" s="4" t="s">
        <v>8073</v>
      </c>
      <c r="B3620" s="5" t="s">
        <v>8074</v>
      </c>
      <c r="C3620" s="5" t="s">
        <v>31</v>
      </c>
      <c r="D3620" s="5" t="s">
        <v>32</v>
      </c>
      <c r="E3620" s="5" t="s">
        <v>110</v>
      </c>
      <c r="F3620" s="9">
        <v>55</v>
      </c>
      <c r="G3620" s="9">
        <v>570</v>
      </c>
      <c r="H3620" s="5" t="s">
        <v>20</v>
      </c>
      <c r="I3620" s="5" t="s">
        <v>8075</v>
      </c>
      <c r="J3620" s="12" t="str">
        <f>HYPERLINK("https://www.boe.es/gazeta/dias/1806/07/04/pdfs/GMD-1806-55.pdf#page=6","Abrir facsímil")</f>
        <v>Abrir facsímil</v>
      </c>
      <c r="K3620" s="15" t="s">
        <v>22</v>
      </c>
    </row>
    <row r="3621" spans="1:11" ht="42" customHeight="1">
      <c r="A3621" s="4" t="s">
        <v>8076</v>
      </c>
      <c r="B3621" s="5" t="s">
        <v>8077</v>
      </c>
      <c r="C3621" s="5" t="s">
        <v>69</v>
      </c>
      <c r="D3621" s="5" t="s">
        <v>70</v>
      </c>
      <c r="E3621" s="5" t="s">
        <v>716</v>
      </c>
      <c r="F3621" s="9">
        <v>56</v>
      </c>
      <c r="G3621" s="9">
        <v>585</v>
      </c>
      <c r="H3621" s="5" t="s">
        <v>20</v>
      </c>
      <c r="I3621" s="5" t="s">
        <v>8078</v>
      </c>
      <c r="J3621" s="12" t="str">
        <f>HYPERLINK("https://www.boe.es/gazeta/dias/1806/07/08/pdfs/GMD-1806-56.pdf#page=9","Abrir facsímil")</f>
        <v>Abrir facsímil</v>
      </c>
      <c r="K3621" s="15" t="s">
        <v>22</v>
      </c>
    </row>
    <row r="3622" spans="1:11" ht="42" customHeight="1">
      <c r="A3622" s="4" t="s">
        <v>8073</v>
      </c>
      <c r="B3622" s="5" t="s">
        <v>8074</v>
      </c>
      <c r="C3622" s="5" t="s">
        <v>69</v>
      </c>
      <c r="D3622" s="5" t="s">
        <v>70</v>
      </c>
      <c r="E3622" s="5" t="s">
        <v>205</v>
      </c>
      <c r="F3622" s="9">
        <v>57</v>
      </c>
      <c r="G3622" s="9">
        <v>593</v>
      </c>
      <c r="H3622" s="5" t="s">
        <v>20</v>
      </c>
      <c r="I3622" s="5" t="s">
        <v>8079</v>
      </c>
      <c r="J3622" s="12" t="str">
        <f>HYPERLINK("https://www.boe.es/gazeta/dias/1806/07/11/pdfs/GMD-1806-57.pdf#page=5","Abrir facsímil")</f>
        <v>Abrir facsímil</v>
      </c>
      <c r="K3622" s="15" t="s">
        <v>22</v>
      </c>
    </row>
    <row r="3623" spans="1:11" ht="42" customHeight="1">
      <c r="A3623" s="4" t="s">
        <v>8073</v>
      </c>
      <c r="B3623" s="5" t="s">
        <v>8074</v>
      </c>
      <c r="C3623" s="5" t="s">
        <v>69</v>
      </c>
      <c r="D3623" s="5" t="s">
        <v>70</v>
      </c>
      <c r="E3623" s="5" t="s">
        <v>130</v>
      </c>
      <c r="F3623" s="9">
        <v>66</v>
      </c>
      <c r="G3623" s="9">
        <v>686</v>
      </c>
      <c r="H3623" s="5" t="s">
        <v>20</v>
      </c>
      <c r="I3623" s="5" t="s">
        <v>8080</v>
      </c>
      <c r="J3623" s="12" t="str">
        <f>HYPERLINK("https://www.boe.es/gazeta/dias/1806/08/12/pdfs/GMD-1806-66.pdf#page=2","Abrir facsímil")</f>
        <v>Abrir facsímil</v>
      </c>
      <c r="K3623" s="15" t="s">
        <v>22</v>
      </c>
    </row>
    <row r="3624" spans="1:11" ht="42" customHeight="1">
      <c r="A3624" s="4" t="s">
        <v>8073</v>
      </c>
      <c r="B3624" s="5" t="s">
        <v>8074</v>
      </c>
      <c r="C3624" s="5" t="s">
        <v>17</v>
      </c>
      <c r="D3624" s="5" t="s">
        <v>18</v>
      </c>
      <c r="E3624" s="5" t="s">
        <v>438</v>
      </c>
      <c r="F3624" s="9">
        <v>70</v>
      </c>
      <c r="G3624" s="9">
        <v>728</v>
      </c>
      <c r="H3624" s="5" t="s">
        <v>20</v>
      </c>
      <c r="I3624" s="5" t="s">
        <v>8081</v>
      </c>
      <c r="J3624" s="12" t="str">
        <f>HYPERLINK("https://www.boe.es/gazeta/dias/1806/08/26/pdfs/GMD-1806-70.pdf#page=4","Abrir facsímil")</f>
        <v>Abrir facsímil</v>
      </c>
      <c r="K3624" s="15" t="s">
        <v>22</v>
      </c>
    </row>
    <row r="3625" spans="1:11" ht="42" customHeight="1">
      <c r="A3625" s="4" t="s">
        <v>8082</v>
      </c>
      <c r="B3625" s="5" t="s">
        <v>8083</v>
      </c>
      <c r="C3625" s="5" t="s">
        <v>69</v>
      </c>
      <c r="D3625" s="5" t="s">
        <v>70</v>
      </c>
      <c r="E3625" s="5" t="s">
        <v>172</v>
      </c>
      <c r="F3625" s="9">
        <v>17</v>
      </c>
      <c r="G3625" s="9">
        <v>150</v>
      </c>
      <c r="H3625" s="5" t="s">
        <v>20</v>
      </c>
      <c r="I3625" s="5" t="s">
        <v>8084</v>
      </c>
      <c r="J3625" s="12" t="str">
        <f>HYPERLINK("https://www.boe.es/gazeta/dias/1806/02/21/pdfs/GMD-1806-17.pdf#page=6","Abrir facsímil")</f>
        <v>Abrir facsímil</v>
      </c>
      <c r="K3625" s="15" t="s">
        <v>22</v>
      </c>
    </row>
    <row r="3626" spans="1:11" ht="42" customHeight="1">
      <c r="A3626" s="4" t="s">
        <v>8082</v>
      </c>
      <c r="B3626" s="5" t="s">
        <v>8083</v>
      </c>
      <c r="C3626" s="5" t="s">
        <v>69</v>
      </c>
      <c r="D3626" s="5" t="s">
        <v>70</v>
      </c>
      <c r="E3626" s="5" t="s">
        <v>205</v>
      </c>
      <c r="F3626" s="9">
        <v>57</v>
      </c>
      <c r="G3626" s="9">
        <v>589</v>
      </c>
      <c r="H3626" s="5" t="s">
        <v>20</v>
      </c>
      <c r="I3626" s="5" t="s">
        <v>8085</v>
      </c>
      <c r="J3626" s="12" t="str">
        <f>HYPERLINK("https://www.boe.es/gazeta/dias/1806/07/11/pdfs/GMD-1806-57.pdf#page=1","Abrir facsímil")</f>
        <v>Abrir facsímil</v>
      </c>
      <c r="K3626" s="15" t="s">
        <v>22</v>
      </c>
    </row>
    <row r="3627" spans="1:11" ht="42" customHeight="1">
      <c r="A3627" s="4" t="s">
        <v>8086</v>
      </c>
      <c r="B3627" s="5" t="s">
        <v>8087</v>
      </c>
      <c r="C3627" s="5" t="s">
        <v>17</v>
      </c>
      <c r="D3627" s="5" t="s">
        <v>18</v>
      </c>
      <c r="E3627" s="5" t="s">
        <v>501</v>
      </c>
      <c r="F3627" s="9">
        <v>39</v>
      </c>
      <c r="G3627" s="9">
        <v>387</v>
      </c>
      <c r="H3627" s="5" t="s">
        <v>20</v>
      </c>
      <c r="I3627" s="5" t="s">
        <v>8088</v>
      </c>
      <c r="J3627" s="12" t="str">
        <f>HYPERLINK("https://www.boe.es/gazeta/dias/1806/05/09/pdfs/GMD-1806-39.pdf#page=11","Abrir facsímil")</f>
        <v>Abrir facsímil</v>
      </c>
      <c r="K3627" s="15" t="s">
        <v>22</v>
      </c>
    </row>
    <row r="3628" spans="1:11" ht="42" customHeight="1">
      <c r="A3628" s="4" t="s">
        <v>8089</v>
      </c>
      <c r="B3628" s="5" t="s">
        <v>8090</v>
      </c>
      <c r="C3628" s="5" t="s">
        <v>75</v>
      </c>
      <c r="D3628" s="5" t="s">
        <v>43</v>
      </c>
      <c r="E3628" s="5" t="s">
        <v>301</v>
      </c>
      <c r="F3628" s="9">
        <v>75</v>
      </c>
      <c r="G3628" s="9">
        <v>779</v>
      </c>
      <c r="H3628" s="5" t="s">
        <v>20</v>
      </c>
      <c r="I3628" s="5" t="s">
        <v>8091</v>
      </c>
      <c r="J3628" s="12" t="str">
        <f>HYPERLINK("https://www.boe.es/gazeta/dias/1806/09/12/pdfs/GMD-1806-75.pdf#page=11","Abrir facsímil")</f>
        <v>Abrir facsímil</v>
      </c>
      <c r="K3628" s="15" t="s">
        <v>22</v>
      </c>
    </row>
    <row r="3629" spans="1:11" ht="42" customHeight="1">
      <c r="A3629" s="4" t="s">
        <v>8092</v>
      </c>
      <c r="B3629" s="5" t="s">
        <v>8092</v>
      </c>
      <c r="C3629" s="5" t="s">
        <v>36</v>
      </c>
      <c r="D3629" s="5" t="s">
        <v>37</v>
      </c>
      <c r="E3629" s="5" t="s">
        <v>348</v>
      </c>
      <c r="F3629" s="9">
        <v>88</v>
      </c>
      <c r="G3629" s="9">
        <v>912</v>
      </c>
      <c r="H3629" s="5" t="s">
        <v>20</v>
      </c>
      <c r="I3629" s="5" t="s">
        <v>8093</v>
      </c>
      <c r="J3629" s="12" t="str">
        <f>HYPERLINK("https://www.boe.es/gazeta/dias/1806/10/28/pdfs/GMD-1806-88.pdf#page=8","Abrir facsímil")</f>
        <v>Abrir facsímil</v>
      </c>
      <c r="K3629" s="15" t="s">
        <v>22</v>
      </c>
    </row>
    <row r="3630" spans="1:11" ht="42" customHeight="1">
      <c r="A3630" s="4" t="s">
        <v>8094</v>
      </c>
      <c r="B3630" s="5" t="s">
        <v>8094</v>
      </c>
      <c r="C3630" s="5" t="s">
        <v>31</v>
      </c>
      <c r="D3630" s="5" t="s">
        <v>32</v>
      </c>
      <c r="E3630" s="5" t="s">
        <v>816</v>
      </c>
      <c r="F3630" s="9">
        <v>86</v>
      </c>
      <c r="G3630" s="9">
        <v>891</v>
      </c>
      <c r="H3630" s="5" t="s">
        <v>20</v>
      </c>
      <c r="I3630" s="5" t="s">
        <v>8095</v>
      </c>
      <c r="J3630" s="12" t="str">
        <f>HYPERLINK("https://www.boe.es/gazeta/dias/1806/10/21/pdfs/GMD-1806-86.pdf#page=7","Abrir facsímil")</f>
        <v>Abrir facsímil</v>
      </c>
      <c r="K3630" s="15" t="s">
        <v>22</v>
      </c>
    </row>
    <row r="3631" spans="1:11" ht="42" customHeight="1">
      <c r="A3631" s="4" t="s">
        <v>8096</v>
      </c>
      <c r="B3631" s="5" t="s">
        <v>8096</v>
      </c>
      <c r="C3631" s="5" t="s">
        <v>69</v>
      </c>
      <c r="D3631" s="5" t="s">
        <v>70</v>
      </c>
      <c r="E3631" s="5" t="s">
        <v>430</v>
      </c>
      <c r="F3631" s="9">
        <v>12</v>
      </c>
      <c r="G3631" s="9">
        <v>103</v>
      </c>
      <c r="H3631" s="5" t="s">
        <v>20</v>
      </c>
      <c r="I3631" s="5" t="s">
        <v>8097</v>
      </c>
      <c r="J3631" s="12" t="str">
        <f>HYPERLINK("https://www.boe.es/gazeta/dias/1806/02/04/pdfs/GMD-1806-12.pdf#page=3","Abrir facsímil")</f>
        <v>Abrir facsímil</v>
      </c>
      <c r="K3631" s="15" t="s">
        <v>22</v>
      </c>
    </row>
    <row r="3632" spans="1:11" ht="42" customHeight="1">
      <c r="A3632" s="4" t="s">
        <v>8098</v>
      </c>
      <c r="B3632" s="5" t="s">
        <v>8099</v>
      </c>
      <c r="C3632" s="5" t="s">
        <v>31</v>
      </c>
      <c r="D3632" s="5" t="s">
        <v>32</v>
      </c>
      <c r="E3632" s="5" t="s">
        <v>82</v>
      </c>
      <c r="F3632" s="9">
        <v>48</v>
      </c>
      <c r="G3632" s="9">
        <v>496</v>
      </c>
      <c r="H3632" s="5" t="s">
        <v>20</v>
      </c>
      <c r="I3632" s="5" t="s">
        <v>8100</v>
      </c>
      <c r="J3632" s="12" t="str">
        <f>HYPERLINK("https://www.boe.es/gazeta/dias/1806/06/10/pdfs/GMD-1806-48.pdf#page=8","Abrir facsímil")</f>
        <v>Abrir facsímil</v>
      </c>
      <c r="K3632" s="15" t="s">
        <v>22</v>
      </c>
    </row>
    <row r="3633" spans="1:11" ht="42" customHeight="1">
      <c r="A3633" s="4" t="s">
        <v>8101</v>
      </c>
      <c r="B3633" s="5" t="s">
        <v>8102</v>
      </c>
      <c r="C3633" s="5" t="s">
        <v>69</v>
      </c>
      <c r="D3633" s="5" t="s">
        <v>70</v>
      </c>
      <c r="E3633" s="5" t="s">
        <v>657</v>
      </c>
      <c r="F3633" s="9">
        <v>96</v>
      </c>
      <c r="G3633" s="9">
        <v>1009</v>
      </c>
      <c r="H3633" s="5" t="s">
        <v>20</v>
      </c>
      <c r="I3633" s="5" t="s">
        <v>8103</v>
      </c>
      <c r="J3633" s="12" t="str">
        <f>HYPERLINK("https://www.boe.es/gazeta/dias/1806/11/25/pdfs/GMD-1806-96.pdf#page=1","Abrir facsímil")</f>
        <v>Abrir facsímil</v>
      </c>
      <c r="K3633" s="15" t="s">
        <v>22</v>
      </c>
    </row>
    <row r="3634" spans="1:11" ht="42" customHeight="1">
      <c r="A3634" s="4" t="s">
        <v>8101</v>
      </c>
      <c r="B3634" s="5" t="s">
        <v>8102</v>
      </c>
      <c r="C3634" s="5" t="s">
        <v>31</v>
      </c>
      <c r="D3634" s="5" t="s">
        <v>32</v>
      </c>
      <c r="E3634" s="5" t="s">
        <v>28</v>
      </c>
      <c r="F3634" s="9">
        <v>102</v>
      </c>
      <c r="G3634" s="9">
        <v>1082</v>
      </c>
      <c r="H3634" s="5" t="s">
        <v>20</v>
      </c>
      <c r="I3634" s="5" t="s">
        <v>8104</v>
      </c>
      <c r="J3634" s="12" t="str">
        <f>HYPERLINK("https://www.boe.es/gazeta/dias/1806/12/16/pdfs/GMD-1806-102.pdf#page=6","Abrir facsímil")</f>
        <v>Abrir facsímil</v>
      </c>
      <c r="K3634" s="15" t="s">
        <v>22</v>
      </c>
    </row>
    <row r="3635" spans="1:11" ht="42" customHeight="1">
      <c r="A3635" s="4" t="s">
        <v>8105</v>
      </c>
      <c r="B3635" s="5" t="s">
        <v>8106</v>
      </c>
      <c r="C3635" s="5" t="s">
        <v>31</v>
      </c>
      <c r="D3635" s="5" t="s">
        <v>32</v>
      </c>
      <c r="E3635" s="5" t="s">
        <v>396</v>
      </c>
      <c r="F3635" s="9">
        <v>91</v>
      </c>
      <c r="G3635" s="9">
        <v>943</v>
      </c>
      <c r="H3635" s="5" t="s">
        <v>20</v>
      </c>
      <c r="I3635" s="5" t="s">
        <v>8107</v>
      </c>
      <c r="J3635" s="12" t="str">
        <f>HYPERLINK("https://www.boe.es/gazeta/dias/1806/11/07/pdfs/GMD-1806-91.pdf#page=7","Abrir facsímil")</f>
        <v>Abrir facsímil</v>
      </c>
      <c r="K3635" s="15" t="s">
        <v>22</v>
      </c>
    </row>
    <row r="3636" spans="1:11" ht="42" customHeight="1">
      <c r="A3636" s="4" t="s">
        <v>8108</v>
      </c>
      <c r="B3636" s="5" t="s">
        <v>8108</v>
      </c>
      <c r="C3636" s="5" t="s">
        <v>69</v>
      </c>
      <c r="D3636" s="5" t="s">
        <v>70</v>
      </c>
      <c r="E3636" s="5" t="s">
        <v>259</v>
      </c>
      <c r="F3636" s="9">
        <v>34</v>
      </c>
      <c r="G3636" s="9">
        <v>331</v>
      </c>
      <c r="H3636" s="5" t="s">
        <v>20</v>
      </c>
      <c r="I3636" s="5" t="s">
        <v>8109</v>
      </c>
      <c r="J3636" s="12" t="str">
        <f>HYPERLINK("https://www.boe.es/gazeta/dias/1806/04/22/pdfs/GMD-1806-34.pdf#page=3","Abrir facsímil")</f>
        <v>Abrir facsímil</v>
      </c>
      <c r="K3636" s="15" t="s">
        <v>22</v>
      </c>
    </row>
    <row r="3637" spans="1:11" ht="42" customHeight="1">
      <c r="A3637" s="4" t="s">
        <v>8110</v>
      </c>
      <c r="B3637" s="5" t="s">
        <v>8110</v>
      </c>
      <c r="C3637" s="5" t="s">
        <v>31</v>
      </c>
      <c r="D3637" s="5" t="s">
        <v>32</v>
      </c>
      <c r="E3637" s="5" t="s">
        <v>130</v>
      </c>
      <c r="F3637" s="9">
        <v>66</v>
      </c>
      <c r="G3637" s="9">
        <v>691</v>
      </c>
      <c r="H3637" s="5" t="s">
        <v>20</v>
      </c>
      <c r="I3637" s="5" t="s">
        <v>8111</v>
      </c>
      <c r="J3637" s="12" t="str">
        <f>HYPERLINK("https://www.boe.es/gazeta/dias/1806/08/12/pdfs/GMD-1806-66.pdf#page=7","Abrir facsímil")</f>
        <v>Abrir facsímil</v>
      </c>
      <c r="K3637" s="15" t="s">
        <v>22</v>
      </c>
    </row>
    <row r="3638" spans="1:11" ht="42" customHeight="1">
      <c r="A3638" s="4" t="s">
        <v>8112</v>
      </c>
      <c r="B3638" s="5" t="s">
        <v>8113</v>
      </c>
      <c r="C3638" s="5" t="s">
        <v>31</v>
      </c>
      <c r="D3638" s="5" t="s">
        <v>32</v>
      </c>
      <c r="E3638" s="5" t="s">
        <v>188</v>
      </c>
      <c r="F3638" s="9">
        <v>2</v>
      </c>
      <c r="G3638" s="9">
        <v>15</v>
      </c>
      <c r="H3638" s="5" t="s">
        <v>20</v>
      </c>
      <c r="I3638" s="5" t="s">
        <v>8114</v>
      </c>
      <c r="J3638" s="12" t="str">
        <f>HYPERLINK("https://www.boe.es/gazeta/dias/1806/01/07/pdfs/GMD-1806-2.pdf#page=3","Abrir facsímil")</f>
        <v>Abrir facsímil</v>
      </c>
      <c r="K3638" s="15" t="s">
        <v>22</v>
      </c>
    </row>
    <row r="3639" spans="1:11" ht="42" customHeight="1">
      <c r="A3639" s="4" t="s">
        <v>8112</v>
      </c>
      <c r="B3639" s="5" t="s">
        <v>8113</v>
      </c>
      <c r="C3639" s="5" t="s">
        <v>17</v>
      </c>
      <c r="D3639" s="5" t="s">
        <v>18</v>
      </c>
      <c r="E3639" s="5" t="s">
        <v>689</v>
      </c>
      <c r="F3639" s="9">
        <v>37</v>
      </c>
      <c r="G3639" s="9">
        <v>356</v>
      </c>
      <c r="H3639" s="5" t="s">
        <v>20</v>
      </c>
      <c r="I3639" s="5" t="s">
        <v>8115</v>
      </c>
      <c r="J3639" s="12" t="str">
        <f>HYPERLINK("https://www.boe.es/gazeta/dias/1806/05/02/pdfs/GMD-1806-37.pdf#page=4","Abrir facsímil")</f>
        <v>Abrir facsímil</v>
      </c>
      <c r="K3639" s="15" t="s">
        <v>22</v>
      </c>
    </row>
    <row r="3640" spans="1:11" ht="42" customHeight="1">
      <c r="A3640" s="4" t="s">
        <v>8112</v>
      </c>
      <c r="B3640" s="5" t="s">
        <v>8113</v>
      </c>
      <c r="C3640" s="5" t="s">
        <v>69</v>
      </c>
      <c r="D3640" s="5" t="s">
        <v>70</v>
      </c>
      <c r="E3640" s="5" t="s">
        <v>455</v>
      </c>
      <c r="F3640" s="9">
        <v>85</v>
      </c>
      <c r="G3640" s="9">
        <v>876</v>
      </c>
      <c r="H3640" s="5" t="s">
        <v>20</v>
      </c>
      <c r="I3640" s="5" t="s">
        <v>8116</v>
      </c>
      <c r="J3640" s="12" t="str">
        <f>HYPERLINK("https://www.boe.es/gazeta/dias/1806/10/17/pdfs/GMD-1806-85.pdf#page=4","Abrir facsímil")</f>
        <v>Abrir facsímil</v>
      </c>
      <c r="K3640" s="15" t="s">
        <v>22</v>
      </c>
    </row>
    <row r="3641" spans="1:11" ht="42" customHeight="1">
      <c r="A3641" s="4" t="s">
        <v>8112</v>
      </c>
      <c r="B3641" s="5" t="s">
        <v>8113</v>
      </c>
      <c r="C3641" s="5" t="s">
        <v>69</v>
      </c>
      <c r="D3641" s="5" t="s">
        <v>70</v>
      </c>
      <c r="E3641" s="5" t="s">
        <v>38</v>
      </c>
      <c r="F3641" s="9">
        <v>92</v>
      </c>
      <c r="G3641" s="9">
        <v>951</v>
      </c>
      <c r="H3641" s="5" t="s">
        <v>20</v>
      </c>
      <c r="I3641" s="5" t="s">
        <v>8117</v>
      </c>
      <c r="J3641" s="12" t="str">
        <f>HYPERLINK("https://www.boe.es/gazeta/dias/1806/11/11/pdfs/GMD-1806-92.pdf#page=3","Abrir facsímil")</f>
        <v>Abrir facsímil</v>
      </c>
      <c r="K3641" s="15" t="s">
        <v>22</v>
      </c>
    </row>
    <row r="3642" spans="1:11" ht="42" customHeight="1">
      <c r="A3642" s="4" t="s">
        <v>8112</v>
      </c>
      <c r="B3642" s="5" t="s">
        <v>8113</v>
      </c>
      <c r="C3642" s="5" t="s">
        <v>17</v>
      </c>
      <c r="D3642" s="5" t="s">
        <v>18</v>
      </c>
      <c r="E3642" s="5" t="s">
        <v>209</v>
      </c>
      <c r="F3642" s="9">
        <v>95</v>
      </c>
      <c r="G3642" s="9">
        <v>993</v>
      </c>
      <c r="H3642" s="5" t="s">
        <v>20</v>
      </c>
      <c r="I3642" s="5" t="s">
        <v>8118</v>
      </c>
      <c r="J3642" s="12" t="str">
        <f>HYPERLINK("https://www.boe.es/gazeta/dias/1806/11/21/pdfs/GMD-1806-95.pdf#page=1","Abrir facsímil")</f>
        <v>Abrir facsímil</v>
      </c>
      <c r="K3642" s="15" t="s">
        <v>22</v>
      </c>
    </row>
    <row r="3643" spans="1:11" ht="42" customHeight="1">
      <c r="A3643" s="4" t="s">
        <v>8119</v>
      </c>
      <c r="B3643" s="5" t="s">
        <v>8119</v>
      </c>
      <c r="C3643" s="5" t="s">
        <v>17</v>
      </c>
      <c r="D3643" s="5" t="s">
        <v>18</v>
      </c>
      <c r="E3643" s="5" t="s">
        <v>103</v>
      </c>
      <c r="F3643" s="9">
        <v>61</v>
      </c>
      <c r="G3643" s="9">
        <v>634</v>
      </c>
      <c r="H3643" s="5" t="s">
        <v>20</v>
      </c>
      <c r="I3643" s="5" t="s">
        <v>8120</v>
      </c>
      <c r="J3643" s="12" t="str">
        <f>HYPERLINK("https://www.boe.es/gazeta/dias/1806/07/25/pdfs/GMD-1806-61.pdf#page=6","Abrir facsímil")</f>
        <v>Abrir facsímil</v>
      </c>
      <c r="K3643" s="15" t="s">
        <v>22</v>
      </c>
    </row>
    <row r="3644" spans="1:11" ht="42" customHeight="1">
      <c r="A3644" s="4" t="s">
        <v>8121</v>
      </c>
      <c r="B3644" s="5" t="s">
        <v>8122</v>
      </c>
      <c r="C3644" s="5" t="s">
        <v>69</v>
      </c>
      <c r="D3644" s="5" t="s">
        <v>70</v>
      </c>
      <c r="E3644" s="5" t="s">
        <v>540</v>
      </c>
      <c r="F3644" s="9">
        <v>51</v>
      </c>
      <c r="G3644" s="9">
        <v>524</v>
      </c>
      <c r="H3644" s="5" t="s">
        <v>20</v>
      </c>
      <c r="I3644" s="5" t="s">
        <v>8123</v>
      </c>
      <c r="J3644" s="12" t="str">
        <f>HYPERLINK("https://www.boe.es/gazeta/dias/1806/06/20/pdfs/GMD-1806-51.pdf#page=4","Abrir facsímil")</f>
        <v>Abrir facsímil</v>
      </c>
      <c r="K3644" s="15" t="s">
        <v>22</v>
      </c>
    </row>
    <row r="3645" spans="1:11" ht="42" customHeight="1">
      <c r="A3645" s="4" t="s">
        <v>8121</v>
      </c>
      <c r="B3645" s="5" t="s">
        <v>8122</v>
      </c>
      <c r="C3645" s="5" t="s">
        <v>17</v>
      </c>
      <c r="D3645" s="5" t="s">
        <v>18</v>
      </c>
      <c r="E3645" s="5" t="s">
        <v>76</v>
      </c>
      <c r="F3645" s="9">
        <v>98</v>
      </c>
      <c r="G3645" s="9">
        <v>1036</v>
      </c>
      <c r="H3645" s="5" t="s">
        <v>20</v>
      </c>
      <c r="I3645" s="5" t="s">
        <v>8124</v>
      </c>
      <c r="J3645" s="12" t="str">
        <f>HYPERLINK("https://www.boe.es/gazeta/dias/1806/12/02/pdfs/GMD-1806-98.pdf#page=4","Abrir facsímil")</f>
        <v>Abrir facsímil</v>
      </c>
      <c r="K3645" s="15" t="s">
        <v>22</v>
      </c>
    </row>
    <row r="3646" spans="1:11" ht="42" customHeight="1">
      <c r="A3646" s="4" t="s">
        <v>8125</v>
      </c>
      <c r="B3646" s="5" t="s">
        <v>8125</v>
      </c>
      <c r="C3646" s="5" t="s">
        <v>69</v>
      </c>
      <c r="D3646" s="5" t="s">
        <v>70</v>
      </c>
      <c r="E3646" s="5" t="s">
        <v>59</v>
      </c>
      <c r="F3646" s="9">
        <v>21</v>
      </c>
      <c r="G3646" s="9">
        <v>189</v>
      </c>
      <c r="H3646" s="5" t="s">
        <v>20</v>
      </c>
      <c r="I3646" s="5" t="s">
        <v>8126</v>
      </c>
      <c r="J3646" s="12" t="str">
        <f>HYPERLINK("https://www.boe.es/gazeta/dias/1806/03/07/pdfs/GMD-1806-21.pdf#page=1","Abrir facsímil")</f>
        <v>Abrir facsímil</v>
      </c>
      <c r="K3646" s="15" t="s">
        <v>22</v>
      </c>
    </row>
    <row r="3647" spans="1:11" ht="42" customHeight="1">
      <c r="A3647" s="4" t="s">
        <v>8127</v>
      </c>
      <c r="B3647" s="5" t="s">
        <v>8128</v>
      </c>
      <c r="C3647" s="5" t="s">
        <v>69</v>
      </c>
      <c r="D3647" s="5" t="s">
        <v>70</v>
      </c>
      <c r="E3647" s="5" t="s">
        <v>140</v>
      </c>
      <c r="F3647" s="9">
        <v>83</v>
      </c>
      <c r="G3647" s="9">
        <v>854</v>
      </c>
      <c r="H3647" s="5" t="s">
        <v>20</v>
      </c>
      <c r="I3647" s="5" t="s">
        <v>8129</v>
      </c>
      <c r="J3647" s="12" t="str">
        <f>HYPERLINK("https://www.boe.es/gazeta/dias/1806/10/10/pdfs/GMD-1806-83.pdf#page=2","Abrir facsímil")</f>
        <v>Abrir facsímil</v>
      </c>
      <c r="K3647" s="15" t="s">
        <v>22</v>
      </c>
    </row>
    <row r="3648" spans="1:11" ht="42" customHeight="1">
      <c r="A3648" s="4" t="s">
        <v>8130</v>
      </c>
      <c r="B3648" s="5" t="s">
        <v>8130</v>
      </c>
      <c r="C3648" s="5" t="s">
        <v>69</v>
      </c>
      <c r="D3648" s="5" t="s">
        <v>70</v>
      </c>
      <c r="E3648" s="5" t="s">
        <v>348</v>
      </c>
      <c r="F3648" s="9">
        <v>88</v>
      </c>
      <c r="G3648" s="9">
        <v>909</v>
      </c>
      <c r="H3648" s="5" t="s">
        <v>20</v>
      </c>
      <c r="I3648" s="5" t="s">
        <v>8131</v>
      </c>
      <c r="J3648" s="12" t="str">
        <f>HYPERLINK("https://www.boe.es/gazeta/dias/1806/10/28/pdfs/GMD-1806-88.pdf#page=5","Abrir facsímil")</f>
        <v>Abrir facsímil</v>
      </c>
      <c r="K3648" s="15" t="s">
        <v>22</v>
      </c>
    </row>
    <row r="3649" spans="1:11" ht="42" customHeight="1">
      <c r="A3649" s="4" t="s">
        <v>8132</v>
      </c>
      <c r="B3649" s="5" t="s">
        <v>8132</v>
      </c>
      <c r="C3649" s="5" t="s">
        <v>31</v>
      </c>
      <c r="D3649" s="5" t="s">
        <v>32</v>
      </c>
      <c r="E3649" s="5" t="s">
        <v>130</v>
      </c>
      <c r="F3649" s="9">
        <v>66</v>
      </c>
      <c r="G3649" s="9">
        <v>687</v>
      </c>
      <c r="H3649" s="5" t="s">
        <v>20</v>
      </c>
      <c r="I3649" s="5" t="s">
        <v>8133</v>
      </c>
      <c r="J3649" s="12" t="str">
        <f>HYPERLINK("https://www.boe.es/gazeta/dias/1806/08/12/pdfs/GMD-1806-66.pdf#page=3","Abrir facsímil")</f>
        <v>Abrir facsímil</v>
      </c>
      <c r="K3649" s="15" t="s">
        <v>22</v>
      </c>
    </row>
    <row r="3650" spans="1:11" ht="42" customHeight="1">
      <c r="A3650" s="4" t="s">
        <v>8134</v>
      </c>
      <c r="B3650" s="5" t="s">
        <v>8135</v>
      </c>
      <c r="C3650" s="5" t="s">
        <v>31</v>
      </c>
      <c r="D3650" s="5" t="s">
        <v>32</v>
      </c>
      <c r="E3650" s="5" t="s">
        <v>312</v>
      </c>
      <c r="F3650" s="9">
        <v>100</v>
      </c>
      <c r="G3650" s="9">
        <v>1061</v>
      </c>
      <c r="H3650" s="5" t="s">
        <v>20</v>
      </c>
      <c r="I3650" s="5" t="s">
        <v>8136</v>
      </c>
      <c r="J3650" s="12" t="str">
        <f>HYPERLINK("https://www.boe.es/gazeta/dias/1806/12/09/pdfs/GMD-1806-100.pdf#page=5","Abrir facsímil")</f>
        <v>Abrir facsímil</v>
      </c>
      <c r="K3650" s="15" t="s">
        <v>22</v>
      </c>
    </row>
    <row r="3651" spans="1:11" ht="42" customHeight="1">
      <c r="A3651" s="4" t="s">
        <v>8137</v>
      </c>
      <c r="B3651" s="5" t="s">
        <v>8137</v>
      </c>
      <c r="C3651" s="5" t="s">
        <v>31</v>
      </c>
      <c r="D3651" s="5" t="s">
        <v>32</v>
      </c>
      <c r="E3651" s="5" t="s">
        <v>494</v>
      </c>
      <c r="F3651" s="9">
        <v>69</v>
      </c>
      <c r="G3651" s="9">
        <v>722</v>
      </c>
      <c r="H3651" s="5" t="s">
        <v>20</v>
      </c>
      <c r="I3651" s="5" t="s">
        <v>8138</v>
      </c>
      <c r="J3651" s="12" t="str">
        <f>HYPERLINK("https://www.boe.es/gazeta/dias/1806/08/22/pdfs/GMD-1806-69.pdf#page=10","Abrir facsímil")</f>
        <v>Abrir facsímil</v>
      </c>
      <c r="K3651" s="15" t="s">
        <v>22</v>
      </c>
    </row>
    <row r="3652" spans="1:11" ht="42" customHeight="1">
      <c r="A3652" s="4" t="s">
        <v>8139</v>
      </c>
      <c r="B3652" s="5" t="s">
        <v>8139</v>
      </c>
      <c r="C3652" s="5" t="s">
        <v>42</v>
      </c>
      <c r="D3652" s="5" t="s">
        <v>43</v>
      </c>
      <c r="E3652" s="5" t="s">
        <v>1005</v>
      </c>
      <c r="F3652" s="9">
        <v>76</v>
      </c>
      <c r="G3652" s="9">
        <v>787</v>
      </c>
      <c r="H3652" s="5" t="s">
        <v>20</v>
      </c>
      <c r="I3652" s="5" t="s">
        <v>8140</v>
      </c>
      <c r="J3652" s="12" t="str">
        <f>HYPERLINK("https://www.boe.es/gazeta/dias/1806/09/16/pdfs/GMD-1806-76.pdf#page=7","Abrir facsímil")</f>
        <v>Abrir facsímil</v>
      </c>
      <c r="K3652" s="15" t="s">
        <v>22</v>
      </c>
    </row>
    <row r="3653" spans="1:11" ht="42" customHeight="1">
      <c r="A3653" s="4" t="s">
        <v>8141</v>
      </c>
      <c r="B3653" s="5" t="s">
        <v>8141</v>
      </c>
      <c r="C3653" s="5" t="s">
        <v>31</v>
      </c>
      <c r="D3653" s="5" t="s">
        <v>32</v>
      </c>
      <c r="E3653" s="5" t="s">
        <v>220</v>
      </c>
      <c r="F3653" s="9">
        <v>24</v>
      </c>
      <c r="G3653" s="9">
        <v>232</v>
      </c>
      <c r="H3653" s="5" t="s">
        <v>20</v>
      </c>
      <c r="I3653" s="5" t="s">
        <v>8142</v>
      </c>
      <c r="J3653" s="12" t="str">
        <f>HYPERLINK("https://www.boe.es/gazeta/dias/1806/03/18/pdfs/GMD-1806-24.pdf#page=8","Abrir facsímil")</f>
        <v>Abrir facsímil</v>
      </c>
      <c r="K3653" s="15" t="s">
        <v>22</v>
      </c>
    </row>
    <row r="3654" spans="1:11" ht="42" customHeight="1">
      <c r="A3654" s="4" t="s">
        <v>8141</v>
      </c>
      <c r="B3654" s="5" t="s">
        <v>8141</v>
      </c>
      <c r="C3654" s="5" t="s">
        <v>31</v>
      </c>
      <c r="D3654" s="5" t="s">
        <v>32</v>
      </c>
      <c r="E3654" s="5" t="s">
        <v>51</v>
      </c>
      <c r="F3654" s="9">
        <v>44</v>
      </c>
      <c r="G3654" s="9">
        <v>445</v>
      </c>
      <c r="H3654" s="5" t="s">
        <v>20</v>
      </c>
      <c r="I3654" s="5" t="s">
        <v>8143</v>
      </c>
      <c r="J3654" s="12" t="str">
        <f>HYPERLINK("https://www.boe.es/gazeta/dias/1806/05/27/pdfs/GMD-1806-44.pdf#page=9","Abrir facsímil")</f>
        <v>Abrir facsímil</v>
      </c>
      <c r="K3654" s="15" t="s">
        <v>22</v>
      </c>
    </row>
    <row r="3655" spans="1:11" ht="42" customHeight="1">
      <c r="A3655" s="4" t="s">
        <v>8141</v>
      </c>
      <c r="B3655" s="5" t="s">
        <v>8141</v>
      </c>
      <c r="C3655" s="5" t="s">
        <v>31</v>
      </c>
      <c r="D3655" s="5" t="s">
        <v>32</v>
      </c>
      <c r="E3655" s="5" t="s">
        <v>62</v>
      </c>
      <c r="F3655" s="9">
        <v>45</v>
      </c>
      <c r="G3655" s="9">
        <v>459</v>
      </c>
      <c r="H3655" s="5" t="s">
        <v>20</v>
      </c>
      <c r="I3655" s="5" t="s">
        <v>8144</v>
      </c>
      <c r="J3655" s="12" t="str">
        <f>HYPERLINK("https://www.boe.es/gazeta/dias/1806/05/30/pdfs/GMD-1806-45.pdf#page=11","Abrir facsímil")</f>
        <v>Abrir facsímil</v>
      </c>
      <c r="K3655" s="15" t="s">
        <v>22</v>
      </c>
    </row>
    <row r="3656" spans="1:11" ht="42" customHeight="1">
      <c r="A3656" s="4" t="s">
        <v>8141</v>
      </c>
      <c r="B3656" s="5" t="s">
        <v>8141</v>
      </c>
      <c r="C3656" s="5" t="s">
        <v>31</v>
      </c>
      <c r="D3656" s="5" t="s">
        <v>32</v>
      </c>
      <c r="E3656" s="5" t="s">
        <v>1080</v>
      </c>
      <c r="F3656" s="9">
        <v>49</v>
      </c>
      <c r="G3656" s="9">
        <v>507</v>
      </c>
      <c r="H3656" s="5" t="s">
        <v>20</v>
      </c>
      <c r="I3656" s="5" t="s">
        <v>8145</v>
      </c>
      <c r="J3656" s="12" t="str">
        <f>HYPERLINK("https://www.boe.es/gazeta/dias/1806/06/13/pdfs/GMD-1806-49.pdf#page=7","Abrir facsímil")</f>
        <v>Abrir facsímil</v>
      </c>
      <c r="K3656" s="15" t="s">
        <v>22</v>
      </c>
    </row>
    <row r="3657" spans="1:11" ht="42" customHeight="1">
      <c r="A3657" s="4" t="s">
        <v>8141</v>
      </c>
      <c r="B3657" s="5" t="s">
        <v>8141</v>
      </c>
      <c r="C3657" s="5" t="s">
        <v>75</v>
      </c>
      <c r="D3657" s="5" t="s">
        <v>43</v>
      </c>
      <c r="E3657" s="5" t="s">
        <v>136</v>
      </c>
      <c r="F3657" s="9">
        <v>50</v>
      </c>
      <c r="G3657" s="9">
        <v>519</v>
      </c>
      <c r="H3657" s="5" t="s">
        <v>20</v>
      </c>
      <c r="I3657" s="5" t="s">
        <v>8146</v>
      </c>
      <c r="J3657" s="12" t="str">
        <f>HYPERLINK("https://www.boe.es/gazeta/dias/1806/06/17/pdfs/GMD-1806-50.pdf#page=11","Abrir facsímil")</f>
        <v>Abrir facsímil</v>
      </c>
      <c r="K3657" s="15" t="s">
        <v>22</v>
      </c>
    </row>
    <row r="3658" spans="1:11" ht="42" customHeight="1">
      <c r="A3658" s="4" t="s">
        <v>8141</v>
      </c>
      <c r="B3658" s="5" t="s">
        <v>8141</v>
      </c>
      <c r="C3658" s="5" t="s">
        <v>31</v>
      </c>
      <c r="D3658" s="5" t="s">
        <v>32</v>
      </c>
      <c r="E3658" s="5" t="s">
        <v>383</v>
      </c>
      <c r="F3658" s="9">
        <v>54</v>
      </c>
      <c r="G3658" s="9">
        <v>562</v>
      </c>
      <c r="H3658" s="5" t="s">
        <v>20</v>
      </c>
      <c r="I3658" s="5" t="s">
        <v>8147</v>
      </c>
      <c r="J3658" s="12" t="str">
        <f>HYPERLINK("https://www.boe.es/gazeta/dias/1806/07/01/pdfs/GMD-1806-54.pdf#page=6","Abrir facsímil")</f>
        <v>Abrir facsímil</v>
      </c>
      <c r="K3658" s="15" t="s">
        <v>22</v>
      </c>
    </row>
    <row r="3659" spans="1:11" ht="42" customHeight="1">
      <c r="A3659" s="4" t="s">
        <v>8141</v>
      </c>
      <c r="B3659" s="5" t="s">
        <v>8141</v>
      </c>
      <c r="C3659" s="5" t="s">
        <v>31</v>
      </c>
      <c r="D3659" s="5" t="s">
        <v>32</v>
      </c>
      <c r="E3659" s="5" t="s">
        <v>205</v>
      </c>
      <c r="F3659" s="9">
        <v>57</v>
      </c>
      <c r="G3659" s="9">
        <v>596</v>
      </c>
      <c r="H3659" s="5" t="s">
        <v>20</v>
      </c>
      <c r="I3659" s="5" t="s">
        <v>8148</v>
      </c>
      <c r="J3659" s="12" t="str">
        <f>HYPERLINK("https://www.boe.es/gazeta/dias/1806/07/11/pdfs/GMD-1806-57.pdf#page=8","Abrir facsímil")</f>
        <v>Abrir facsímil</v>
      </c>
      <c r="K3659" s="15" t="s">
        <v>22</v>
      </c>
    </row>
    <row r="3660" spans="1:11" ht="42" customHeight="1">
      <c r="A3660" s="4" t="s">
        <v>8141</v>
      </c>
      <c r="B3660" s="5" t="s">
        <v>8141</v>
      </c>
      <c r="C3660" s="5" t="s">
        <v>31</v>
      </c>
      <c r="D3660" s="5" t="s">
        <v>32</v>
      </c>
      <c r="E3660" s="5" t="s">
        <v>483</v>
      </c>
      <c r="F3660" s="9">
        <v>58</v>
      </c>
      <c r="G3660" s="9">
        <v>604</v>
      </c>
      <c r="H3660" s="5" t="s">
        <v>20</v>
      </c>
      <c r="I3660" s="5" t="s">
        <v>8149</v>
      </c>
      <c r="J3660" s="12" t="str">
        <f>HYPERLINK("https://www.boe.es/gazeta/dias/1806/07/15/pdfs/GMD-1806-58.pdf#page=8","Abrir facsímil")</f>
        <v>Abrir facsímil</v>
      </c>
      <c r="K3660" s="15" t="s">
        <v>22</v>
      </c>
    </row>
    <row r="3661" spans="1:11" ht="42" customHeight="1">
      <c r="A3661" s="4" t="s">
        <v>8141</v>
      </c>
      <c r="B3661" s="5" t="s">
        <v>8141</v>
      </c>
      <c r="C3661" s="5" t="s">
        <v>31</v>
      </c>
      <c r="D3661" s="5" t="s">
        <v>32</v>
      </c>
      <c r="E3661" s="5" t="s">
        <v>103</v>
      </c>
      <c r="F3661" s="9">
        <v>61</v>
      </c>
      <c r="G3661" s="9">
        <v>638</v>
      </c>
      <c r="H3661" s="5" t="s">
        <v>20</v>
      </c>
      <c r="I3661" s="5" t="s">
        <v>8150</v>
      </c>
      <c r="J3661" s="12" t="str">
        <f>HYPERLINK("https://www.boe.es/gazeta/dias/1806/07/25/pdfs/GMD-1806-61.pdf#page=10","Abrir facsímil")</f>
        <v>Abrir facsímil</v>
      </c>
      <c r="K3661" s="15" t="s">
        <v>22</v>
      </c>
    </row>
    <row r="3662" spans="1:11" ht="42" customHeight="1">
      <c r="A3662" s="4" t="s">
        <v>8141</v>
      </c>
      <c r="B3662" s="5" t="s">
        <v>8141</v>
      </c>
      <c r="C3662" s="5" t="s">
        <v>31</v>
      </c>
      <c r="D3662" s="5" t="s">
        <v>32</v>
      </c>
      <c r="E3662" s="5" t="s">
        <v>103</v>
      </c>
      <c r="F3662" s="9">
        <v>61</v>
      </c>
      <c r="G3662" s="9">
        <v>639</v>
      </c>
      <c r="H3662" s="5" t="s">
        <v>20</v>
      </c>
      <c r="I3662" s="5" t="s">
        <v>8151</v>
      </c>
      <c r="J3662" s="12" t="str">
        <f>HYPERLINK("https://www.boe.es/gazeta/dias/1806/07/25/pdfs/GMD-1806-61.pdf#page=11","Abrir facsímil")</f>
        <v>Abrir facsímil</v>
      </c>
      <c r="K3662" s="15" t="s">
        <v>22</v>
      </c>
    </row>
    <row r="3663" spans="1:11" ht="42" customHeight="1">
      <c r="A3663" s="4" t="s">
        <v>8152</v>
      </c>
      <c r="B3663" s="5" t="s">
        <v>8152</v>
      </c>
      <c r="C3663" s="5" t="s">
        <v>31</v>
      </c>
      <c r="D3663" s="5" t="s">
        <v>32</v>
      </c>
      <c r="E3663" s="5" t="s">
        <v>494</v>
      </c>
      <c r="F3663" s="9">
        <v>69</v>
      </c>
      <c r="G3663" s="9">
        <v>722</v>
      </c>
      <c r="H3663" s="5" t="s">
        <v>20</v>
      </c>
      <c r="I3663" s="5" t="s">
        <v>8153</v>
      </c>
      <c r="J3663" s="12" t="str">
        <f>HYPERLINK("https://www.boe.es/gazeta/dias/1806/08/22/pdfs/GMD-1806-69.pdf#page=10","Abrir facsímil")</f>
        <v>Abrir facsímil</v>
      </c>
      <c r="K3663" s="15" t="s">
        <v>22</v>
      </c>
    </row>
    <row r="3664" spans="1:11" ht="42" customHeight="1">
      <c r="A3664" s="4" t="s">
        <v>8141</v>
      </c>
      <c r="B3664" s="5" t="s">
        <v>8141</v>
      </c>
      <c r="C3664" s="5" t="s">
        <v>31</v>
      </c>
      <c r="D3664" s="5" t="s">
        <v>32</v>
      </c>
      <c r="E3664" s="5" t="s">
        <v>93</v>
      </c>
      <c r="F3664" s="9">
        <v>72</v>
      </c>
      <c r="G3664" s="9">
        <v>750</v>
      </c>
      <c r="H3664" s="5" t="s">
        <v>20</v>
      </c>
      <c r="I3664" s="5" t="s">
        <v>8154</v>
      </c>
      <c r="J3664" s="12" t="str">
        <f>HYPERLINK("https://www.boe.es/gazeta/dias/1806/09/02/pdfs/GMD-1806-72.pdf#page=10","Abrir facsímil")</f>
        <v>Abrir facsímil</v>
      </c>
      <c r="K3664" s="15" t="s">
        <v>22</v>
      </c>
    </row>
    <row r="3665" spans="1:11" ht="42" customHeight="1">
      <c r="A3665" s="4" t="s">
        <v>8141</v>
      </c>
      <c r="B3665" s="5" t="s">
        <v>8141</v>
      </c>
      <c r="C3665" s="5" t="s">
        <v>31</v>
      </c>
      <c r="D3665" s="5" t="s">
        <v>32</v>
      </c>
      <c r="E3665" s="5" t="s">
        <v>93</v>
      </c>
      <c r="F3665" s="9">
        <v>72</v>
      </c>
      <c r="G3665" s="9">
        <v>751</v>
      </c>
      <c r="H3665" s="5" t="s">
        <v>20</v>
      </c>
      <c r="I3665" s="5" t="s">
        <v>8155</v>
      </c>
      <c r="J3665" s="12" t="str">
        <f>HYPERLINK("https://www.boe.es/gazeta/dias/1806/09/02/pdfs/GMD-1806-72.pdf#page=11","Abrir facsímil")</f>
        <v>Abrir facsímil</v>
      </c>
      <c r="K3665" s="15" t="s">
        <v>22</v>
      </c>
    </row>
    <row r="3666" spans="1:11" ht="42" customHeight="1">
      <c r="A3666" s="4" t="s">
        <v>8141</v>
      </c>
      <c r="B3666" s="5" t="s">
        <v>8141</v>
      </c>
      <c r="C3666" s="5" t="s">
        <v>31</v>
      </c>
      <c r="D3666" s="5" t="s">
        <v>32</v>
      </c>
      <c r="E3666" s="5" t="s">
        <v>144</v>
      </c>
      <c r="F3666" s="9">
        <v>79</v>
      </c>
      <c r="G3666" s="9">
        <v>819</v>
      </c>
      <c r="H3666" s="5" t="s">
        <v>20</v>
      </c>
      <c r="I3666" s="5" t="s">
        <v>8156</v>
      </c>
      <c r="J3666" s="12" t="str">
        <f>HYPERLINK("https://www.boe.es/gazeta/dias/1806/09/26/pdfs/GMD-1806-79.pdf#page=11","Abrir facsímil")</f>
        <v>Abrir facsímil</v>
      </c>
      <c r="K3666" s="15" t="s">
        <v>22</v>
      </c>
    </row>
    <row r="3667" spans="1:11" ht="42" customHeight="1">
      <c r="A3667" s="4" t="s">
        <v>8141</v>
      </c>
      <c r="B3667" s="5" t="s">
        <v>8141</v>
      </c>
      <c r="C3667" s="5" t="s">
        <v>31</v>
      </c>
      <c r="D3667" s="5" t="s">
        <v>32</v>
      </c>
      <c r="E3667" s="5" t="s">
        <v>140</v>
      </c>
      <c r="F3667" s="9">
        <v>83</v>
      </c>
      <c r="G3667" s="9">
        <v>863</v>
      </c>
      <c r="H3667" s="5" t="s">
        <v>20</v>
      </c>
      <c r="I3667" s="5" t="s">
        <v>8157</v>
      </c>
      <c r="J3667" s="12" t="str">
        <f>HYPERLINK("https://www.boe.es/gazeta/dias/1806/10/10/pdfs/GMD-1806-83.pdf#page=11","Abrir facsímil")</f>
        <v>Abrir facsímil</v>
      </c>
      <c r="K3667" s="15" t="s">
        <v>22</v>
      </c>
    </row>
    <row r="3668" spans="1:11" ht="42" customHeight="1">
      <c r="A3668" s="4" t="s">
        <v>8141</v>
      </c>
      <c r="B3668" s="5" t="s">
        <v>8141</v>
      </c>
      <c r="C3668" s="5" t="s">
        <v>31</v>
      </c>
      <c r="D3668" s="5" t="s">
        <v>32</v>
      </c>
      <c r="E3668" s="5" t="s">
        <v>455</v>
      </c>
      <c r="F3668" s="9">
        <v>85</v>
      </c>
      <c r="G3668" s="9">
        <v>883</v>
      </c>
      <c r="H3668" s="5" t="s">
        <v>20</v>
      </c>
      <c r="I3668" s="5" t="s">
        <v>8158</v>
      </c>
      <c r="J3668" s="12" t="str">
        <f>HYPERLINK("https://www.boe.es/gazeta/dias/1806/10/17/pdfs/GMD-1806-85.pdf#page=11","Abrir facsímil")</f>
        <v>Abrir facsímil</v>
      </c>
      <c r="K3668" s="15" t="s">
        <v>22</v>
      </c>
    </row>
    <row r="3669" spans="1:11" ht="42" customHeight="1">
      <c r="A3669" s="4" t="s">
        <v>8141</v>
      </c>
      <c r="B3669" s="5" t="s">
        <v>8141</v>
      </c>
      <c r="C3669" s="5" t="s">
        <v>75</v>
      </c>
      <c r="D3669" s="5" t="s">
        <v>43</v>
      </c>
      <c r="E3669" s="5" t="s">
        <v>816</v>
      </c>
      <c r="F3669" s="9">
        <v>86</v>
      </c>
      <c r="G3669" s="9">
        <v>892</v>
      </c>
      <c r="H3669" s="5" t="s">
        <v>20</v>
      </c>
      <c r="I3669" s="5" t="s">
        <v>8159</v>
      </c>
      <c r="J3669" s="12" t="str">
        <f>HYPERLINK("https://www.boe.es/gazeta/dias/1806/10/21/pdfs/GMD-1806-86.pdf#page=8","Abrir facsímil")</f>
        <v>Abrir facsímil</v>
      </c>
      <c r="K3669" s="15" t="s">
        <v>22</v>
      </c>
    </row>
    <row r="3670" spans="1:11" ht="42" customHeight="1">
      <c r="A3670" s="4" t="s">
        <v>8141</v>
      </c>
      <c r="B3670" s="5" t="s">
        <v>8141</v>
      </c>
      <c r="C3670" s="5" t="s">
        <v>31</v>
      </c>
      <c r="D3670" s="5" t="s">
        <v>32</v>
      </c>
      <c r="E3670" s="5" t="s">
        <v>367</v>
      </c>
      <c r="F3670" s="9">
        <v>87</v>
      </c>
      <c r="G3670" s="9">
        <v>902</v>
      </c>
      <c r="H3670" s="5" t="s">
        <v>20</v>
      </c>
      <c r="I3670" s="5" t="s">
        <v>8160</v>
      </c>
      <c r="J3670" s="12" t="str">
        <f>HYPERLINK("https://www.boe.es/gazeta/dias/1806/10/24/pdfs/GMD-1806-87.pdf#page=10","Abrir facsímil")</f>
        <v>Abrir facsímil</v>
      </c>
      <c r="K3670" s="15" t="s">
        <v>22</v>
      </c>
    </row>
    <row r="3671" spans="1:11" ht="42" customHeight="1">
      <c r="A3671" s="4" t="s">
        <v>8141</v>
      </c>
      <c r="B3671" s="5" t="s">
        <v>8141</v>
      </c>
      <c r="C3671" s="5" t="s">
        <v>31</v>
      </c>
      <c r="D3671" s="5" t="s">
        <v>32</v>
      </c>
      <c r="E3671" s="5" t="s">
        <v>367</v>
      </c>
      <c r="F3671" s="9">
        <v>87</v>
      </c>
      <c r="G3671" s="9">
        <v>903</v>
      </c>
      <c r="H3671" s="5" t="s">
        <v>20</v>
      </c>
      <c r="I3671" s="5" t="s">
        <v>8161</v>
      </c>
      <c r="J3671" s="12" t="str">
        <f>HYPERLINK("https://www.boe.es/gazeta/dias/1806/10/24/pdfs/GMD-1806-87.pdf#page=11","Abrir facsímil")</f>
        <v>Abrir facsímil</v>
      </c>
      <c r="K3671" s="15" t="s">
        <v>22</v>
      </c>
    </row>
    <row r="3672" spans="1:11" ht="42" customHeight="1">
      <c r="A3672" s="4" t="s">
        <v>8141</v>
      </c>
      <c r="B3672" s="5" t="s">
        <v>8141</v>
      </c>
      <c r="C3672" s="5" t="s">
        <v>31</v>
      </c>
      <c r="D3672" s="5" t="s">
        <v>32</v>
      </c>
      <c r="E3672" s="5" t="s">
        <v>680</v>
      </c>
      <c r="F3672" s="9">
        <v>97</v>
      </c>
      <c r="G3672" s="9">
        <v>1032</v>
      </c>
      <c r="H3672" s="5" t="s">
        <v>20</v>
      </c>
      <c r="I3672" s="5" t="s">
        <v>8162</v>
      </c>
      <c r="J3672" s="12" t="str">
        <f>HYPERLINK("https://www.boe.es/gazeta/dias/1806/11/28/pdfs/GMD-1806-97.pdf#page=12","Abrir facsímil")</f>
        <v>Abrir facsímil</v>
      </c>
      <c r="K3672" s="15" t="s">
        <v>22</v>
      </c>
    </row>
    <row r="3673" spans="1:11" ht="42" customHeight="1">
      <c r="A3673" s="4" t="s">
        <v>8141</v>
      </c>
      <c r="B3673" s="5" t="s">
        <v>8141</v>
      </c>
      <c r="C3673" s="5" t="s">
        <v>31</v>
      </c>
      <c r="D3673" s="5" t="s">
        <v>32</v>
      </c>
      <c r="E3673" s="5" t="s">
        <v>165</v>
      </c>
      <c r="F3673" s="9">
        <v>101</v>
      </c>
      <c r="G3673" s="9">
        <v>1075</v>
      </c>
      <c r="H3673" s="5" t="s">
        <v>20</v>
      </c>
      <c r="I3673" s="5" t="s">
        <v>8163</v>
      </c>
      <c r="J3673" s="12" t="str">
        <f>HYPERLINK("https://www.boe.es/gazeta/dias/1806/12/12/pdfs/GMD-1806-101.pdf#page=7","Abrir facsímil")</f>
        <v>Abrir facsímil</v>
      </c>
      <c r="K3673" s="15" t="s">
        <v>22</v>
      </c>
    </row>
    <row r="3674" spans="1:11" ht="42" customHeight="1">
      <c r="A3674" s="4" t="s">
        <v>8164</v>
      </c>
      <c r="B3674" s="5" t="s">
        <v>8164</v>
      </c>
      <c r="C3674" s="5" t="s">
        <v>31</v>
      </c>
      <c r="D3674" s="5" t="s">
        <v>32</v>
      </c>
      <c r="E3674" s="5" t="s">
        <v>82</v>
      </c>
      <c r="F3674" s="9">
        <v>48</v>
      </c>
      <c r="G3674" s="9">
        <v>496</v>
      </c>
      <c r="H3674" s="5" t="s">
        <v>20</v>
      </c>
      <c r="I3674" s="5" t="s">
        <v>8165</v>
      </c>
      <c r="J3674" s="12" t="str">
        <f>HYPERLINK("https://www.boe.es/gazeta/dias/1806/06/10/pdfs/GMD-1806-48.pdf#page=8","Abrir facsímil")</f>
        <v>Abrir facsímil</v>
      </c>
      <c r="K3674" s="15" t="s">
        <v>22</v>
      </c>
    </row>
    <row r="3675" spans="1:11" ht="42" customHeight="1">
      <c r="A3675" s="4" t="s">
        <v>8166</v>
      </c>
      <c r="B3675" s="5" t="s">
        <v>8167</v>
      </c>
      <c r="C3675" s="5" t="s">
        <v>31</v>
      </c>
      <c r="D3675" s="5" t="s">
        <v>32</v>
      </c>
      <c r="E3675" s="5" t="s">
        <v>297</v>
      </c>
      <c r="F3675" s="9">
        <v>94</v>
      </c>
      <c r="G3675" s="9">
        <v>989</v>
      </c>
      <c r="H3675" s="5" t="s">
        <v>20</v>
      </c>
      <c r="I3675" s="5" t="s">
        <v>8168</v>
      </c>
      <c r="J3675" s="12" t="str">
        <f>HYPERLINK("https://www.boe.es/gazeta/dias/1806/11/18/pdfs/GMD-1806-94.pdf#page=9","Abrir facsímil")</f>
        <v>Abrir facsímil</v>
      </c>
      <c r="K3675" s="15" t="s">
        <v>22</v>
      </c>
    </row>
    <row r="3676" spans="1:11" ht="42" customHeight="1">
      <c r="A3676" s="4" t="s">
        <v>8169</v>
      </c>
      <c r="B3676" s="5" t="s">
        <v>8169</v>
      </c>
      <c r="C3676" s="5" t="s">
        <v>17</v>
      </c>
      <c r="D3676" s="5" t="s">
        <v>18</v>
      </c>
      <c r="E3676" s="5" t="s">
        <v>290</v>
      </c>
      <c r="F3676" s="9">
        <v>1</v>
      </c>
      <c r="G3676" s="9">
        <v>11</v>
      </c>
      <c r="H3676" s="5" t="s">
        <v>20</v>
      </c>
      <c r="I3676" s="5" t="s">
        <v>8170</v>
      </c>
      <c r="J3676" s="12" t="str">
        <f>HYPERLINK("https://www.boe.es/gazeta/dias/1806/01/03/pdfs/GMD-1806-1.pdf#page=11","Abrir facsímil")</f>
        <v>Abrir facsímil</v>
      </c>
      <c r="K3676" s="15" t="s">
        <v>22</v>
      </c>
    </row>
    <row r="3677" spans="1:11" ht="42" customHeight="1">
      <c r="A3677" s="4" t="s">
        <v>8171</v>
      </c>
      <c r="B3677" s="5" t="s">
        <v>8171</v>
      </c>
      <c r="C3677" s="5" t="s">
        <v>17</v>
      </c>
      <c r="D3677" s="5" t="s">
        <v>18</v>
      </c>
      <c r="E3677" s="5" t="s">
        <v>238</v>
      </c>
      <c r="F3677" s="9">
        <v>18</v>
      </c>
      <c r="G3677" s="9">
        <v>160</v>
      </c>
      <c r="H3677" s="5" t="s">
        <v>20</v>
      </c>
      <c r="I3677" s="5" t="s">
        <v>8172</v>
      </c>
      <c r="J3677" s="12" t="str">
        <f>HYPERLINK("https://www.boe.es/gazeta/dias/1806/02/25/pdfs/GMD-1806-18.pdf#page=8","Abrir facsímil")</f>
        <v>Abrir facsímil</v>
      </c>
      <c r="K3677" s="15" t="s">
        <v>22</v>
      </c>
    </row>
    <row r="3678" spans="1:11" ht="42" customHeight="1">
      <c r="A3678" s="4" t="s">
        <v>8173</v>
      </c>
      <c r="B3678" s="5" t="s">
        <v>8174</v>
      </c>
      <c r="C3678" s="5" t="s">
        <v>17</v>
      </c>
      <c r="D3678" s="5" t="s">
        <v>18</v>
      </c>
      <c r="E3678" s="5" t="s">
        <v>227</v>
      </c>
      <c r="F3678" s="9">
        <v>27</v>
      </c>
      <c r="G3678" s="9">
        <v>272</v>
      </c>
      <c r="H3678" s="5" t="s">
        <v>20</v>
      </c>
      <c r="I3678" s="5" t="s">
        <v>8175</v>
      </c>
      <c r="J3678" s="12" t="str">
        <f>HYPERLINK("https://www.boe.es/gazeta/dias/1806/03/28/pdfs/GMD-1806-27.pdf#page=12","Abrir facsímil")</f>
        <v>Abrir facsímil</v>
      </c>
      <c r="K3678" s="15" t="s">
        <v>22</v>
      </c>
    </row>
    <row r="3679" spans="1:11" ht="42" customHeight="1">
      <c r="A3679" s="4" t="s">
        <v>8176</v>
      </c>
      <c r="B3679" s="5" t="s">
        <v>8176</v>
      </c>
      <c r="C3679" s="5" t="s">
        <v>31</v>
      </c>
      <c r="D3679" s="5" t="s">
        <v>32</v>
      </c>
      <c r="E3679" s="5" t="s">
        <v>438</v>
      </c>
      <c r="F3679" s="9">
        <v>70</v>
      </c>
      <c r="G3679" s="9">
        <v>730</v>
      </c>
      <c r="H3679" s="5" t="s">
        <v>20</v>
      </c>
      <c r="I3679" s="5" t="s">
        <v>8177</v>
      </c>
      <c r="J3679" s="12" t="str">
        <f>HYPERLINK("https://www.boe.es/gazeta/dias/1806/08/26/pdfs/GMD-1806-70.pdf#page=6","Abrir facsímil")</f>
        <v>Abrir facsímil</v>
      </c>
      <c r="K3679" s="15" t="s">
        <v>22</v>
      </c>
    </row>
    <row r="3680" spans="1:11" ht="42" customHeight="1">
      <c r="A3680" s="4" t="s">
        <v>8178</v>
      </c>
      <c r="B3680" s="5" t="s">
        <v>8178</v>
      </c>
      <c r="C3680" s="5" t="s">
        <v>31</v>
      </c>
      <c r="D3680" s="5" t="s">
        <v>32</v>
      </c>
      <c r="E3680" s="5" t="s">
        <v>231</v>
      </c>
      <c r="F3680" s="9">
        <v>89</v>
      </c>
      <c r="G3680" s="9">
        <v>923</v>
      </c>
      <c r="H3680" s="5" t="s">
        <v>20</v>
      </c>
      <c r="I3680" s="5" t="s">
        <v>8179</v>
      </c>
      <c r="J3680" s="12" t="str">
        <f>HYPERLINK("https://www.boe.es/gazeta/dias/1806/10/31/pdfs/GMD-1806-89.pdf#page=11","Abrir facsímil")</f>
        <v>Abrir facsímil</v>
      </c>
      <c r="K3680" s="15" t="s">
        <v>22</v>
      </c>
    </row>
    <row r="3681" spans="1:11" ht="42" customHeight="1">
      <c r="A3681" s="4" t="s">
        <v>8180</v>
      </c>
      <c r="B3681" s="5" t="s">
        <v>8181</v>
      </c>
      <c r="C3681" s="5" t="s">
        <v>69</v>
      </c>
      <c r="D3681" s="5" t="s">
        <v>70</v>
      </c>
      <c r="E3681" s="5" t="s">
        <v>38</v>
      </c>
      <c r="F3681" s="9">
        <v>92</v>
      </c>
      <c r="G3681" s="9">
        <v>959</v>
      </c>
      <c r="H3681" s="5" t="s">
        <v>20</v>
      </c>
      <c r="I3681" s="5" t="s">
        <v>8182</v>
      </c>
      <c r="J3681" s="12" t="str">
        <f>HYPERLINK("https://www.boe.es/gazeta/dias/1806/11/11/pdfs/GMD-1806-92.pdf#page=11","Abrir facsímil")</f>
        <v>Abrir facsímil</v>
      </c>
      <c r="K3681" s="15" t="s">
        <v>22</v>
      </c>
    </row>
    <row r="3682" spans="1:11" ht="42" customHeight="1">
      <c r="A3682" s="4" t="s">
        <v>8180</v>
      </c>
      <c r="B3682" s="5" t="s">
        <v>8181</v>
      </c>
      <c r="C3682" s="5" t="s">
        <v>69</v>
      </c>
      <c r="D3682" s="5" t="s">
        <v>70</v>
      </c>
      <c r="E3682" s="5" t="s">
        <v>165</v>
      </c>
      <c r="F3682" s="9">
        <v>101</v>
      </c>
      <c r="G3682" s="9">
        <v>1069</v>
      </c>
      <c r="H3682" s="5" t="s">
        <v>20</v>
      </c>
      <c r="I3682" s="5" t="s">
        <v>8183</v>
      </c>
      <c r="J3682" s="12" t="str">
        <f>HYPERLINK("https://www.boe.es/gazeta/dias/1806/12/12/pdfs/GMD-1806-101.pdf#page=1","Abrir facsímil")</f>
        <v>Abrir facsímil</v>
      </c>
      <c r="K3682" s="15" t="s">
        <v>22</v>
      </c>
    </row>
    <row r="3683" spans="1:11" ht="42" customHeight="1">
      <c r="A3683" s="4" t="s">
        <v>8180</v>
      </c>
      <c r="B3683" s="5" t="s">
        <v>8181</v>
      </c>
      <c r="C3683" s="5" t="s">
        <v>42</v>
      </c>
      <c r="D3683" s="5" t="s">
        <v>43</v>
      </c>
      <c r="E3683" s="5" t="s">
        <v>327</v>
      </c>
      <c r="F3683" s="9">
        <v>104</v>
      </c>
      <c r="G3683" s="9">
        <v>1103</v>
      </c>
      <c r="H3683" s="5" t="s">
        <v>20</v>
      </c>
      <c r="I3683" s="5" t="s">
        <v>8184</v>
      </c>
      <c r="J3683" s="12" t="str">
        <f>HYPERLINK("https://www.boe.es/gazeta/dias/1806/12/23/pdfs/GMD-1806-104.pdf#page=3","Abrir facsímil")</f>
        <v>Abrir facsímil</v>
      </c>
      <c r="K3683" s="15" t="s">
        <v>22</v>
      </c>
    </row>
    <row r="3684" spans="1:11" ht="42" customHeight="1">
      <c r="A3684" s="4" t="s">
        <v>8185</v>
      </c>
      <c r="B3684" s="5" t="s">
        <v>8185</v>
      </c>
      <c r="C3684" s="5" t="s">
        <v>69</v>
      </c>
      <c r="D3684" s="5" t="s">
        <v>70</v>
      </c>
      <c r="E3684" s="5" t="s">
        <v>79</v>
      </c>
      <c r="F3684" s="9">
        <v>68</v>
      </c>
      <c r="G3684" s="9">
        <v>706</v>
      </c>
      <c r="H3684" s="5" t="s">
        <v>20</v>
      </c>
      <c r="I3684" s="5" t="s">
        <v>8186</v>
      </c>
      <c r="J3684" s="12" t="str">
        <f>HYPERLINK("https://www.boe.es/gazeta/dias/1806/08/19/pdfs/GMD-1806-68.pdf#page=2","Abrir facsímil")</f>
        <v>Abrir facsímil</v>
      </c>
      <c r="K3684" s="15" t="s">
        <v>22</v>
      </c>
    </row>
    <row r="3685" spans="1:11" ht="42" customHeight="1">
      <c r="A3685" s="4" t="s">
        <v>8187</v>
      </c>
      <c r="B3685" s="5" t="s">
        <v>8187</v>
      </c>
      <c r="C3685" s="5" t="s">
        <v>17</v>
      </c>
      <c r="D3685" s="5" t="s">
        <v>18</v>
      </c>
      <c r="E3685" s="5" t="s">
        <v>213</v>
      </c>
      <c r="F3685" s="9">
        <v>73</v>
      </c>
      <c r="G3685" s="9">
        <v>756</v>
      </c>
      <c r="H3685" s="5" t="s">
        <v>20</v>
      </c>
      <c r="I3685" s="5" t="s">
        <v>8188</v>
      </c>
      <c r="J3685" s="12" t="str">
        <f>HYPERLINK("https://www.boe.es/gazeta/dias/1806/09/05/pdfs/GMD-1806-73.pdf#page=4","Abrir facsímil")</f>
        <v>Abrir facsímil</v>
      </c>
      <c r="K3685" s="15" t="s">
        <v>22</v>
      </c>
    </row>
    <row r="3686" spans="1:11" ht="42" customHeight="1">
      <c r="A3686" s="4" t="s">
        <v>8189</v>
      </c>
      <c r="B3686" s="5" t="s">
        <v>8190</v>
      </c>
      <c r="C3686" s="5" t="s">
        <v>69</v>
      </c>
      <c r="D3686" s="5" t="s">
        <v>70</v>
      </c>
      <c r="E3686" s="5" t="s">
        <v>259</v>
      </c>
      <c r="F3686" s="9">
        <v>34</v>
      </c>
      <c r="G3686" s="9">
        <v>333</v>
      </c>
      <c r="H3686" s="5" t="s">
        <v>20</v>
      </c>
      <c r="I3686" s="5" t="s">
        <v>8191</v>
      </c>
      <c r="J3686" s="12" t="str">
        <f>HYPERLINK("https://www.boe.es/gazeta/dias/1806/04/22/pdfs/GMD-1806-34.pdf#page=5","Abrir facsímil")</f>
        <v>Abrir facsímil</v>
      </c>
      <c r="K3686" s="15" t="s">
        <v>22</v>
      </c>
    </row>
    <row r="3687" spans="1:11" ht="42" customHeight="1">
      <c r="A3687" s="4" t="s">
        <v>8192</v>
      </c>
      <c r="B3687" s="5" t="s">
        <v>8192</v>
      </c>
      <c r="C3687" s="5" t="s">
        <v>75</v>
      </c>
      <c r="D3687" s="5" t="s">
        <v>43</v>
      </c>
      <c r="E3687" s="5" t="s">
        <v>837</v>
      </c>
      <c r="F3687" s="9">
        <v>26</v>
      </c>
      <c r="G3687" s="9">
        <v>250</v>
      </c>
      <c r="H3687" s="5" t="s">
        <v>20</v>
      </c>
      <c r="I3687" s="5" t="s">
        <v>8193</v>
      </c>
      <c r="J3687" s="12" t="str">
        <f>HYPERLINK("https://www.boe.es/gazeta/dias/1806/03/25/pdfs/GMD-1806-26.pdf#page=2","Abrir facsímil")</f>
        <v>Abrir facsímil</v>
      </c>
      <c r="K3687" s="15" t="s">
        <v>22</v>
      </c>
    </row>
    <row r="3688" spans="1:11" ht="42" customHeight="1">
      <c r="A3688" s="4" t="s">
        <v>8194</v>
      </c>
      <c r="B3688" s="5" t="s">
        <v>8194</v>
      </c>
      <c r="C3688" s="5" t="s">
        <v>69</v>
      </c>
      <c r="D3688" s="5" t="s">
        <v>70</v>
      </c>
      <c r="E3688" s="5" t="s">
        <v>71</v>
      </c>
      <c r="F3688" s="9">
        <v>29</v>
      </c>
      <c r="G3688" s="9">
        <v>281</v>
      </c>
      <c r="H3688" s="5" t="s">
        <v>20</v>
      </c>
      <c r="I3688" s="5" t="s">
        <v>8195</v>
      </c>
      <c r="J3688" s="12" t="str">
        <f>HYPERLINK("https://www.boe.es/gazeta/dias/1806/04/04/pdfs/GMD-1806-29.pdf#page=1","Abrir facsímil")</f>
        <v>Abrir facsímil</v>
      </c>
      <c r="K3688" s="15" t="s">
        <v>22</v>
      </c>
    </row>
    <row r="3689" spans="1:11" ht="42" customHeight="1">
      <c r="A3689" s="4" t="s">
        <v>8194</v>
      </c>
      <c r="B3689" s="5" t="s">
        <v>8194</v>
      </c>
      <c r="C3689" s="5" t="s">
        <v>42</v>
      </c>
      <c r="D3689" s="5" t="s">
        <v>43</v>
      </c>
      <c r="E3689" s="5" t="s">
        <v>279</v>
      </c>
      <c r="F3689" s="9">
        <v>52</v>
      </c>
      <c r="G3689" s="9">
        <v>533</v>
      </c>
      <c r="H3689" s="5" t="s">
        <v>20</v>
      </c>
      <c r="I3689" s="5" t="s">
        <v>8196</v>
      </c>
      <c r="J3689" s="12" t="str">
        <f>HYPERLINK("https://www.boe.es/gazeta/dias/1806/06/24/pdfs/GMD-1806-52.pdf#page=1","Abrir facsímil")</f>
        <v>Abrir facsímil</v>
      </c>
      <c r="K3689" s="15" t="s">
        <v>22</v>
      </c>
    </row>
    <row r="3690" spans="1:11" ht="42" customHeight="1">
      <c r="A3690" s="4" t="s">
        <v>8194</v>
      </c>
      <c r="B3690" s="5" t="s">
        <v>8194</v>
      </c>
      <c r="C3690" s="5" t="s">
        <v>31</v>
      </c>
      <c r="D3690" s="5" t="s">
        <v>32</v>
      </c>
      <c r="E3690" s="5" t="s">
        <v>494</v>
      </c>
      <c r="F3690" s="9">
        <v>69</v>
      </c>
      <c r="G3690" s="9">
        <v>720</v>
      </c>
      <c r="H3690" s="5" t="s">
        <v>20</v>
      </c>
      <c r="I3690" s="5" t="s">
        <v>8197</v>
      </c>
      <c r="J3690" s="12" t="str">
        <f>HYPERLINK("https://www.boe.es/gazeta/dias/1806/08/22/pdfs/GMD-1806-69.pdf#page=8","Abrir facsímil")</f>
        <v>Abrir facsímil</v>
      </c>
      <c r="K3690" s="15" t="s">
        <v>22</v>
      </c>
    </row>
    <row r="3691" spans="1:11" ht="42" customHeight="1">
      <c r="A3691" s="4" t="s">
        <v>8194</v>
      </c>
      <c r="B3691" s="5" t="s">
        <v>8194</v>
      </c>
      <c r="C3691" s="5" t="s">
        <v>69</v>
      </c>
      <c r="D3691" s="5" t="s">
        <v>70</v>
      </c>
      <c r="E3691" s="5" t="s">
        <v>231</v>
      </c>
      <c r="F3691" s="9">
        <v>89</v>
      </c>
      <c r="G3691" s="9">
        <v>917</v>
      </c>
      <c r="H3691" s="5" t="s">
        <v>20</v>
      </c>
      <c r="I3691" s="5" t="s">
        <v>8198</v>
      </c>
      <c r="J3691" s="12" t="str">
        <f>HYPERLINK("https://www.boe.es/gazeta/dias/1806/10/31/pdfs/GMD-1806-89.pdf#page=5","Abrir facsímil")</f>
        <v>Abrir facsímil</v>
      </c>
      <c r="K3691" s="15" t="s">
        <v>22</v>
      </c>
    </row>
    <row r="3692" spans="1:11" ht="42" customHeight="1">
      <c r="A3692" s="4" t="s">
        <v>8199</v>
      </c>
      <c r="B3692" s="5" t="s">
        <v>8199</v>
      </c>
      <c r="C3692" s="5" t="s">
        <v>17</v>
      </c>
      <c r="D3692" s="5" t="s">
        <v>18</v>
      </c>
      <c r="E3692" s="5" t="s">
        <v>1080</v>
      </c>
      <c r="F3692" s="9">
        <v>49</v>
      </c>
      <c r="G3692" s="9">
        <v>505</v>
      </c>
      <c r="H3692" s="5" t="s">
        <v>20</v>
      </c>
      <c r="I3692" s="5" t="s">
        <v>8200</v>
      </c>
      <c r="J3692" s="12" t="str">
        <f>HYPERLINK("https://www.boe.es/gazeta/dias/1806/06/13/pdfs/GMD-1806-49.pdf#page=5","Abrir facsímil")</f>
        <v>Abrir facsímil</v>
      </c>
      <c r="K3692" s="15" t="s">
        <v>22</v>
      </c>
    </row>
    <row r="3693" spans="1:11" ht="42" customHeight="1">
      <c r="A3693" s="4" t="s">
        <v>8201</v>
      </c>
      <c r="B3693" s="5" t="s">
        <v>8202</v>
      </c>
      <c r="C3693" s="5" t="s">
        <v>69</v>
      </c>
      <c r="D3693" s="5" t="s">
        <v>70</v>
      </c>
      <c r="E3693" s="5" t="s">
        <v>570</v>
      </c>
      <c r="F3693" s="9">
        <v>93</v>
      </c>
      <c r="G3693" s="9">
        <v>972</v>
      </c>
      <c r="H3693" s="5" t="s">
        <v>20</v>
      </c>
      <c r="I3693" s="5" t="s">
        <v>8203</v>
      </c>
      <c r="J3693" s="12" t="str">
        <f>HYPERLINK("https://www.boe.es/gazeta/dias/1806/11/14/pdfs/GMD-1806-93.pdf#page=8","Abrir facsímil")</f>
        <v>Abrir facsímil</v>
      </c>
      <c r="K3693" s="15" t="s">
        <v>22</v>
      </c>
    </row>
    <row r="3694" spans="1:11" ht="42" customHeight="1">
      <c r="A3694" s="4" t="s">
        <v>8204</v>
      </c>
      <c r="B3694" s="5" t="s">
        <v>8205</v>
      </c>
      <c r="C3694" s="5" t="s">
        <v>69</v>
      </c>
      <c r="D3694" s="5" t="s">
        <v>70</v>
      </c>
      <c r="E3694" s="5" t="s">
        <v>161</v>
      </c>
      <c r="F3694" s="9">
        <v>11</v>
      </c>
      <c r="G3694" s="9">
        <v>94</v>
      </c>
      <c r="H3694" s="5" t="s">
        <v>20</v>
      </c>
      <c r="I3694" s="5" t="s">
        <v>8206</v>
      </c>
      <c r="J3694" s="12" t="str">
        <f>HYPERLINK("https://www.boe.es/gazeta/dias/1806/01/31/pdfs/GMD-1806-11.pdf#page=2","Abrir facsímil")</f>
        <v>Abrir facsímil</v>
      </c>
      <c r="K3694" s="15" t="s">
        <v>22</v>
      </c>
    </row>
    <row r="3695" spans="1:11" ht="42" customHeight="1">
      <c r="A3695" s="4" t="s">
        <v>8207</v>
      </c>
      <c r="B3695" s="5" t="s">
        <v>8208</v>
      </c>
      <c r="C3695" s="5" t="s">
        <v>69</v>
      </c>
      <c r="D3695" s="5" t="s">
        <v>70</v>
      </c>
      <c r="E3695" s="5" t="s">
        <v>148</v>
      </c>
      <c r="F3695" s="9">
        <v>78</v>
      </c>
      <c r="G3695" s="9">
        <v>800</v>
      </c>
      <c r="H3695" s="5" t="s">
        <v>20</v>
      </c>
      <c r="I3695" s="5" t="s">
        <v>8209</v>
      </c>
      <c r="J3695" s="12" t="str">
        <f>HYPERLINK("https://www.boe.es/gazeta/dias/1806/09/23/pdfs/GMD-1806-78.pdf#page=4","Abrir facsímil")</f>
        <v>Abrir facsímil</v>
      </c>
      <c r="K3695" s="15" t="s">
        <v>22</v>
      </c>
    </row>
    <row r="3696" spans="1:11" ht="42" customHeight="1">
      <c r="A3696" s="4" t="s">
        <v>8207</v>
      </c>
      <c r="B3696" s="5" t="s">
        <v>8208</v>
      </c>
      <c r="C3696" s="5" t="s">
        <v>69</v>
      </c>
      <c r="D3696" s="5" t="s">
        <v>70</v>
      </c>
      <c r="E3696" s="5" t="s">
        <v>405</v>
      </c>
      <c r="F3696" s="9">
        <v>80</v>
      </c>
      <c r="G3696" s="9">
        <v>824</v>
      </c>
      <c r="H3696" s="5" t="s">
        <v>20</v>
      </c>
      <c r="I3696" s="5" t="s">
        <v>8210</v>
      </c>
      <c r="J3696" s="12" t="str">
        <f>HYPERLINK("https://www.boe.es/gazeta/dias/1806/09/30/pdfs/GMD-1806-80.pdf#page=4","Abrir facsímil")</f>
        <v>Abrir facsímil</v>
      </c>
      <c r="K3696" s="15" t="s">
        <v>22</v>
      </c>
    </row>
    <row r="3697" spans="1:11" ht="42" customHeight="1">
      <c r="A3697" s="4" t="s">
        <v>8207</v>
      </c>
      <c r="B3697" s="5" t="s">
        <v>8208</v>
      </c>
      <c r="C3697" s="5" t="s">
        <v>69</v>
      </c>
      <c r="D3697" s="5" t="s">
        <v>70</v>
      </c>
      <c r="E3697" s="5" t="s">
        <v>348</v>
      </c>
      <c r="F3697" s="9">
        <v>88</v>
      </c>
      <c r="G3697" s="9">
        <v>908</v>
      </c>
      <c r="H3697" s="5" t="s">
        <v>20</v>
      </c>
      <c r="I3697" s="5" t="s">
        <v>8211</v>
      </c>
      <c r="J3697" s="12" t="str">
        <f>HYPERLINK("https://www.boe.es/gazeta/dias/1806/10/28/pdfs/GMD-1806-88.pdf#page=4","Abrir facsímil")</f>
        <v>Abrir facsímil</v>
      </c>
      <c r="K3697" s="15" t="s">
        <v>22</v>
      </c>
    </row>
    <row r="3698" spans="1:11" ht="42" customHeight="1">
      <c r="A3698" s="4" t="s">
        <v>8212</v>
      </c>
      <c r="B3698" s="5" t="s">
        <v>8213</v>
      </c>
      <c r="C3698" s="5" t="s">
        <v>69</v>
      </c>
      <c r="D3698" s="5" t="s">
        <v>70</v>
      </c>
      <c r="E3698" s="5" t="s">
        <v>661</v>
      </c>
      <c r="F3698" s="9">
        <v>38</v>
      </c>
      <c r="G3698" s="9">
        <v>367</v>
      </c>
      <c r="H3698" s="5" t="s">
        <v>20</v>
      </c>
      <c r="I3698" s="5" t="s">
        <v>8214</v>
      </c>
      <c r="J3698" s="12" t="str">
        <f>HYPERLINK("https://www.boe.es/gazeta/dias/1806/05/06/pdfs/GMD-1806-38.pdf#page=3","Abrir facsímil")</f>
        <v>Abrir facsímil</v>
      </c>
      <c r="K3698" s="15" t="s">
        <v>22</v>
      </c>
    </row>
    <row r="3699" spans="1:11" ht="42" customHeight="1">
      <c r="A3699" s="4" t="s">
        <v>8215</v>
      </c>
      <c r="B3699" s="5" t="s">
        <v>8216</v>
      </c>
      <c r="C3699" s="5" t="s">
        <v>42</v>
      </c>
      <c r="D3699" s="5" t="s">
        <v>43</v>
      </c>
      <c r="E3699" s="5" t="s">
        <v>175</v>
      </c>
      <c r="F3699" s="9">
        <v>40</v>
      </c>
      <c r="G3699" s="9">
        <v>394</v>
      </c>
      <c r="H3699" s="5" t="s">
        <v>20</v>
      </c>
      <c r="I3699" s="5" t="s">
        <v>8217</v>
      </c>
      <c r="J3699" s="12" t="str">
        <f>HYPERLINK("https://www.boe.es/gazeta/dias/1806/05/13/pdfs/GMD-1806-40.pdf#page=6","Abrir facsímil")</f>
        <v>Abrir facsímil</v>
      </c>
      <c r="K3699" s="15" t="s">
        <v>22</v>
      </c>
    </row>
    <row r="3700" spans="1:11" ht="42" customHeight="1">
      <c r="A3700" s="4" t="s">
        <v>8218</v>
      </c>
      <c r="B3700" s="5" t="s">
        <v>8218</v>
      </c>
      <c r="C3700" s="5" t="s">
        <v>17</v>
      </c>
      <c r="D3700" s="5" t="s">
        <v>18</v>
      </c>
      <c r="E3700" s="5" t="s">
        <v>24</v>
      </c>
      <c r="F3700" s="9">
        <v>32</v>
      </c>
      <c r="G3700" s="9">
        <v>315</v>
      </c>
      <c r="H3700" s="5" t="s">
        <v>20</v>
      </c>
      <c r="I3700" s="5" t="s">
        <v>8219</v>
      </c>
      <c r="J3700" s="12" t="str">
        <f>HYPERLINK("https://www.boe.es/gazeta/dias/1806/04/15/pdfs/GMD-1806-32.pdf#page=7","Abrir facsímil")</f>
        <v>Abrir facsímil</v>
      </c>
      <c r="K3700" s="15" t="s">
        <v>22</v>
      </c>
    </row>
    <row r="3701" spans="1:11" ht="42" customHeight="1">
      <c r="A3701" s="4" t="s">
        <v>8220</v>
      </c>
      <c r="B3701" s="5" t="s">
        <v>8221</v>
      </c>
      <c r="C3701" s="5" t="s">
        <v>31</v>
      </c>
      <c r="D3701" s="5" t="s">
        <v>32</v>
      </c>
      <c r="E3701" s="5" t="s">
        <v>304</v>
      </c>
      <c r="F3701" s="9">
        <v>47</v>
      </c>
      <c r="G3701" s="9">
        <v>483</v>
      </c>
      <c r="H3701" s="5" t="s">
        <v>20</v>
      </c>
      <c r="I3701" s="5" t="s">
        <v>8222</v>
      </c>
      <c r="J3701" s="12" t="str">
        <f>HYPERLINK("https://www.boe.es/gazeta/dias/1806/06/06/pdfs/GMD-C-1806-47.pdf#page=3","Abrir facsímil")</f>
        <v>Abrir facsímil</v>
      </c>
      <c r="K3701" s="15" t="s">
        <v>22</v>
      </c>
    </row>
    <row r="3702" spans="1:11" ht="42" customHeight="1">
      <c r="A3702" s="4" t="s">
        <v>8223</v>
      </c>
      <c r="B3702" s="5" t="s">
        <v>8224</v>
      </c>
      <c r="C3702" s="5" t="s">
        <v>31</v>
      </c>
      <c r="D3702" s="5" t="s">
        <v>32</v>
      </c>
      <c r="E3702" s="5" t="s">
        <v>285</v>
      </c>
      <c r="F3702" s="9">
        <v>13</v>
      </c>
      <c r="G3702" s="9">
        <v>112</v>
      </c>
      <c r="H3702" s="5" t="s">
        <v>20</v>
      </c>
      <c r="I3702" s="5" t="s">
        <v>8225</v>
      </c>
      <c r="J3702" s="12" t="str">
        <f>HYPERLINK("https://www.boe.es/gazeta/dias/1806/02/07/pdfs/GMD-1806-13.pdf#page=4","Abrir facsímil")</f>
        <v>Abrir facsímil</v>
      </c>
      <c r="K3702" s="15" t="s">
        <v>22</v>
      </c>
    </row>
    <row r="3703" spans="1:11" ht="42" customHeight="1">
      <c r="A3703" s="4" t="s">
        <v>8226</v>
      </c>
      <c r="B3703" s="5" t="s">
        <v>8227</v>
      </c>
      <c r="C3703" s="5" t="s">
        <v>17</v>
      </c>
      <c r="D3703" s="5" t="s">
        <v>18</v>
      </c>
      <c r="E3703" s="5" t="s">
        <v>76</v>
      </c>
      <c r="F3703" s="9">
        <v>98</v>
      </c>
      <c r="G3703" s="9">
        <v>1040</v>
      </c>
      <c r="H3703" s="5" t="s">
        <v>20</v>
      </c>
      <c r="I3703" s="5" t="s">
        <v>8228</v>
      </c>
      <c r="J3703" s="12" t="str">
        <f>HYPERLINK("https://www.boe.es/gazeta/dias/1806/12/02/pdfs/GMD-1806-98.pdf#page=8","Abrir facsímil")</f>
        <v>Abrir facsímil</v>
      </c>
      <c r="K3703" s="15" t="s">
        <v>22</v>
      </c>
    </row>
    <row r="3704" spans="1:11" ht="42" customHeight="1">
      <c r="A3704" s="4" t="s">
        <v>8229</v>
      </c>
      <c r="B3704" s="5" t="s">
        <v>8230</v>
      </c>
      <c r="C3704" s="5" t="s">
        <v>69</v>
      </c>
      <c r="D3704" s="5" t="s">
        <v>70</v>
      </c>
      <c r="E3704" s="5" t="s">
        <v>1031</v>
      </c>
      <c r="F3704" s="9">
        <v>107</v>
      </c>
      <c r="G3704" s="9">
        <v>1126</v>
      </c>
      <c r="H3704" s="5" t="s">
        <v>20</v>
      </c>
      <c r="I3704" s="5" t="s">
        <v>8231</v>
      </c>
      <c r="J3704" s="12" t="str">
        <f>HYPERLINK("https://www.boe.es/gazeta/dias/1806/12/30/pdfs/GMD-1806-107.pdf#page=2","Abrir facsímil")</f>
        <v>Abrir facsímil</v>
      </c>
      <c r="K3704" s="15" t="s">
        <v>22</v>
      </c>
    </row>
    <row r="3705" spans="1:11" ht="42" customHeight="1">
      <c r="A3705" s="4" t="s">
        <v>8232</v>
      </c>
      <c r="B3705" s="5" t="s">
        <v>8233</v>
      </c>
      <c r="C3705" s="5" t="s">
        <v>69</v>
      </c>
      <c r="D3705" s="5" t="s">
        <v>70</v>
      </c>
      <c r="E3705" s="5" t="s">
        <v>188</v>
      </c>
      <c r="F3705" s="9">
        <v>2</v>
      </c>
      <c r="G3705" s="9">
        <v>15</v>
      </c>
      <c r="H3705" s="5" t="s">
        <v>20</v>
      </c>
      <c r="I3705" s="5" t="s">
        <v>8234</v>
      </c>
      <c r="J3705" s="12" t="str">
        <f>HYPERLINK("https://www.boe.es/gazeta/dias/1806/01/07/pdfs/GMD-1806-2.pdf#page=3","Abrir facsímil")</f>
        <v>Abrir facsímil</v>
      </c>
      <c r="K3705" s="15" t="s">
        <v>22</v>
      </c>
    </row>
    <row r="3706" spans="1:11" ht="42" customHeight="1">
      <c r="A3706" s="4" t="s">
        <v>8232</v>
      </c>
      <c r="B3706" s="5" t="s">
        <v>8233</v>
      </c>
      <c r="C3706" s="5" t="s">
        <v>69</v>
      </c>
      <c r="D3706" s="5" t="s">
        <v>70</v>
      </c>
      <c r="E3706" s="5" t="s">
        <v>363</v>
      </c>
      <c r="F3706" s="9">
        <v>8</v>
      </c>
      <c r="G3706" s="9">
        <v>72</v>
      </c>
      <c r="H3706" s="5" t="s">
        <v>20</v>
      </c>
      <c r="I3706" s="5" t="s">
        <v>8235</v>
      </c>
      <c r="J3706" s="12" t="str">
        <f>HYPERLINK("https://www.boe.es/gazeta/dias/1806/01/24/pdfs/GMD-1806-8.pdf#page=4","Abrir facsímil")</f>
        <v>Abrir facsímil</v>
      </c>
      <c r="K3706" s="15" t="s">
        <v>22</v>
      </c>
    </row>
    <row r="3707" spans="1:11" ht="42" customHeight="1">
      <c r="A3707" s="4" t="s">
        <v>8232</v>
      </c>
      <c r="B3707" s="5" t="s">
        <v>8233</v>
      </c>
      <c r="C3707" s="5" t="s">
        <v>69</v>
      </c>
      <c r="D3707" s="5" t="s">
        <v>70</v>
      </c>
      <c r="E3707" s="5" t="s">
        <v>430</v>
      </c>
      <c r="F3707" s="9">
        <v>12</v>
      </c>
      <c r="G3707" s="9">
        <v>105</v>
      </c>
      <c r="H3707" s="5" t="s">
        <v>20</v>
      </c>
      <c r="I3707" s="5" t="s">
        <v>8236</v>
      </c>
      <c r="J3707" s="12" t="str">
        <f>HYPERLINK("https://www.boe.es/gazeta/dias/1806/02/04/pdfs/GMD-1806-12.pdf#page=5","Abrir facsímil")</f>
        <v>Abrir facsímil</v>
      </c>
      <c r="K3707" s="15" t="s">
        <v>22</v>
      </c>
    </row>
    <row r="3708" spans="1:11" ht="42" customHeight="1">
      <c r="A3708" s="4" t="s">
        <v>8232</v>
      </c>
      <c r="B3708" s="5" t="s">
        <v>8233</v>
      </c>
      <c r="C3708" s="5" t="s">
        <v>69</v>
      </c>
      <c r="D3708" s="5" t="s">
        <v>70</v>
      </c>
      <c r="E3708" s="5" t="s">
        <v>285</v>
      </c>
      <c r="F3708" s="9">
        <v>13</v>
      </c>
      <c r="G3708" s="9">
        <v>111</v>
      </c>
      <c r="H3708" s="5" t="s">
        <v>20</v>
      </c>
      <c r="I3708" s="5" t="s">
        <v>8237</v>
      </c>
      <c r="J3708" s="12" t="str">
        <f>HYPERLINK("https://www.boe.es/gazeta/dias/1806/02/07/pdfs/GMD-1806-13.pdf#page=3","Abrir facsímil")</f>
        <v>Abrir facsímil</v>
      </c>
      <c r="K3708" s="15" t="s">
        <v>22</v>
      </c>
    </row>
    <row r="3709" spans="1:11" ht="42" customHeight="1">
      <c r="A3709" s="4" t="s">
        <v>8232</v>
      </c>
      <c r="B3709" s="5" t="s">
        <v>8233</v>
      </c>
      <c r="C3709" s="5" t="s">
        <v>69</v>
      </c>
      <c r="D3709" s="5" t="s">
        <v>70</v>
      </c>
      <c r="E3709" s="5" t="s">
        <v>24</v>
      </c>
      <c r="F3709" s="9">
        <v>32</v>
      </c>
      <c r="G3709" s="9">
        <v>312</v>
      </c>
      <c r="H3709" s="5" t="s">
        <v>20</v>
      </c>
      <c r="I3709" s="5" t="s">
        <v>8238</v>
      </c>
      <c r="J3709" s="12" t="str">
        <f>HYPERLINK("https://www.boe.es/gazeta/dias/1806/04/15/pdfs/GMD-1806-32.pdf#page=4","Abrir facsímil")</f>
        <v>Abrir facsímil</v>
      </c>
      <c r="K3709" s="15" t="s">
        <v>22</v>
      </c>
    </row>
    <row r="3710" spans="1:11" ht="42" customHeight="1">
      <c r="A3710" s="4" t="s">
        <v>8232</v>
      </c>
      <c r="B3710" s="5" t="s">
        <v>8233</v>
      </c>
      <c r="C3710" s="5" t="s">
        <v>69</v>
      </c>
      <c r="D3710" s="5" t="s">
        <v>70</v>
      </c>
      <c r="E3710" s="5" t="s">
        <v>501</v>
      </c>
      <c r="F3710" s="9">
        <v>39</v>
      </c>
      <c r="G3710" s="9">
        <v>380</v>
      </c>
      <c r="H3710" s="5" t="s">
        <v>20</v>
      </c>
      <c r="I3710" s="5" t="s">
        <v>8239</v>
      </c>
      <c r="J3710" s="12" t="str">
        <f>HYPERLINK("https://www.boe.es/gazeta/dias/1806/05/09/pdfs/GMD-1806-39.pdf#page=4","Abrir facsímil")</f>
        <v>Abrir facsímil</v>
      </c>
      <c r="K3710" s="15" t="s">
        <v>22</v>
      </c>
    </row>
    <row r="3711" spans="1:11" ht="42" customHeight="1">
      <c r="A3711" s="4" t="s">
        <v>8232</v>
      </c>
      <c r="B3711" s="5" t="s">
        <v>8233</v>
      </c>
      <c r="C3711" s="5" t="s">
        <v>69</v>
      </c>
      <c r="D3711" s="5" t="s">
        <v>70</v>
      </c>
      <c r="E3711" s="5" t="s">
        <v>304</v>
      </c>
      <c r="F3711" s="9">
        <v>47</v>
      </c>
      <c r="G3711" s="9">
        <v>475</v>
      </c>
      <c r="H3711" s="5" t="s">
        <v>20</v>
      </c>
      <c r="I3711" s="5" t="s">
        <v>8240</v>
      </c>
      <c r="J3711" s="12" t="str">
        <f>HYPERLINK("https://www.boe.es/gazeta/dias/1806/06/06/pdfs/GMD-1806-47.pdf#page=3","Abrir facsímil")</f>
        <v>Abrir facsímil</v>
      </c>
      <c r="K3711" s="15" t="s">
        <v>22</v>
      </c>
    </row>
    <row r="3712" spans="1:11" ht="42" customHeight="1">
      <c r="A3712" s="4" t="s">
        <v>8232</v>
      </c>
      <c r="B3712" s="5" t="s">
        <v>8233</v>
      </c>
      <c r="C3712" s="5" t="s">
        <v>69</v>
      </c>
      <c r="D3712" s="5" t="s">
        <v>70</v>
      </c>
      <c r="E3712" s="5" t="s">
        <v>136</v>
      </c>
      <c r="F3712" s="9">
        <v>50</v>
      </c>
      <c r="G3712" s="9">
        <v>512</v>
      </c>
      <c r="H3712" s="5" t="s">
        <v>20</v>
      </c>
      <c r="I3712" s="5" t="s">
        <v>8241</v>
      </c>
      <c r="J3712" s="12" t="str">
        <f>HYPERLINK("https://www.boe.es/gazeta/dias/1806/06/17/pdfs/GMD-1806-50.pdf#page=4","Abrir facsímil")</f>
        <v>Abrir facsímil</v>
      </c>
      <c r="K3712" s="15" t="s">
        <v>22</v>
      </c>
    </row>
    <row r="3713" spans="1:11" ht="42" customHeight="1">
      <c r="A3713" s="4" t="s">
        <v>8232</v>
      </c>
      <c r="B3713" s="5" t="s">
        <v>8233</v>
      </c>
      <c r="C3713" s="5" t="s">
        <v>17</v>
      </c>
      <c r="D3713" s="5" t="s">
        <v>18</v>
      </c>
      <c r="E3713" s="5" t="s">
        <v>26</v>
      </c>
      <c r="F3713" s="9">
        <v>65</v>
      </c>
      <c r="G3713" s="9">
        <v>678</v>
      </c>
      <c r="H3713" s="5" t="s">
        <v>20</v>
      </c>
      <c r="I3713" s="5" t="s">
        <v>8242</v>
      </c>
      <c r="J3713" s="12" t="str">
        <f>HYPERLINK("https://www.boe.es/gazeta/dias/1806/08/08/pdfs/GMD-1806-65.pdf#page=6","Abrir facsímil")</f>
        <v>Abrir facsímil</v>
      </c>
      <c r="K3713" s="15" t="s">
        <v>22</v>
      </c>
    </row>
    <row r="3714" spans="1:11" ht="42" customHeight="1">
      <c r="A3714" s="4" t="s">
        <v>8243</v>
      </c>
      <c r="B3714" s="5" t="s">
        <v>8244</v>
      </c>
      <c r="C3714" s="5" t="s">
        <v>17</v>
      </c>
      <c r="D3714" s="5" t="s">
        <v>18</v>
      </c>
      <c r="E3714" s="5" t="s">
        <v>304</v>
      </c>
      <c r="F3714" s="9">
        <v>47</v>
      </c>
      <c r="G3714" s="9">
        <v>477</v>
      </c>
      <c r="H3714" s="5" t="s">
        <v>20</v>
      </c>
      <c r="I3714" s="5" t="s">
        <v>8245</v>
      </c>
      <c r="J3714" s="12" t="str">
        <f>HYPERLINK("https://www.boe.es/gazeta/dias/1806/06/06/pdfs/GMD-1806-47.pdf#page=5","Abrir facsímil")</f>
        <v>Abrir facsímil</v>
      </c>
      <c r="K3714" s="15" t="s">
        <v>22</v>
      </c>
    </row>
    <row r="3715" spans="1:11" ht="42" customHeight="1">
      <c r="A3715" s="4" t="s">
        <v>8246</v>
      </c>
      <c r="B3715" s="5" t="s">
        <v>8247</v>
      </c>
      <c r="C3715" s="5" t="s">
        <v>69</v>
      </c>
      <c r="D3715" s="5" t="s">
        <v>70</v>
      </c>
      <c r="E3715" s="5" t="s">
        <v>1005</v>
      </c>
      <c r="F3715" s="9">
        <v>76</v>
      </c>
      <c r="G3715" s="9">
        <v>781</v>
      </c>
      <c r="H3715" s="5" t="s">
        <v>20</v>
      </c>
      <c r="I3715" s="5" t="s">
        <v>8248</v>
      </c>
      <c r="J3715" s="12" t="str">
        <f>HYPERLINK("https://www.boe.es/gazeta/dias/1806/09/16/pdfs/GMD-1806-76.pdf#page=1","Abrir facsímil")</f>
        <v>Abrir facsímil</v>
      </c>
      <c r="K3715" s="15" t="s">
        <v>22</v>
      </c>
    </row>
    <row r="3716" spans="1:11" ht="42" customHeight="1">
      <c r="A3716" s="4" t="s">
        <v>8249</v>
      </c>
      <c r="B3716" s="5" t="s">
        <v>8250</v>
      </c>
      <c r="C3716" s="5" t="s">
        <v>69</v>
      </c>
      <c r="D3716" s="5" t="s">
        <v>70</v>
      </c>
      <c r="E3716" s="5" t="s">
        <v>1080</v>
      </c>
      <c r="F3716" s="9">
        <v>49</v>
      </c>
      <c r="G3716" s="9">
        <v>502</v>
      </c>
      <c r="H3716" s="5" t="s">
        <v>20</v>
      </c>
      <c r="I3716" s="5" t="s">
        <v>8251</v>
      </c>
      <c r="J3716" s="12" t="str">
        <f>HYPERLINK("https://www.boe.es/gazeta/dias/1806/06/13/pdfs/GMD-1806-49.pdf#page=2","Abrir facsímil")</f>
        <v>Abrir facsímil</v>
      </c>
      <c r="K3716" s="15" t="s">
        <v>22</v>
      </c>
    </row>
    <row r="3717" spans="1:11" ht="42" customHeight="1">
      <c r="A3717" s="4" t="s">
        <v>8252</v>
      </c>
      <c r="B3717" s="5" t="s">
        <v>8252</v>
      </c>
      <c r="C3717" s="5" t="s">
        <v>31</v>
      </c>
      <c r="D3717" s="5" t="s">
        <v>32</v>
      </c>
      <c r="E3717" s="5" t="s">
        <v>144</v>
      </c>
      <c r="F3717" s="9">
        <v>79</v>
      </c>
      <c r="G3717" s="9">
        <v>810</v>
      </c>
      <c r="H3717" s="5" t="s">
        <v>20</v>
      </c>
      <c r="I3717" s="5" t="s">
        <v>8253</v>
      </c>
      <c r="J3717" s="12" t="str">
        <f>HYPERLINK("https://www.boe.es/gazeta/dias/1806/09/26/pdfs/GMD-1806-79.pdf#page=2","Abrir facsímil")</f>
        <v>Abrir facsímil</v>
      </c>
      <c r="K3717" s="15" t="s">
        <v>22</v>
      </c>
    </row>
    <row r="3718" spans="1:11" ht="42" customHeight="1">
      <c r="A3718" s="4" t="s">
        <v>8254</v>
      </c>
      <c r="B3718" s="5" t="s">
        <v>8255</v>
      </c>
      <c r="C3718" s="5" t="s">
        <v>31</v>
      </c>
      <c r="D3718" s="5" t="s">
        <v>32</v>
      </c>
      <c r="E3718" s="5" t="s">
        <v>144</v>
      </c>
      <c r="F3718" s="9">
        <v>79</v>
      </c>
      <c r="G3718" s="9">
        <v>810</v>
      </c>
      <c r="H3718" s="5" t="s">
        <v>20</v>
      </c>
      <c r="I3718" s="5" t="s">
        <v>8256</v>
      </c>
      <c r="J3718" s="12" t="str">
        <f>HYPERLINK("https://www.boe.es/gazeta/dias/1806/09/26/pdfs/GMD-1806-79.pdf#page=2","Abrir facsímil")</f>
        <v>Abrir facsímil</v>
      </c>
      <c r="K3718" s="15" t="s">
        <v>22</v>
      </c>
    </row>
    <row r="3719" spans="1:11" ht="42" customHeight="1">
      <c r="A3719" s="4" t="s">
        <v>8257</v>
      </c>
      <c r="B3719" s="5" t="s">
        <v>8257</v>
      </c>
      <c r="C3719" s="5" t="s">
        <v>36</v>
      </c>
      <c r="D3719" s="5" t="s">
        <v>37</v>
      </c>
      <c r="E3719" s="5" t="s">
        <v>285</v>
      </c>
      <c r="F3719" s="9">
        <v>13</v>
      </c>
      <c r="G3719" s="9">
        <v>116</v>
      </c>
      <c r="H3719" s="5" t="s">
        <v>20</v>
      </c>
      <c r="I3719" s="5" t="s">
        <v>8258</v>
      </c>
      <c r="J3719" s="12" t="str">
        <f>HYPERLINK("https://www.boe.es/gazeta/dias/1806/02/07/pdfs/GMD-1806-13.pdf#page=8","Abrir facsímil")</f>
        <v>Abrir facsímil</v>
      </c>
      <c r="K3719" s="15" t="s">
        <v>22</v>
      </c>
    </row>
    <row r="3720" spans="1:11" ht="42" customHeight="1">
      <c r="A3720" s="4" t="s">
        <v>8259</v>
      </c>
      <c r="B3720" s="5" t="s">
        <v>8260</v>
      </c>
      <c r="C3720" s="5" t="s">
        <v>17</v>
      </c>
      <c r="D3720" s="5" t="s">
        <v>18</v>
      </c>
      <c r="E3720" s="5" t="s">
        <v>110</v>
      </c>
      <c r="F3720" s="9">
        <v>55</v>
      </c>
      <c r="G3720" s="9">
        <v>574</v>
      </c>
      <c r="H3720" s="5" t="s">
        <v>20</v>
      </c>
      <c r="I3720" s="5" t="s">
        <v>8261</v>
      </c>
      <c r="J3720" s="12" t="str">
        <f>HYPERLINK("https://www.boe.es/gazeta/dias/1806/07/04/pdfs/GMD-1806-55.pdf#page=10","Abrir facsímil")</f>
        <v>Abrir facsímil</v>
      </c>
      <c r="K3720" s="15" t="s">
        <v>22</v>
      </c>
    </row>
    <row r="3721" spans="1:11" ht="42" customHeight="1">
      <c r="A3721" s="4" t="s">
        <v>8262</v>
      </c>
      <c r="B3721" s="5" t="s">
        <v>8263</v>
      </c>
      <c r="C3721" s="5" t="s">
        <v>42</v>
      </c>
      <c r="D3721" s="5" t="s">
        <v>43</v>
      </c>
      <c r="E3721" s="5" t="s">
        <v>96</v>
      </c>
      <c r="F3721" s="9">
        <v>62</v>
      </c>
      <c r="G3721" s="9">
        <v>649</v>
      </c>
      <c r="H3721" s="5" t="s">
        <v>20</v>
      </c>
      <c r="I3721" s="5" t="s">
        <v>8264</v>
      </c>
      <c r="J3721" s="12" t="str">
        <f>HYPERLINK("https://www.boe.es/gazeta/dias/1806/07/29/pdfs/GMD-1806-62.pdf#page=9","Abrir facsímil")</f>
        <v>Abrir facsímil</v>
      </c>
      <c r="K3721" s="15" t="s">
        <v>22</v>
      </c>
    </row>
    <row r="3722" spans="1:11" ht="42" customHeight="1">
      <c r="A3722" s="4" t="s">
        <v>8265</v>
      </c>
      <c r="B3722" s="5" t="s">
        <v>8266</v>
      </c>
      <c r="C3722" s="5" t="s">
        <v>75</v>
      </c>
      <c r="D3722" s="5" t="s">
        <v>43</v>
      </c>
      <c r="E3722" s="5" t="s">
        <v>103</v>
      </c>
      <c r="F3722" s="9">
        <v>61</v>
      </c>
      <c r="G3722" s="9">
        <v>637</v>
      </c>
      <c r="H3722" s="5" t="s">
        <v>20</v>
      </c>
      <c r="I3722" s="5" t="s">
        <v>8267</v>
      </c>
      <c r="J3722" s="12" t="str">
        <f>HYPERLINK("https://www.boe.es/gazeta/dias/1806/07/25/pdfs/GMD-1806-61.pdf#page=9","Abrir facsímil")</f>
        <v>Abrir facsímil</v>
      </c>
      <c r="K3722" s="15" t="s">
        <v>22</v>
      </c>
    </row>
    <row r="3723" spans="1:11" ht="42" customHeight="1">
      <c r="A3723" s="4" t="s">
        <v>8268</v>
      </c>
      <c r="B3723" s="5" t="s">
        <v>8269</v>
      </c>
      <c r="C3723" s="5" t="s">
        <v>31</v>
      </c>
      <c r="D3723" s="5" t="s">
        <v>32</v>
      </c>
      <c r="E3723" s="5" t="s">
        <v>110</v>
      </c>
      <c r="F3723" s="9">
        <v>55</v>
      </c>
      <c r="G3723" s="9">
        <v>572</v>
      </c>
      <c r="H3723" s="5" t="s">
        <v>20</v>
      </c>
      <c r="I3723" s="5" t="s">
        <v>8270</v>
      </c>
      <c r="J3723" s="12" t="str">
        <f>HYPERLINK("https://www.boe.es/gazeta/dias/1806/07/04/pdfs/GMD-1806-55.pdf#page=8","Abrir facsímil")</f>
        <v>Abrir facsímil</v>
      </c>
      <c r="K3723" s="15" t="s">
        <v>22</v>
      </c>
    </row>
    <row r="3724" spans="1:11" ht="42" customHeight="1">
      <c r="A3724" s="4" t="s">
        <v>8271</v>
      </c>
      <c r="B3724" s="5" t="s">
        <v>8272</v>
      </c>
      <c r="C3724" s="5" t="s">
        <v>31</v>
      </c>
      <c r="D3724" s="5" t="s">
        <v>32</v>
      </c>
      <c r="E3724" s="5" t="s">
        <v>161</v>
      </c>
      <c r="F3724" s="9">
        <v>11</v>
      </c>
      <c r="G3724" s="9">
        <v>98</v>
      </c>
      <c r="H3724" s="5" t="s">
        <v>20</v>
      </c>
      <c r="I3724" s="5" t="s">
        <v>8273</v>
      </c>
      <c r="J3724" s="12" t="str">
        <f>HYPERLINK("https://www.boe.es/gazeta/dias/1806/01/31/pdfs/GMD-1806-11.pdf#page=6","Abrir facsímil")</f>
        <v>Abrir facsímil</v>
      </c>
      <c r="K3724" s="15" t="s">
        <v>22</v>
      </c>
    </row>
    <row r="3725" spans="1:11" ht="42" customHeight="1">
      <c r="A3725" s="4" t="s">
        <v>8274</v>
      </c>
      <c r="B3725" s="5" t="s">
        <v>8275</v>
      </c>
      <c r="C3725" s="5" t="s">
        <v>75</v>
      </c>
      <c r="D3725" s="5" t="s">
        <v>43</v>
      </c>
      <c r="E3725" s="5" t="s">
        <v>185</v>
      </c>
      <c r="F3725" s="9">
        <v>46</v>
      </c>
      <c r="G3725" s="9">
        <v>467</v>
      </c>
      <c r="H3725" s="5" t="s">
        <v>20</v>
      </c>
      <c r="I3725" s="5" t="s">
        <v>8276</v>
      </c>
      <c r="J3725" s="12" t="str">
        <f>HYPERLINK("https://www.boe.es/gazeta/dias/1806/06/03/pdfs/GMD-1806-46.pdf#page=7","Abrir facsímil")</f>
        <v>Abrir facsímil</v>
      </c>
      <c r="K3725" s="15" t="s">
        <v>22</v>
      </c>
    </row>
    <row r="3726" spans="1:11" ht="42" customHeight="1">
      <c r="A3726" s="4" t="s">
        <v>8277</v>
      </c>
      <c r="B3726" s="5" t="s">
        <v>8278</v>
      </c>
      <c r="C3726" s="5" t="s">
        <v>42</v>
      </c>
      <c r="D3726" s="5" t="s">
        <v>43</v>
      </c>
      <c r="E3726" s="5" t="s">
        <v>238</v>
      </c>
      <c r="F3726" s="9">
        <v>18</v>
      </c>
      <c r="G3726" s="9">
        <v>160</v>
      </c>
      <c r="H3726" s="5" t="s">
        <v>20</v>
      </c>
      <c r="I3726" s="5" t="s">
        <v>8279</v>
      </c>
      <c r="J3726" s="12" t="str">
        <f>HYPERLINK("https://www.boe.es/gazeta/dias/1806/02/25/pdfs/GMD-1806-18.pdf#page=8","Abrir facsímil")</f>
        <v>Abrir facsímil</v>
      </c>
      <c r="K3726" s="15" t="s">
        <v>22</v>
      </c>
    </row>
    <row r="3727" spans="1:11" ht="42" customHeight="1">
      <c r="A3727" s="4" t="s">
        <v>8277</v>
      </c>
      <c r="B3727" s="5" t="s">
        <v>8278</v>
      </c>
      <c r="C3727" s="5" t="s">
        <v>17</v>
      </c>
      <c r="D3727" s="5" t="s">
        <v>18</v>
      </c>
      <c r="E3727" s="5" t="s">
        <v>400</v>
      </c>
      <c r="F3727" s="9">
        <v>22</v>
      </c>
      <c r="G3727" s="9">
        <v>207</v>
      </c>
      <c r="H3727" s="5" t="s">
        <v>20</v>
      </c>
      <c r="I3727" s="5" t="s">
        <v>8280</v>
      </c>
      <c r="J3727" s="12" t="str">
        <f>HYPERLINK("https://www.boe.es/gazeta/dias/1806/03/11/pdfs/GMD-1806-22.pdf#page=7","Abrir facsímil")</f>
        <v>Abrir facsímil</v>
      </c>
      <c r="K3727" s="15" t="s">
        <v>22</v>
      </c>
    </row>
    <row r="3728" spans="1:11" ht="42" customHeight="1">
      <c r="A3728" s="4" t="s">
        <v>8277</v>
      </c>
      <c r="B3728" s="5" t="s">
        <v>8278</v>
      </c>
      <c r="C3728" s="5" t="s">
        <v>17</v>
      </c>
      <c r="D3728" s="5" t="s">
        <v>18</v>
      </c>
      <c r="E3728" s="5" t="s">
        <v>455</v>
      </c>
      <c r="F3728" s="9">
        <v>85</v>
      </c>
      <c r="G3728" s="9">
        <v>884</v>
      </c>
      <c r="H3728" s="5" t="s">
        <v>20</v>
      </c>
      <c r="I3728" s="5" t="s">
        <v>8281</v>
      </c>
      <c r="J3728" s="12" t="str">
        <f>HYPERLINK("https://www.boe.es/gazeta/dias/1806/10/17/pdfs/GMD-1806-85.pdf#page=12","Abrir facsímil")</f>
        <v>Abrir facsímil</v>
      </c>
      <c r="K3728" s="15" t="s">
        <v>22</v>
      </c>
    </row>
    <row r="3729" spans="1:11" ht="42" customHeight="1">
      <c r="A3729" s="4" t="s">
        <v>8277</v>
      </c>
      <c r="B3729" s="5" t="s">
        <v>8278</v>
      </c>
      <c r="C3729" s="5" t="s">
        <v>42</v>
      </c>
      <c r="D3729" s="5" t="s">
        <v>43</v>
      </c>
      <c r="E3729" s="5" t="s">
        <v>28</v>
      </c>
      <c r="F3729" s="9">
        <v>102</v>
      </c>
      <c r="G3729" s="9">
        <v>1084</v>
      </c>
      <c r="H3729" s="5" t="s">
        <v>20</v>
      </c>
      <c r="I3729" s="5" t="s">
        <v>8282</v>
      </c>
      <c r="J3729" s="12" t="str">
        <f>HYPERLINK("https://www.boe.es/gazeta/dias/1806/12/16/pdfs/GMD-1806-102.pdf#page=8","Abrir facsímil")</f>
        <v>Abrir facsímil</v>
      </c>
      <c r="K3729" s="15" t="s">
        <v>22</v>
      </c>
    </row>
    <row r="3730" spans="1:11" ht="42" customHeight="1">
      <c r="A3730" s="4" t="s">
        <v>8283</v>
      </c>
      <c r="B3730" s="5" t="s">
        <v>8284</v>
      </c>
      <c r="C3730" s="5" t="s">
        <v>17</v>
      </c>
      <c r="D3730" s="5" t="s">
        <v>18</v>
      </c>
      <c r="E3730" s="5" t="s">
        <v>279</v>
      </c>
      <c r="F3730" s="9">
        <v>52</v>
      </c>
      <c r="G3730" s="9">
        <v>543</v>
      </c>
      <c r="H3730" s="5" t="s">
        <v>20</v>
      </c>
      <c r="I3730" s="5" t="s">
        <v>8285</v>
      </c>
      <c r="J3730" s="12" t="str">
        <f>HYPERLINK("https://www.boe.es/gazeta/dias/1806/06/24/pdfs/GMD-1806-52.pdf#page=11","Abrir facsímil")</f>
        <v>Abrir facsímil</v>
      </c>
      <c r="K3730" s="15" t="s">
        <v>22</v>
      </c>
    </row>
    <row r="3731" spans="1:11" ht="42" customHeight="1">
      <c r="A3731" s="4" t="s">
        <v>8286</v>
      </c>
      <c r="B3731" s="5" t="s">
        <v>8286</v>
      </c>
      <c r="C3731" s="5" t="s">
        <v>42</v>
      </c>
      <c r="D3731" s="5" t="s">
        <v>43</v>
      </c>
      <c r="E3731" s="5" t="s">
        <v>494</v>
      </c>
      <c r="F3731" s="9">
        <v>69</v>
      </c>
      <c r="G3731" s="9">
        <v>721</v>
      </c>
      <c r="H3731" s="5" t="s">
        <v>20</v>
      </c>
      <c r="I3731" s="5" t="s">
        <v>8287</v>
      </c>
      <c r="J3731" s="12" t="str">
        <f>HYPERLINK("https://www.boe.es/gazeta/dias/1806/08/22/pdfs/GMD-1806-69.pdf#page=9","Abrir facsímil")</f>
        <v>Abrir facsímil</v>
      </c>
      <c r="K3731" s="15" t="s">
        <v>22</v>
      </c>
    </row>
    <row r="3732" spans="1:11" ht="42" customHeight="1">
      <c r="A3732" s="4" t="s">
        <v>8288</v>
      </c>
      <c r="B3732" s="5" t="s">
        <v>8289</v>
      </c>
      <c r="C3732" s="5" t="s">
        <v>17</v>
      </c>
      <c r="D3732" s="5" t="s">
        <v>18</v>
      </c>
      <c r="E3732" s="5" t="s">
        <v>396</v>
      </c>
      <c r="F3732" s="9">
        <v>91</v>
      </c>
      <c r="G3732" s="9">
        <v>946</v>
      </c>
      <c r="H3732" s="5" t="s">
        <v>20</v>
      </c>
      <c r="I3732" s="5" t="s">
        <v>8290</v>
      </c>
      <c r="J3732" s="12" t="str">
        <f>HYPERLINK("https://www.boe.es/gazeta/dias/1806/11/07/pdfs/GMD-1806-91.pdf#page=10","Abrir facsímil")</f>
        <v>Abrir facsímil</v>
      </c>
      <c r="K3732" s="15" t="s">
        <v>22</v>
      </c>
    </row>
    <row r="3733" spans="1:11" ht="42" customHeight="1">
      <c r="A3733" s="4" t="s">
        <v>8291</v>
      </c>
      <c r="B3733" s="5" t="s">
        <v>8292</v>
      </c>
      <c r="C3733" s="5" t="s">
        <v>31</v>
      </c>
      <c r="D3733" s="5" t="s">
        <v>32</v>
      </c>
      <c r="E3733" s="5" t="s">
        <v>396</v>
      </c>
      <c r="F3733" s="9">
        <v>91</v>
      </c>
      <c r="G3733" s="9">
        <v>946</v>
      </c>
      <c r="H3733" s="5" t="s">
        <v>20</v>
      </c>
      <c r="I3733" s="5" t="s">
        <v>8293</v>
      </c>
      <c r="J3733" s="12" t="str">
        <f>HYPERLINK("https://www.boe.es/gazeta/dias/1806/11/07/pdfs/GMD-1806-91.pdf#page=10","Abrir facsímil")</f>
        <v>Abrir facsímil</v>
      </c>
      <c r="K3733" s="15" t="s">
        <v>22</v>
      </c>
    </row>
    <row r="3734" spans="1:11" ht="42" customHeight="1">
      <c r="A3734" s="4" t="s">
        <v>8294</v>
      </c>
      <c r="B3734" s="5" t="s">
        <v>8294</v>
      </c>
      <c r="C3734" s="5" t="s">
        <v>69</v>
      </c>
      <c r="D3734" s="5" t="s">
        <v>70</v>
      </c>
      <c r="E3734" s="5" t="s">
        <v>59</v>
      </c>
      <c r="F3734" s="9">
        <v>21</v>
      </c>
      <c r="G3734" s="9">
        <v>193</v>
      </c>
      <c r="H3734" s="5" t="s">
        <v>20</v>
      </c>
      <c r="I3734" s="5" t="s">
        <v>8295</v>
      </c>
      <c r="J3734" s="12" t="str">
        <f>HYPERLINK("https://www.boe.es/gazeta/dias/1806/03/07/pdfs/GMD-1806-21.pdf#page=5","Abrir facsímil")</f>
        <v>Abrir facsímil</v>
      </c>
      <c r="K3734" s="15" t="s">
        <v>22</v>
      </c>
    </row>
    <row r="3735" spans="1:11" ht="42" customHeight="1">
      <c r="A3735" s="4" t="s">
        <v>8296</v>
      </c>
      <c r="B3735" s="5" t="s">
        <v>8297</v>
      </c>
      <c r="C3735" s="5" t="s">
        <v>31</v>
      </c>
      <c r="D3735" s="5" t="s">
        <v>32</v>
      </c>
      <c r="E3735" s="5" t="s">
        <v>191</v>
      </c>
      <c r="F3735" s="9">
        <v>103</v>
      </c>
      <c r="G3735" s="9">
        <v>1092</v>
      </c>
      <c r="H3735" s="5" t="s">
        <v>20</v>
      </c>
      <c r="I3735" s="5" t="s">
        <v>8298</v>
      </c>
      <c r="J3735" s="12" t="str">
        <f>HYPERLINK("https://www.boe.es/gazeta/dias/1806/12/19/pdfs/GMD-1806-103.pdf#page=4","Abrir facsímil")</f>
        <v>Abrir facsímil</v>
      </c>
      <c r="K3735" s="15" t="s">
        <v>22</v>
      </c>
    </row>
    <row r="3736" spans="1:11" ht="42" customHeight="1">
      <c r="A3736" s="4" t="s">
        <v>8299</v>
      </c>
      <c r="B3736" s="5" t="s">
        <v>8300</v>
      </c>
      <c r="C3736" s="5" t="s">
        <v>31</v>
      </c>
      <c r="D3736" s="5" t="s">
        <v>32</v>
      </c>
      <c r="E3736" s="5" t="s">
        <v>185</v>
      </c>
      <c r="F3736" s="9">
        <v>46</v>
      </c>
      <c r="G3736" s="9">
        <v>470</v>
      </c>
      <c r="H3736" s="5" t="s">
        <v>20</v>
      </c>
      <c r="I3736" s="5" t="s">
        <v>8301</v>
      </c>
      <c r="J3736" s="12" t="str">
        <f>HYPERLINK("https://www.boe.es/gazeta/dias/1806/06/03/pdfs/GMD-1806-46.pdf#page=10","Abrir facsímil")</f>
        <v>Abrir facsímil</v>
      </c>
      <c r="K3736" s="15" t="s">
        <v>22</v>
      </c>
    </row>
    <row r="3737" spans="1:11" ht="42" customHeight="1">
      <c r="A3737" s="4" t="s">
        <v>8302</v>
      </c>
      <c r="B3737" s="5" t="s">
        <v>8303</v>
      </c>
      <c r="C3737" s="5" t="s">
        <v>36</v>
      </c>
      <c r="D3737" s="5" t="s">
        <v>37</v>
      </c>
      <c r="E3737" s="5" t="s">
        <v>28</v>
      </c>
      <c r="F3737" s="9">
        <v>102</v>
      </c>
      <c r="G3737" s="9">
        <v>1088</v>
      </c>
      <c r="H3737" s="5" t="s">
        <v>20</v>
      </c>
      <c r="I3737" s="5" t="s">
        <v>8304</v>
      </c>
      <c r="J3737" s="12" t="str">
        <f>HYPERLINK("https://www.boe.es/gazeta/dias/1806/12/16/pdfs/GMD-1806-102.pdf#page=12","Abrir facsímil")</f>
        <v>Abrir facsímil</v>
      </c>
      <c r="K3737" s="15" t="s">
        <v>22</v>
      </c>
    </row>
    <row r="3738" spans="1:11" ht="42" customHeight="1">
      <c r="A3738" s="4" t="s">
        <v>8305</v>
      </c>
      <c r="B3738" s="5" t="s">
        <v>8306</v>
      </c>
      <c r="C3738" s="5" t="s">
        <v>17</v>
      </c>
      <c r="D3738" s="5" t="s">
        <v>18</v>
      </c>
      <c r="E3738" s="5" t="s">
        <v>1031</v>
      </c>
      <c r="F3738" s="9">
        <v>107</v>
      </c>
      <c r="G3738" s="9">
        <v>1131</v>
      </c>
      <c r="H3738" s="5" t="s">
        <v>20</v>
      </c>
      <c r="I3738" s="5" t="s">
        <v>8307</v>
      </c>
      <c r="J3738" s="12" t="str">
        <f>HYPERLINK("https://www.boe.es/gazeta/dias/1806/12/30/pdfs/GMD-1806-107.pdf#page=7","Abrir facsímil")</f>
        <v>Abrir facsímil</v>
      </c>
      <c r="K3738" s="15" t="s">
        <v>22</v>
      </c>
    </row>
    <row r="3739" spans="1:11" ht="42" customHeight="1">
      <c r="A3739" s="4" t="s">
        <v>8308</v>
      </c>
      <c r="B3739" s="5" t="s">
        <v>8309</v>
      </c>
      <c r="C3739" s="5" t="s">
        <v>42</v>
      </c>
      <c r="D3739" s="5" t="s">
        <v>43</v>
      </c>
      <c r="E3739" s="5" t="s">
        <v>400</v>
      </c>
      <c r="F3739" s="9">
        <v>22</v>
      </c>
      <c r="G3739" s="9">
        <v>207</v>
      </c>
      <c r="H3739" s="5" t="s">
        <v>20</v>
      </c>
      <c r="I3739" s="5" t="s">
        <v>8310</v>
      </c>
      <c r="J3739" s="12" t="str">
        <f>HYPERLINK("https://www.boe.es/gazeta/dias/1806/03/11/pdfs/GMD-1806-22.pdf#page=7","Abrir facsímil")</f>
        <v>Abrir facsímil</v>
      </c>
      <c r="K3739" s="15" t="s">
        <v>22</v>
      </c>
    </row>
    <row r="3740" spans="1:11" ht="42" customHeight="1">
      <c r="A3740" s="4" t="s">
        <v>8311</v>
      </c>
      <c r="B3740" s="5" t="s">
        <v>8312</v>
      </c>
      <c r="C3740" s="5" t="s">
        <v>17</v>
      </c>
      <c r="D3740" s="5" t="s">
        <v>18</v>
      </c>
      <c r="E3740" s="5" t="s">
        <v>195</v>
      </c>
      <c r="F3740" s="9">
        <v>4</v>
      </c>
      <c r="G3740" s="9">
        <v>35</v>
      </c>
      <c r="H3740" s="5" t="s">
        <v>20</v>
      </c>
      <c r="I3740" s="5" t="s">
        <v>8313</v>
      </c>
      <c r="J3740" s="12" t="str">
        <f>HYPERLINK("https://www.boe.es/gazeta/dias/1806/01/14/pdfs/GMD-1806-4.pdf#page=7","Abrir facsímil")</f>
        <v>Abrir facsímil</v>
      </c>
      <c r="K3740" s="15" t="s">
        <v>22</v>
      </c>
    </row>
    <row r="3741" spans="1:11" ht="42" customHeight="1">
      <c r="A3741" s="4" t="s">
        <v>8314</v>
      </c>
      <c r="B3741" s="5" t="s">
        <v>8315</v>
      </c>
      <c r="C3741" s="5" t="s">
        <v>42</v>
      </c>
      <c r="D3741" s="5" t="s">
        <v>43</v>
      </c>
      <c r="E3741" s="5" t="s">
        <v>185</v>
      </c>
      <c r="F3741" s="9">
        <v>46</v>
      </c>
      <c r="G3741" s="9">
        <v>468</v>
      </c>
      <c r="H3741" s="5" t="s">
        <v>20</v>
      </c>
      <c r="I3741" s="5" t="s">
        <v>8316</v>
      </c>
      <c r="J3741" s="12" t="str">
        <f>HYPERLINK("https://www.boe.es/gazeta/dias/1806/06/03/pdfs/GMD-1806-46.pdf#page=8","Abrir facsímil")</f>
        <v>Abrir facsímil</v>
      </c>
      <c r="K3741" s="15" t="s">
        <v>22</v>
      </c>
    </row>
    <row r="3742" spans="1:11" ht="42" customHeight="1">
      <c r="A3742" s="4" t="s">
        <v>8317</v>
      </c>
      <c r="B3742" s="5" t="s">
        <v>8318</v>
      </c>
      <c r="C3742" s="5" t="s">
        <v>75</v>
      </c>
      <c r="D3742" s="5" t="s">
        <v>43</v>
      </c>
      <c r="E3742" s="5" t="s">
        <v>661</v>
      </c>
      <c r="F3742" s="9">
        <v>38</v>
      </c>
      <c r="G3742" s="9">
        <v>374</v>
      </c>
      <c r="H3742" s="5" t="s">
        <v>20</v>
      </c>
      <c r="I3742" s="5" t="s">
        <v>8319</v>
      </c>
      <c r="J3742" s="12" t="str">
        <f>HYPERLINK("https://www.boe.es/gazeta/dias/1806/05/06/pdfs/GMD-1806-38.pdf#page=10","Abrir facsímil")</f>
        <v>Abrir facsímil</v>
      </c>
      <c r="K3742" s="15" t="s">
        <v>22</v>
      </c>
    </row>
    <row r="3743" spans="1:11" ht="42" customHeight="1">
      <c r="A3743" s="4" t="s">
        <v>8320</v>
      </c>
      <c r="B3743" s="5" t="s">
        <v>8321</v>
      </c>
      <c r="C3743" s="5" t="s">
        <v>36</v>
      </c>
      <c r="D3743" s="5" t="s">
        <v>37</v>
      </c>
      <c r="E3743" s="5" t="s">
        <v>279</v>
      </c>
      <c r="F3743" s="9">
        <v>52</v>
      </c>
      <c r="G3743" s="9">
        <v>544</v>
      </c>
      <c r="H3743" s="5" t="s">
        <v>20</v>
      </c>
      <c r="I3743" s="5" t="s">
        <v>8322</v>
      </c>
      <c r="J3743" s="12" t="str">
        <f>HYPERLINK("https://www.boe.es/gazeta/dias/1806/06/24/pdfs/GMD-1806-52.pdf#page=12","Abrir facsímil")</f>
        <v>Abrir facsímil</v>
      </c>
      <c r="K3743" s="15" t="s">
        <v>22</v>
      </c>
    </row>
    <row r="3744" spans="1:11" ht="42" customHeight="1">
      <c r="A3744" s="4" t="s">
        <v>8323</v>
      </c>
      <c r="B3744" s="5" t="s">
        <v>8324</v>
      </c>
      <c r="C3744" s="5" t="s">
        <v>75</v>
      </c>
      <c r="D3744" s="5" t="s">
        <v>43</v>
      </c>
      <c r="E3744" s="5" t="s">
        <v>340</v>
      </c>
      <c r="F3744" s="9">
        <v>31</v>
      </c>
      <c r="G3744" s="9">
        <v>307</v>
      </c>
      <c r="H3744" s="5" t="s">
        <v>20</v>
      </c>
      <c r="I3744" s="5" t="s">
        <v>8325</v>
      </c>
      <c r="J3744" s="12" t="str">
        <f>HYPERLINK("https://www.boe.es/gazeta/dias/1806/04/11/pdfs/GMD-1806-31.pdf#page=11","Abrir facsímil")</f>
        <v>Abrir facsímil</v>
      </c>
      <c r="K3744" s="15" t="s">
        <v>22</v>
      </c>
    </row>
    <row r="3745" spans="1:11" ht="42" customHeight="1">
      <c r="A3745" s="4" t="s">
        <v>8326</v>
      </c>
      <c r="B3745" s="5" t="s">
        <v>8327</v>
      </c>
      <c r="C3745" s="5" t="s">
        <v>36</v>
      </c>
      <c r="D3745" s="5" t="s">
        <v>37</v>
      </c>
      <c r="E3745" s="5" t="s">
        <v>59</v>
      </c>
      <c r="F3745" s="9">
        <v>21</v>
      </c>
      <c r="G3745" s="9">
        <v>199</v>
      </c>
      <c r="H3745" s="5" t="s">
        <v>20</v>
      </c>
      <c r="I3745" s="5" t="s">
        <v>8328</v>
      </c>
      <c r="J3745" s="12" t="str">
        <f>HYPERLINK("https://www.boe.es/gazeta/dias/1806/03/07/pdfs/GMD-1806-21.pdf#page=11","Abrir facsímil")</f>
        <v>Abrir facsímil</v>
      </c>
      <c r="K3745" s="15" t="s">
        <v>22</v>
      </c>
    </row>
    <row r="3746" spans="1:11" ht="42" customHeight="1">
      <c r="A3746" s="4" t="s">
        <v>8326</v>
      </c>
      <c r="B3746" s="5" t="s">
        <v>8327</v>
      </c>
      <c r="C3746" s="5" t="s">
        <v>75</v>
      </c>
      <c r="D3746" s="5" t="s">
        <v>43</v>
      </c>
      <c r="E3746" s="5" t="s">
        <v>661</v>
      </c>
      <c r="F3746" s="9">
        <v>38</v>
      </c>
      <c r="G3746" s="9">
        <v>374</v>
      </c>
      <c r="H3746" s="5" t="s">
        <v>20</v>
      </c>
      <c r="I3746" s="5" t="s">
        <v>8329</v>
      </c>
      <c r="J3746" s="12" t="str">
        <f>HYPERLINK("https://www.boe.es/gazeta/dias/1806/05/06/pdfs/GMD-1806-38.pdf#page=10","Abrir facsímil")</f>
        <v>Abrir facsímil</v>
      </c>
      <c r="K3746" s="15" t="s">
        <v>22</v>
      </c>
    </row>
    <row r="3747" spans="1:11" ht="42" customHeight="1">
      <c r="A3747" s="4" t="s">
        <v>8326</v>
      </c>
      <c r="B3747" s="5" t="s">
        <v>8327</v>
      </c>
      <c r="C3747" s="5" t="s">
        <v>31</v>
      </c>
      <c r="D3747" s="5" t="s">
        <v>32</v>
      </c>
      <c r="E3747" s="5" t="s">
        <v>1080</v>
      </c>
      <c r="F3747" s="9">
        <v>49</v>
      </c>
      <c r="G3747" s="9">
        <v>507</v>
      </c>
      <c r="H3747" s="5" t="s">
        <v>20</v>
      </c>
      <c r="I3747" s="5" t="s">
        <v>8330</v>
      </c>
      <c r="J3747" s="12" t="str">
        <f>HYPERLINK("https://www.boe.es/gazeta/dias/1806/06/13/pdfs/GMD-1806-49.pdf#page=7","Abrir facsímil")</f>
        <v>Abrir facsímil</v>
      </c>
      <c r="K3747" s="15" t="s">
        <v>22</v>
      </c>
    </row>
    <row r="3748" spans="1:11" ht="42" customHeight="1">
      <c r="A3748" s="4" t="s">
        <v>8326</v>
      </c>
      <c r="B3748" s="5" t="s">
        <v>8327</v>
      </c>
      <c r="C3748" s="5" t="s">
        <v>36</v>
      </c>
      <c r="D3748" s="5" t="s">
        <v>37</v>
      </c>
      <c r="E3748" s="5" t="s">
        <v>245</v>
      </c>
      <c r="F3748" s="9">
        <v>106</v>
      </c>
      <c r="G3748" s="9">
        <v>1123</v>
      </c>
      <c r="H3748" s="5" t="s">
        <v>20</v>
      </c>
      <c r="I3748" s="5" t="s">
        <v>8331</v>
      </c>
      <c r="J3748" s="12" t="str">
        <f>HYPERLINK("https://www.boe.es/gazeta/dias/1806/12/26/pdfs/GMD-1806-106.pdf#page=7","Abrir facsímil")</f>
        <v>Abrir facsímil</v>
      </c>
      <c r="K3748" s="15" t="s">
        <v>22</v>
      </c>
    </row>
    <row r="3749" spans="1:11" ht="42" customHeight="1">
      <c r="A3749" s="4" t="s">
        <v>8332</v>
      </c>
      <c r="B3749" s="5" t="s">
        <v>8333</v>
      </c>
      <c r="C3749" s="5" t="s">
        <v>75</v>
      </c>
      <c r="D3749" s="5" t="s">
        <v>43</v>
      </c>
      <c r="E3749" s="5" t="s">
        <v>62</v>
      </c>
      <c r="F3749" s="9">
        <v>45</v>
      </c>
      <c r="G3749" s="9">
        <v>458</v>
      </c>
      <c r="H3749" s="5" t="s">
        <v>20</v>
      </c>
      <c r="I3749" s="5" t="s">
        <v>8334</v>
      </c>
      <c r="J3749" s="12" t="str">
        <f>HYPERLINK("https://www.boe.es/gazeta/dias/1806/05/30/pdfs/GMD-1806-45.pdf#page=10","Abrir facsímil")</f>
        <v>Abrir facsímil</v>
      </c>
      <c r="K3749" s="15" t="s">
        <v>22</v>
      </c>
    </row>
    <row r="3750" spans="1:11" ht="42" customHeight="1">
      <c r="A3750" s="4" t="s">
        <v>8335</v>
      </c>
      <c r="B3750" s="5" t="s">
        <v>8336</v>
      </c>
      <c r="C3750" s="5" t="s">
        <v>75</v>
      </c>
      <c r="D3750" s="5" t="s">
        <v>43</v>
      </c>
      <c r="E3750" s="5" t="s">
        <v>55</v>
      </c>
      <c r="F3750" s="9">
        <v>20</v>
      </c>
      <c r="G3750" s="9">
        <v>186</v>
      </c>
      <c r="H3750" s="5" t="s">
        <v>20</v>
      </c>
      <c r="I3750" s="5" t="s">
        <v>8337</v>
      </c>
      <c r="J3750" s="12" t="str">
        <f>HYPERLINK("https://www.boe.es/gazeta/dias/1806/03/04/pdfs/GMD-1806-20.pdf#page=10","Abrir facsímil")</f>
        <v>Abrir facsímil</v>
      </c>
      <c r="K3750" s="15" t="s">
        <v>22</v>
      </c>
    </row>
    <row r="3751" spans="1:11" ht="42" customHeight="1">
      <c r="A3751" s="4" t="s">
        <v>8335</v>
      </c>
      <c r="B3751" s="5" t="s">
        <v>8336</v>
      </c>
      <c r="C3751" s="5" t="s">
        <v>31</v>
      </c>
      <c r="D3751" s="5" t="s">
        <v>32</v>
      </c>
      <c r="E3751" s="5" t="s">
        <v>580</v>
      </c>
      <c r="F3751" s="9">
        <v>23</v>
      </c>
      <c r="G3751" s="9">
        <v>222</v>
      </c>
      <c r="H3751" s="5" t="s">
        <v>20</v>
      </c>
      <c r="I3751" s="5" t="s">
        <v>8338</v>
      </c>
      <c r="J3751" s="12" t="str">
        <f>HYPERLINK("https://www.boe.es/gazeta/dias/1806/03/14/pdfs/GMD-1806-23.pdf#page=10","Abrir facsímil")</f>
        <v>Abrir facsímil</v>
      </c>
      <c r="K3751" s="15" t="s">
        <v>22</v>
      </c>
    </row>
    <row r="3752" spans="1:11" ht="42" customHeight="1">
      <c r="A3752" s="4" t="s">
        <v>8335</v>
      </c>
      <c r="B3752" s="5" t="s">
        <v>8336</v>
      </c>
      <c r="C3752" s="5" t="s">
        <v>31</v>
      </c>
      <c r="D3752" s="5" t="s">
        <v>32</v>
      </c>
      <c r="E3752" s="5" t="s">
        <v>71</v>
      </c>
      <c r="F3752" s="9">
        <v>29</v>
      </c>
      <c r="G3752" s="9">
        <v>288</v>
      </c>
      <c r="H3752" s="5" t="s">
        <v>20</v>
      </c>
      <c r="I3752" s="5" t="s">
        <v>8339</v>
      </c>
      <c r="J3752" s="12" t="str">
        <f>HYPERLINK("https://www.boe.es/gazeta/dias/1806/04/04/pdfs/GMD-1806-29.pdf#page=8","Abrir facsímil")</f>
        <v>Abrir facsímil</v>
      </c>
      <c r="K3752" s="15" t="s">
        <v>22</v>
      </c>
    </row>
    <row r="3753" spans="1:11" ht="42" customHeight="1">
      <c r="A3753" s="4" t="s">
        <v>8335</v>
      </c>
      <c r="B3753" s="5" t="s">
        <v>8336</v>
      </c>
      <c r="C3753" s="5" t="s">
        <v>75</v>
      </c>
      <c r="D3753" s="5" t="s">
        <v>43</v>
      </c>
      <c r="E3753" s="5" t="s">
        <v>178</v>
      </c>
      <c r="F3753" s="9">
        <v>36</v>
      </c>
      <c r="G3753" s="9">
        <v>352</v>
      </c>
      <c r="H3753" s="5" t="s">
        <v>20</v>
      </c>
      <c r="I3753" s="5" t="s">
        <v>8340</v>
      </c>
      <c r="J3753" s="12" t="str">
        <f>HYPERLINK("https://www.boe.es/gazeta/dias/1806/04/29/pdfs/GMD-1806-36.pdf#page=8","Abrir facsímil")</f>
        <v>Abrir facsímil</v>
      </c>
      <c r="K3753" s="15" t="s">
        <v>22</v>
      </c>
    </row>
    <row r="3754" spans="1:11" ht="42" customHeight="1">
      <c r="A3754" s="4" t="s">
        <v>8335</v>
      </c>
      <c r="B3754" s="5" t="s">
        <v>8336</v>
      </c>
      <c r="C3754" s="5" t="s">
        <v>31</v>
      </c>
      <c r="D3754" s="5" t="s">
        <v>32</v>
      </c>
      <c r="E3754" s="5" t="s">
        <v>540</v>
      </c>
      <c r="F3754" s="9">
        <v>51</v>
      </c>
      <c r="G3754" s="9">
        <v>530</v>
      </c>
      <c r="H3754" s="5" t="s">
        <v>20</v>
      </c>
      <c r="I3754" s="5" t="s">
        <v>8341</v>
      </c>
      <c r="J3754" s="12" t="str">
        <f>HYPERLINK("https://www.boe.es/gazeta/dias/1806/06/20/pdfs/GMD-1806-51.pdf#page=10","Abrir facsímil")</f>
        <v>Abrir facsímil</v>
      </c>
      <c r="K3754" s="15" t="s">
        <v>22</v>
      </c>
    </row>
    <row r="3755" spans="1:11" ht="42" customHeight="1">
      <c r="A3755" s="4" t="s">
        <v>8335</v>
      </c>
      <c r="B3755" s="5" t="s">
        <v>8336</v>
      </c>
      <c r="C3755" s="5" t="s">
        <v>31</v>
      </c>
      <c r="D3755" s="5" t="s">
        <v>32</v>
      </c>
      <c r="E3755" s="5" t="s">
        <v>110</v>
      </c>
      <c r="F3755" s="9">
        <v>55</v>
      </c>
      <c r="G3755" s="9">
        <v>574</v>
      </c>
      <c r="H3755" s="5" t="s">
        <v>20</v>
      </c>
      <c r="I3755" s="5" t="s">
        <v>8342</v>
      </c>
      <c r="J3755" s="12" t="str">
        <f>HYPERLINK("https://www.boe.es/gazeta/dias/1806/07/04/pdfs/GMD-1806-55.pdf#page=10","Abrir facsímil")</f>
        <v>Abrir facsímil</v>
      </c>
      <c r="K3755" s="15" t="s">
        <v>22</v>
      </c>
    </row>
    <row r="3756" spans="1:11" ht="42" customHeight="1">
      <c r="A3756" s="4" t="s">
        <v>8335</v>
      </c>
      <c r="B3756" s="5" t="s">
        <v>8336</v>
      </c>
      <c r="C3756" s="5" t="s">
        <v>75</v>
      </c>
      <c r="D3756" s="5" t="s">
        <v>43</v>
      </c>
      <c r="E3756" s="5" t="s">
        <v>483</v>
      </c>
      <c r="F3756" s="9">
        <v>58</v>
      </c>
      <c r="G3756" s="9">
        <v>603</v>
      </c>
      <c r="H3756" s="5" t="s">
        <v>20</v>
      </c>
      <c r="I3756" s="5" t="s">
        <v>8343</v>
      </c>
      <c r="J3756" s="12" t="str">
        <f>HYPERLINK("https://www.boe.es/gazeta/dias/1806/07/15/pdfs/GMD-1806-58.pdf#page=7","Abrir facsímil")</f>
        <v>Abrir facsímil</v>
      </c>
      <c r="K3756" s="15" t="s">
        <v>22</v>
      </c>
    </row>
    <row r="3757" spans="1:11" ht="42" customHeight="1">
      <c r="A3757" s="4" t="s">
        <v>8335</v>
      </c>
      <c r="B3757" s="5" t="s">
        <v>8336</v>
      </c>
      <c r="C3757" s="5" t="s">
        <v>75</v>
      </c>
      <c r="D3757" s="5" t="s">
        <v>43</v>
      </c>
      <c r="E3757" s="5" t="s">
        <v>93</v>
      </c>
      <c r="F3757" s="9">
        <v>72</v>
      </c>
      <c r="G3757" s="9">
        <v>750</v>
      </c>
      <c r="H3757" s="5" t="s">
        <v>20</v>
      </c>
      <c r="I3757" s="5" t="s">
        <v>8344</v>
      </c>
      <c r="J3757" s="12" t="str">
        <f>HYPERLINK("https://www.boe.es/gazeta/dias/1806/09/02/pdfs/GMD-1806-72.pdf#page=10","Abrir facsímil")</f>
        <v>Abrir facsímil</v>
      </c>
      <c r="K3757" s="15" t="s">
        <v>22</v>
      </c>
    </row>
    <row r="3758" spans="1:11" ht="42" customHeight="1">
      <c r="A3758" s="4" t="s">
        <v>8335</v>
      </c>
      <c r="B3758" s="5" t="s">
        <v>8336</v>
      </c>
      <c r="C3758" s="5" t="s">
        <v>31</v>
      </c>
      <c r="D3758" s="5" t="s">
        <v>32</v>
      </c>
      <c r="E3758" s="5" t="s">
        <v>405</v>
      </c>
      <c r="F3758" s="9">
        <v>80</v>
      </c>
      <c r="G3758" s="9">
        <v>832</v>
      </c>
      <c r="H3758" s="5" t="s">
        <v>20</v>
      </c>
      <c r="I3758" s="5" t="s">
        <v>8345</v>
      </c>
      <c r="J3758" s="12" t="str">
        <f>HYPERLINK("https://www.boe.es/gazeta/dias/1806/09/30/pdfs/GMD-1806-80.pdf#page=12","Abrir facsímil")</f>
        <v>Abrir facsímil</v>
      </c>
      <c r="K3758" s="15" t="s">
        <v>22</v>
      </c>
    </row>
    <row r="3759" spans="1:11" ht="42" customHeight="1">
      <c r="A3759" s="4" t="s">
        <v>8335</v>
      </c>
      <c r="B3759" s="5" t="s">
        <v>8336</v>
      </c>
      <c r="C3759" s="5" t="s">
        <v>31</v>
      </c>
      <c r="D3759" s="5" t="s">
        <v>32</v>
      </c>
      <c r="E3759" s="5" t="s">
        <v>165</v>
      </c>
      <c r="F3759" s="9">
        <v>101</v>
      </c>
      <c r="G3759" s="9">
        <v>1075</v>
      </c>
      <c r="H3759" s="5" t="s">
        <v>20</v>
      </c>
      <c r="I3759" s="5" t="s">
        <v>8346</v>
      </c>
      <c r="J3759" s="12" t="str">
        <f>HYPERLINK("https://www.boe.es/gazeta/dias/1806/12/12/pdfs/GMD-1806-101.pdf#page=7","Abrir facsímil")</f>
        <v>Abrir facsímil</v>
      </c>
      <c r="K3759" s="15" t="s">
        <v>22</v>
      </c>
    </row>
    <row r="3760" spans="1:11" ht="42" customHeight="1">
      <c r="A3760" s="4" t="s">
        <v>8347</v>
      </c>
      <c r="B3760" s="5" t="s">
        <v>8348</v>
      </c>
      <c r="C3760" s="5" t="s">
        <v>31</v>
      </c>
      <c r="D3760" s="5" t="s">
        <v>32</v>
      </c>
      <c r="E3760" s="5" t="s">
        <v>144</v>
      </c>
      <c r="F3760" s="9">
        <v>79</v>
      </c>
      <c r="G3760" s="9">
        <v>818</v>
      </c>
      <c r="H3760" s="5" t="s">
        <v>20</v>
      </c>
      <c r="I3760" s="5" t="s">
        <v>8349</v>
      </c>
      <c r="J3760" s="12" t="str">
        <f>HYPERLINK("https://www.boe.es/gazeta/dias/1806/09/26/pdfs/GMD-1806-79.pdf#page=10","Abrir facsímil")</f>
        <v>Abrir facsímil</v>
      </c>
      <c r="K3760" s="15" t="s">
        <v>22</v>
      </c>
    </row>
    <row r="3761" spans="1:11" ht="42" customHeight="1">
      <c r="A3761" s="4" t="s">
        <v>8350</v>
      </c>
      <c r="B3761" s="5" t="s">
        <v>8351</v>
      </c>
      <c r="C3761" s="5" t="s">
        <v>36</v>
      </c>
      <c r="D3761" s="5" t="s">
        <v>37</v>
      </c>
      <c r="E3761" s="5" t="s">
        <v>363</v>
      </c>
      <c r="F3761" s="9">
        <v>8</v>
      </c>
      <c r="G3761" s="9">
        <v>76</v>
      </c>
      <c r="H3761" s="5" t="s">
        <v>20</v>
      </c>
      <c r="I3761" s="5" t="s">
        <v>8352</v>
      </c>
      <c r="J3761" s="12" t="str">
        <f>HYPERLINK("https://www.boe.es/gazeta/dias/1806/01/24/pdfs/GMD-1806-8.pdf#page=8","Abrir facsímil")</f>
        <v>Abrir facsímil</v>
      </c>
      <c r="K3761" s="15" t="s">
        <v>22</v>
      </c>
    </row>
    <row r="3762" spans="1:11" ht="42" customHeight="1">
      <c r="A3762" s="4" t="s">
        <v>8353</v>
      </c>
      <c r="B3762" s="5" t="s">
        <v>8354</v>
      </c>
      <c r="C3762" s="5" t="s">
        <v>36</v>
      </c>
      <c r="D3762" s="5" t="s">
        <v>37</v>
      </c>
      <c r="E3762" s="5" t="s">
        <v>227</v>
      </c>
      <c r="F3762" s="9">
        <v>27</v>
      </c>
      <c r="G3762" s="9">
        <v>272</v>
      </c>
      <c r="H3762" s="5" t="s">
        <v>20</v>
      </c>
      <c r="I3762" s="5" t="s">
        <v>8355</v>
      </c>
      <c r="J3762" s="12" t="str">
        <f>HYPERLINK("https://www.boe.es/gazeta/dias/1806/03/28/pdfs/GMD-1806-27.pdf#page=12","Abrir facsímil")</f>
        <v>Abrir facsímil</v>
      </c>
      <c r="K3762" s="15" t="s">
        <v>22</v>
      </c>
    </row>
    <row r="3763" spans="1:11" ht="42" customHeight="1">
      <c r="A3763" s="4" t="s">
        <v>8356</v>
      </c>
      <c r="B3763" s="5" t="s">
        <v>8357</v>
      </c>
      <c r="C3763" s="5" t="s">
        <v>31</v>
      </c>
      <c r="D3763" s="5" t="s">
        <v>32</v>
      </c>
      <c r="E3763" s="5" t="s">
        <v>19</v>
      </c>
      <c r="F3763" s="9">
        <v>3</v>
      </c>
      <c r="G3763" s="9">
        <v>26</v>
      </c>
      <c r="H3763" s="5" t="s">
        <v>20</v>
      </c>
      <c r="I3763" s="5" t="s">
        <v>8358</v>
      </c>
      <c r="J3763" s="12" t="str">
        <f>HYPERLINK("https://www.boe.es/gazeta/dias/1806/01/10/pdfs/GMD-1806-3.pdf#page=6","Abrir facsímil")</f>
        <v>Abrir facsímil</v>
      </c>
      <c r="K3763" s="15" t="s">
        <v>22</v>
      </c>
    </row>
    <row r="3764" spans="1:11" ht="42" customHeight="1">
      <c r="A3764" s="4" t="s">
        <v>8359</v>
      </c>
      <c r="B3764" s="5" t="s">
        <v>8360</v>
      </c>
      <c r="C3764" s="5" t="s">
        <v>31</v>
      </c>
      <c r="D3764" s="5" t="s">
        <v>32</v>
      </c>
      <c r="E3764" s="5" t="s">
        <v>185</v>
      </c>
      <c r="F3764" s="9">
        <v>46</v>
      </c>
      <c r="G3764" s="9">
        <v>469</v>
      </c>
      <c r="H3764" s="5" t="s">
        <v>20</v>
      </c>
      <c r="I3764" s="5" t="s">
        <v>8361</v>
      </c>
      <c r="J3764" s="12" t="str">
        <f>HYPERLINK("https://www.boe.es/gazeta/dias/1806/06/03/pdfs/GMD-1806-46.pdf#page=9","Abrir facsímil")</f>
        <v>Abrir facsímil</v>
      </c>
      <c r="K3764" s="15" t="s">
        <v>22</v>
      </c>
    </row>
    <row r="3765" spans="1:11" ht="42" customHeight="1">
      <c r="A3765" s="4" t="s">
        <v>8362</v>
      </c>
      <c r="B3765" s="5" t="s">
        <v>8363</v>
      </c>
      <c r="C3765" s="5" t="s">
        <v>17</v>
      </c>
      <c r="D3765" s="5" t="s">
        <v>18</v>
      </c>
      <c r="E3765" s="5" t="s">
        <v>367</v>
      </c>
      <c r="F3765" s="9">
        <v>87</v>
      </c>
      <c r="G3765" s="9">
        <v>901</v>
      </c>
      <c r="H3765" s="5" t="s">
        <v>20</v>
      </c>
      <c r="I3765" s="5" t="s">
        <v>8364</v>
      </c>
      <c r="J3765" s="12" t="str">
        <f>HYPERLINK("https://www.boe.es/gazeta/dias/1806/10/24/pdfs/GMD-1806-87.pdf#page=9","Abrir facsímil")</f>
        <v>Abrir facsímil</v>
      </c>
      <c r="K3765" s="15" t="s">
        <v>22</v>
      </c>
    </row>
    <row r="3766" spans="1:11" ht="42" customHeight="1">
      <c r="A3766" s="4" t="s">
        <v>8365</v>
      </c>
      <c r="B3766" s="5" t="s">
        <v>8366</v>
      </c>
      <c r="C3766" s="5" t="s">
        <v>31</v>
      </c>
      <c r="D3766" s="5" t="s">
        <v>32</v>
      </c>
      <c r="E3766" s="5" t="s">
        <v>220</v>
      </c>
      <c r="F3766" s="9">
        <v>24</v>
      </c>
      <c r="G3766" s="9">
        <v>232</v>
      </c>
      <c r="H3766" s="5" t="s">
        <v>20</v>
      </c>
      <c r="I3766" s="5" t="s">
        <v>8367</v>
      </c>
      <c r="J3766" s="12" t="str">
        <f>HYPERLINK("https://www.boe.es/gazeta/dias/1806/03/18/pdfs/GMD-1806-24.pdf#page=8","Abrir facsímil")</f>
        <v>Abrir facsímil</v>
      </c>
      <c r="K3766" s="15" t="s">
        <v>22</v>
      </c>
    </row>
    <row r="3767" spans="1:11" ht="42" customHeight="1">
      <c r="A3767" s="4" t="s">
        <v>8365</v>
      </c>
      <c r="B3767" s="5" t="s">
        <v>8366</v>
      </c>
      <c r="C3767" s="5" t="s">
        <v>31</v>
      </c>
      <c r="D3767" s="5" t="s">
        <v>32</v>
      </c>
      <c r="E3767" s="5" t="s">
        <v>1080</v>
      </c>
      <c r="F3767" s="9">
        <v>49</v>
      </c>
      <c r="G3767" s="9">
        <v>507</v>
      </c>
      <c r="H3767" s="5" t="s">
        <v>20</v>
      </c>
      <c r="I3767" s="5" t="s">
        <v>8368</v>
      </c>
      <c r="J3767" s="12" t="str">
        <f>HYPERLINK("https://www.boe.es/gazeta/dias/1806/06/13/pdfs/GMD-1806-49.pdf#page=7","Abrir facsímil")</f>
        <v>Abrir facsímil</v>
      </c>
      <c r="K3767" s="15" t="s">
        <v>22</v>
      </c>
    </row>
    <row r="3768" spans="1:11" ht="42" customHeight="1">
      <c r="A3768" s="4" t="s">
        <v>8365</v>
      </c>
      <c r="B3768" s="5" t="s">
        <v>8366</v>
      </c>
      <c r="C3768" s="5" t="s">
        <v>75</v>
      </c>
      <c r="D3768" s="5" t="s">
        <v>43</v>
      </c>
      <c r="E3768" s="5" t="s">
        <v>279</v>
      </c>
      <c r="F3768" s="9">
        <v>52</v>
      </c>
      <c r="G3768" s="9">
        <v>542</v>
      </c>
      <c r="H3768" s="5" t="s">
        <v>20</v>
      </c>
      <c r="I3768" s="5" t="s">
        <v>8369</v>
      </c>
      <c r="J3768" s="12" t="str">
        <f>HYPERLINK("https://www.boe.es/gazeta/dias/1806/06/24/pdfs/GMD-1806-52.pdf#page=10","Abrir facsímil")</f>
        <v>Abrir facsímil</v>
      </c>
      <c r="K3768" s="15" t="s">
        <v>22</v>
      </c>
    </row>
    <row r="3769" spans="1:11" ht="42" customHeight="1">
      <c r="A3769" s="4" t="s">
        <v>8365</v>
      </c>
      <c r="B3769" s="5" t="s">
        <v>8366</v>
      </c>
      <c r="C3769" s="5" t="s">
        <v>75</v>
      </c>
      <c r="D3769" s="5" t="s">
        <v>43</v>
      </c>
      <c r="E3769" s="5" t="s">
        <v>483</v>
      </c>
      <c r="F3769" s="9">
        <v>58</v>
      </c>
      <c r="G3769" s="9">
        <v>603</v>
      </c>
      <c r="H3769" s="5" t="s">
        <v>20</v>
      </c>
      <c r="I3769" s="5" t="s">
        <v>8370</v>
      </c>
      <c r="J3769" s="12" t="str">
        <f>HYPERLINK("https://www.boe.es/gazeta/dias/1806/07/15/pdfs/GMD-1806-58.pdf#page=7","Abrir facsímil")</f>
        <v>Abrir facsímil</v>
      </c>
      <c r="K3769" s="15" t="s">
        <v>22</v>
      </c>
    </row>
    <row r="3770" spans="1:11" ht="42" customHeight="1">
      <c r="A3770" s="4" t="s">
        <v>8365</v>
      </c>
      <c r="B3770" s="5" t="s">
        <v>8366</v>
      </c>
      <c r="C3770" s="5" t="s">
        <v>75</v>
      </c>
      <c r="D3770" s="5" t="s">
        <v>43</v>
      </c>
      <c r="E3770" s="5" t="s">
        <v>680</v>
      </c>
      <c r="F3770" s="9">
        <v>97</v>
      </c>
      <c r="G3770" s="9">
        <v>1032</v>
      </c>
      <c r="H3770" s="5" t="s">
        <v>20</v>
      </c>
      <c r="I3770" s="5" t="s">
        <v>8371</v>
      </c>
      <c r="J3770" s="12" t="str">
        <f>HYPERLINK("https://www.boe.es/gazeta/dias/1806/11/28/pdfs/GMD-1806-97.pdf#page=12","Abrir facsímil")</f>
        <v>Abrir facsímil</v>
      </c>
      <c r="K3770" s="15" t="s">
        <v>22</v>
      </c>
    </row>
    <row r="3771" spans="1:11" ht="42" customHeight="1">
      <c r="A3771" s="4" t="s">
        <v>8372</v>
      </c>
      <c r="B3771" s="5" t="s">
        <v>8373</v>
      </c>
      <c r="C3771" s="5" t="s">
        <v>75</v>
      </c>
      <c r="D3771" s="5" t="s">
        <v>43</v>
      </c>
      <c r="E3771" s="5" t="s">
        <v>245</v>
      </c>
      <c r="F3771" s="9">
        <v>106</v>
      </c>
      <c r="G3771" s="9">
        <v>1123</v>
      </c>
      <c r="H3771" s="5" t="s">
        <v>20</v>
      </c>
      <c r="I3771" s="5" t="s">
        <v>8374</v>
      </c>
      <c r="J3771" s="12" t="str">
        <f>HYPERLINK("https://www.boe.es/gazeta/dias/1806/12/26/pdfs/GMD-1806-106.pdf#page=7","Abrir facsímil")</f>
        <v>Abrir facsímil</v>
      </c>
      <c r="K3771" s="15" t="s">
        <v>22</v>
      </c>
    </row>
    <row r="3772" spans="1:11" ht="42" customHeight="1">
      <c r="A3772" s="4" t="s">
        <v>8375</v>
      </c>
      <c r="B3772" s="5" t="s">
        <v>8376</v>
      </c>
      <c r="C3772" s="5" t="s">
        <v>42</v>
      </c>
      <c r="D3772" s="5" t="s">
        <v>43</v>
      </c>
      <c r="E3772" s="5" t="s">
        <v>71</v>
      </c>
      <c r="F3772" s="9">
        <v>29</v>
      </c>
      <c r="G3772" s="9">
        <v>288</v>
      </c>
      <c r="H3772" s="5" t="s">
        <v>20</v>
      </c>
      <c r="I3772" s="5" t="s">
        <v>8377</v>
      </c>
      <c r="J3772" s="12" t="str">
        <f>HYPERLINK("https://www.boe.es/gazeta/dias/1806/04/04/pdfs/GMD-1806-29.pdf#page=8","Abrir facsímil")</f>
        <v>Abrir facsímil</v>
      </c>
      <c r="K3772" s="15" t="s">
        <v>22</v>
      </c>
    </row>
    <row r="3773" spans="1:11" ht="42" customHeight="1">
      <c r="A3773" s="4" t="s">
        <v>8378</v>
      </c>
      <c r="B3773" s="5" t="s">
        <v>8379</v>
      </c>
      <c r="C3773" s="5" t="s">
        <v>17</v>
      </c>
      <c r="D3773" s="5" t="s">
        <v>18</v>
      </c>
      <c r="E3773" s="5" t="s">
        <v>55</v>
      </c>
      <c r="F3773" s="9">
        <v>20</v>
      </c>
      <c r="G3773" s="9">
        <v>184</v>
      </c>
      <c r="H3773" s="5" t="s">
        <v>20</v>
      </c>
      <c r="I3773" s="5" t="s">
        <v>8380</v>
      </c>
      <c r="J3773" s="12" t="str">
        <f>HYPERLINK("https://www.boe.es/gazeta/dias/1806/03/04/pdfs/GMD-1806-20.pdf#page=8","Abrir facsímil")</f>
        <v>Abrir facsímil</v>
      </c>
      <c r="K3773" s="15" t="s">
        <v>22</v>
      </c>
    </row>
    <row r="3774" spans="1:11" ht="42" customHeight="1">
      <c r="A3774" s="4" t="s">
        <v>8381</v>
      </c>
      <c r="B3774" s="5" t="s">
        <v>8382</v>
      </c>
      <c r="C3774" s="5" t="s">
        <v>17</v>
      </c>
      <c r="D3774" s="5" t="s">
        <v>18</v>
      </c>
      <c r="E3774" s="5" t="s">
        <v>181</v>
      </c>
      <c r="F3774" s="9">
        <v>99</v>
      </c>
      <c r="G3774" s="9">
        <v>1053</v>
      </c>
      <c r="H3774" s="5" t="s">
        <v>20</v>
      </c>
      <c r="I3774" s="5" t="s">
        <v>8383</v>
      </c>
      <c r="J3774" s="12" t="str">
        <f>HYPERLINK("https://www.boe.es/gazeta/dias/1806/12/05/pdfs/GMD-1806-99.pdf#page=9","Abrir facsímil")</f>
        <v>Abrir facsímil</v>
      </c>
      <c r="K3774" s="15" t="s">
        <v>22</v>
      </c>
    </row>
    <row r="3775" spans="1:11" ht="42" customHeight="1">
      <c r="A3775" s="4" t="s">
        <v>8384</v>
      </c>
      <c r="B3775" s="5" t="s">
        <v>8385</v>
      </c>
      <c r="C3775" s="5" t="s">
        <v>17</v>
      </c>
      <c r="D3775" s="5" t="s">
        <v>18</v>
      </c>
      <c r="E3775" s="5" t="s">
        <v>185</v>
      </c>
      <c r="F3775" s="9">
        <v>46</v>
      </c>
      <c r="G3775" s="9">
        <v>470</v>
      </c>
      <c r="H3775" s="5" t="s">
        <v>20</v>
      </c>
      <c r="I3775" s="5" t="s">
        <v>8386</v>
      </c>
      <c r="J3775" s="12" t="str">
        <f>HYPERLINK("https://www.boe.es/gazeta/dias/1806/06/03/pdfs/GMD-1806-46.pdf#page=10","Abrir facsímil")</f>
        <v>Abrir facsímil</v>
      </c>
      <c r="K3775" s="15" t="s">
        <v>22</v>
      </c>
    </row>
    <row r="3776" spans="1:11" ht="42" customHeight="1">
      <c r="A3776" s="4" t="s">
        <v>8387</v>
      </c>
      <c r="B3776" s="5" t="s">
        <v>8388</v>
      </c>
      <c r="C3776" s="5" t="s">
        <v>42</v>
      </c>
      <c r="D3776" s="5" t="s">
        <v>43</v>
      </c>
      <c r="E3776" s="5" t="s">
        <v>383</v>
      </c>
      <c r="F3776" s="9">
        <v>54</v>
      </c>
      <c r="G3776" s="9">
        <v>562</v>
      </c>
      <c r="H3776" s="5" t="s">
        <v>20</v>
      </c>
      <c r="I3776" s="5" t="s">
        <v>8389</v>
      </c>
      <c r="J3776" s="12" t="str">
        <f>HYPERLINK("https://www.boe.es/gazeta/dias/1806/07/01/pdfs/GMD-1806-54.pdf#page=6","Abrir facsímil")</f>
        <v>Abrir facsímil</v>
      </c>
      <c r="K3776" s="15" t="s">
        <v>22</v>
      </c>
    </row>
    <row r="3777" spans="1:11" ht="42" customHeight="1">
      <c r="A3777" s="4" t="s">
        <v>8390</v>
      </c>
      <c r="B3777" s="5" t="s">
        <v>8391</v>
      </c>
      <c r="C3777" s="5" t="s">
        <v>31</v>
      </c>
      <c r="D3777" s="5" t="s">
        <v>32</v>
      </c>
      <c r="E3777" s="5" t="s">
        <v>434</v>
      </c>
      <c r="F3777" s="9">
        <v>74</v>
      </c>
      <c r="G3777" s="9">
        <v>766</v>
      </c>
      <c r="H3777" s="5" t="s">
        <v>20</v>
      </c>
      <c r="I3777" s="5" t="s">
        <v>8392</v>
      </c>
      <c r="J3777" s="12" t="str">
        <f>HYPERLINK("https://www.boe.es/gazeta/dias/1806/09/09/pdfs/GMD-1806-74.pdf#page=6","Abrir facsímil")</f>
        <v>Abrir facsímil</v>
      </c>
      <c r="K3777" s="15" t="s">
        <v>22</v>
      </c>
    </row>
    <row r="3778" spans="1:11" ht="42" customHeight="1">
      <c r="A3778" s="4" t="s">
        <v>8393</v>
      </c>
      <c r="B3778" s="5" t="s">
        <v>8394</v>
      </c>
      <c r="C3778" s="5" t="s">
        <v>36</v>
      </c>
      <c r="D3778" s="5" t="s">
        <v>37</v>
      </c>
      <c r="E3778" s="5" t="s">
        <v>90</v>
      </c>
      <c r="F3778" s="9">
        <v>60</v>
      </c>
      <c r="G3778" s="9">
        <v>628</v>
      </c>
      <c r="H3778" s="5" t="s">
        <v>20</v>
      </c>
      <c r="I3778" s="5" t="s">
        <v>8395</v>
      </c>
      <c r="J3778" s="12" t="str">
        <f>HYPERLINK("https://www.boe.es/gazeta/dias/1806/07/22/pdfs/GMD-1806-60.pdf#page=12","Abrir facsímil")</f>
        <v>Abrir facsímil</v>
      </c>
      <c r="K3778" s="15" t="s">
        <v>22</v>
      </c>
    </row>
    <row r="3779" spans="1:11" ht="42" customHeight="1">
      <c r="A3779" s="4" t="s">
        <v>8393</v>
      </c>
      <c r="B3779" s="5" t="s">
        <v>8394</v>
      </c>
      <c r="C3779" s="5" t="s">
        <v>42</v>
      </c>
      <c r="D3779" s="5" t="s">
        <v>43</v>
      </c>
      <c r="E3779" s="5" t="s">
        <v>438</v>
      </c>
      <c r="F3779" s="9">
        <v>70</v>
      </c>
      <c r="G3779" s="9">
        <v>732</v>
      </c>
      <c r="H3779" s="5" t="s">
        <v>20</v>
      </c>
      <c r="I3779" s="5" t="s">
        <v>8396</v>
      </c>
      <c r="J3779" s="12" t="str">
        <f>HYPERLINK("https://www.boe.es/gazeta/dias/1806/08/26/pdfs/GMD-1806-70.pdf#page=8","Abrir facsímil")</f>
        <v>Abrir facsímil</v>
      </c>
      <c r="K3779" s="15" t="s">
        <v>22</v>
      </c>
    </row>
    <row r="3780" spans="1:11" ht="42" customHeight="1">
      <c r="A3780" s="4" t="s">
        <v>8393</v>
      </c>
      <c r="B3780" s="5" t="s">
        <v>8394</v>
      </c>
      <c r="C3780" s="5" t="s">
        <v>31</v>
      </c>
      <c r="D3780" s="5" t="s">
        <v>32</v>
      </c>
      <c r="E3780" s="5" t="s">
        <v>554</v>
      </c>
      <c r="F3780" s="9">
        <v>90</v>
      </c>
      <c r="G3780" s="9">
        <v>934</v>
      </c>
      <c r="H3780" s="5" t="s">
        <v>20</v>
      </c>
      <c r="I3780" s="5" t="s">
        <v>8397</v>
      </c>
      <c r="J3780" s="12" t="str">
        <f>HYPERLINK("https://www.boe.es/gazeta/dias/1806/11/04/pdfs/GMD-1806-90.pdf#page=10","Abrir facsímil")</f>
        <v>Abrir facsímil</v>
      </c>
      <c r="K3780" s="15" t="s">
        <v>22</v>
      </c>
    </row>
    <row r="3781" spans="1:11" ht="42" customHeight="1">
      <c r="A3781" s="4" t="s">
        <v>8398</v>
      </c>
      <c r="B3781" s="5" t="s">
        <v>8399</v>
      </c>
      <c r="C3781" s="5" t="s">
        <v>31</v>
      </c>
      <c r="D3781" s="5" t="s">
        <v>32</v>
      </c>
      <c r="E3781" s="5" t="s">
        <v>816</v>
      </c>
      <c r="F3781" s="9">
        <v>86</v>
      </c>
      <c r="G3781" s="9">
        <v>891</v>
      </c>
      <c r="H3781" s="5" t="s">
        <v>20</v>
      </c>
      <c r="I3781" s="5" t="s">
        <v>8400</v>
      </c>
      <c r="J3781" s="12" t="str">
        <f>HYPERLINK("https://www.boe.es/gazeta/dias/1806/10/21/pdfs/GMD-1806-86.pdf#page=7","Abrir facsímil")</f>
        <v>Abrir facsímil</v>
      </c>
      <c r="K3781" s="15" t="s">
        <v>22</v>
      </c>
    </row>
    <row r="3782" spans="1:11" ht="42" customHeight="1">
      <c r="A3782" s="4" t="s">
        <v>8401</v>
      </c>
      <c r="B3782" s="5" t="s">
        <v>8402</v>
      </c>
      <c r="C3782" s="5" t="s">
        <v>17</v>
      </c>
      <c r="D3782" s="5" t="s">
        <v>18</v>
      </c>
      <c r="E3782" s="5" t="s">
        <v>96</v>
      </c>
      <c r="F3782" s="9">
        <v>62</v>
      </c>
      <c r="G3782" s="9">
        <v>649</v>
      </c>
      <c r="H3782" s="5" t="s">
        <v>20</v>
      </c>
      <c r="I3782" s="5" t="s">
        <v>8403</v>
      </c>
      <c r="J3782" s="12" t="str">
        <f>HYPERLINK("https://www.boe.es/gazeta/dias/1806/07/29/pdfs/GMD-1806-62.pdf#page=9","Abrir facsímil")</f>
        <v>Abrir facsímil</v>
      </c>
      <c r="K3782" s="15" t="s">
        <v>22</v>
      </c>
    </row>
    <row r="3783" spans="1:11" ht="42" customHeight="1">
      <c r="A3783" s="4" t="s">
        <v>8401</v>
      </c>
      <c r="B3783" s="5" t="s">
        <v>8402</v>
      </c>
      <c r="C3783" s="5" t="s">
        <v>36</v>
      </c>
      <c r="D3783" s="5" t="s">
        <v>37</v>
      </c>
      <c r="E3783" s="5" t="s">
        <v>209</v>
      </c>
      <c r="F3783" s="9">
        <v>95</v>
      </c>
      <c r="G3783" s="9">
        <v>1008</v>
      </c>
      <c r="H3783" s="5" t="s">
        <v>20</v>
      </c>
      <c r="I3783" s="5" t="s">
        <v>8404</v>
      </c>
      <c r="J3783" s="12" t="str">
        <f>HYPERLINK("https://www.boe.es/gazeta/dias/1806/11/21/pdfs/GMD-1806-95.pdf#page=16","Abrir facsímil")</f>
        <v>Abrir facsímil</v>
      </c>
      <c r="K3783" s="15" t="s">
        <v>22</v>
      </c>
    </row>
    <row r="3784" spans="1:11" ht="42" customHeight="1">
      <c r="A3784" s="4" t="s">
        <v>8405</v>
      </c>
      <c r="B3784" s="5" t="s">
        <v>8406</v>
      </c>
      <c r="C3784" s="5" t="s">
        <v>31</v>
      </c>
      <c r="D3784" s="5" t="s">
        <v>32</v>
      </c>
      <c r="E3784" s="5" t="s">
        <v>271</v>
      </c>
      <c r="F3784" s="9">
        <v>6</v>
      </c>
      <c r="G3784" s="9">
        <v>47</v>
      </c>
      <c r="H3784" s="5" t="s">
        <v>20</v>
      </c>
      <c r="I3784" s="5" t="s">
        <v>8407</v>
      </c>
      <c r="J3784" s="12" t="str">
        <f>HYPERLINK("https://www.boe.es/gazeta/dias/1806/01/17/pdfs/GMD-1806-6.pdf#page=3","Abrir facsímil")</f>
        <v>Abrir facsímil</v>
      </c>
      <c r="K3784" s="15" t="s">
        <v>22</v>
      </c>
    </row>
    <row r="3785" spans="1:11" ht="42" customHeight="1">
      <c r="A3785" s="4" t="s">
        <v>8408</v>
      </c>
      <c r="B3785" s="5" t="s">
        <v>8409</v>
      </c>
      <c r="C3785" s="5" t="s">
        <v>69</v>
      </c>
      <c r="D3785" s="5" t="s">
        <v>70</v>
      </c>
      <c r="E3785" s="5" t="s">
        <v>271</v>
      </c>
      <c r="F3785" s="9">
        <v>6</v>
      </c>
      <c r="G3785" s="9">
        <v>49</v>
      </c>
      <c r="H3785" s="5" t="s">
        <v>20</v>
      </c>
      <c r="I3785" s="5" t="s">
        <v>8410</v>
      </c>
      <c r="J3785" s="12" t="str">
        <f>HYPERLINK("https://www.boe.es/gazeta/dias/1806/01/17/pdfs/GMD-1806-6.pdf#page=5","Abrir facsímil")</f>
        <v>Abrir facsímil</v>
      </c>
      <c r="K3785" s="15" t="s">
        <v>22</v>
      </c>
    </row>
    <row r="3786" spans="1:11" ht="42" customHeight="1">
      <c r="A3786" s="4" t="s">
        <v>8411</v>
      </c>
      <c r="B3786" s="5" t="s">
        <v>8412</v>
      </c>
      <c r="C3786" s="5" t="s">
        <v>17</v>
      </c>
      <c r="D3786" s="5" t="s">
        <v>18</v>
      </c>
      <c r="E3786" s="5" t="s">
        <v>661</v>
      </c>
      <c r="F3786" s="9">
        <v>38</v>
      </c>
      <c r="G3786" s="9">
        <v>376</v>
      </c>
      <c r="H3786" s="5" t="s">
        <v>20</v>
      </c>
      <c r="I3786" s="5" t="s">
        <v>8413</v>
      </c>
      <c r="J3786" s="12" t="str">
        <f>HYPERLINK("https://www.boe.es/gazeta/dias/1806/05/06/pdfs/GMD-1806-38.pdf#page=12","Abrir facsímil")</f>
        <v>Abrir facsímil</v>
      </c>
      <c r="K3786" s="15" t="s">
        <v>22</v>
      </c>
    </row>
    <row r="3787" spans="1:11" ht="42" customHeight="1">
      <c r="A3787" s="4" t="s">
        <v>8414</v>
      </c>
      <c r="B3787" s="5" t="s">
        <v>8415</v>
      </c>
      <c r="C3787" s="5" t="s">
        <v>31</v>
      </c>
      <c r="D3787" s="5" t="s">
        <v>32</v>
      </c>
      <c r="E3787" s="5" t="s">
        <v>231</v>
      </c>
      <c r="F3787" s="9">
        <v>89</v>
      </c>
      <c r="G3787" s="9">
        <v>924</v>
      </c>
      <c r="H3787" s="5" t="s">
        <v>20</v>
      </c>
      <c r="I3787" s="5" t="s">
        <v>8416</v>
      </c>
      <c r="J3787" s="12" t="str">
        <f>HYPERLINK("https://www.boe.es/gazeta/dias/1806/10/31/pdfs/GMD-1806-89.pdf#page=12","Abrir facsímil")</f>
        <v>Abrir facsímil</v>
      </c>
      <c r="K3787" s="15" t="s">
        <v>22</v>
      </c>
    </row>
    <row r="3788" spans="1:11" ht="42" customHeight="1">
      <c r="A3788" s="4" t="s">
        <v>8417</v>
      </c>
      <c r="B3788" s="5" t="s">
        <v>8417</v>
      </c>
      <c r="C3788" s="5" t="s">
        <v>42</v>
      </c>
      <c r="D3788" s="5" t="s">
        <v>43</v>
      </c>
      <c r="E3788" s="5" t="s">
        <v>48</v>
      </c>
      <c r="F3788" s="9">
        <v>67</v>
      </c>
      <c r="G3788" s="9">
        <v>702</v>
      </c>
      <c r="H3788" s="5" t="s">
        <v>20</v>
      </c>
      <c r="I3788" s="5" t="s">
        <v>8418</v>
      </c>
      <c r="J3788" s="12" t="str">
        <f>HYPERLINK("https://www.boe.es/gazeta/dias/1806/08/15/pdfs/GMD-1806-67.pdf#page=10","Abrir facsímil")</f>
        <v>Abrir facsímil</v>
      </c>
      <c r="K3788" s="15" t="s">
        <v>22</v>
      </c>
    </row>
    <row r="3789" spans="1:11" ht="42" customHeight="1">
      <c r="A3789" s="4" t="s">
        <v>8419</v>
      </c>
      <c r="B3789" s="5" t="s">
        <v>8419</v>
      </c>
      <c r="C3789" s="5" t="s">
        <v>31</v>
      </c>
      <c r="D3789" s="5" t="s">
        <v>32</v>
      </c>
      <c r="E3789" s="5" t="s">
        <v>161</v>
      </c>
      <c r="F3789" s="9">
        <v>11</v>
      </c>
      <c r="G3789" s="9">
        <v>98</v>
      </c>
      <c r="H3789" s="5" t="s">
        <v>20</v>
      </c>
      <c r="I3789" s="5" t="s">
        <v>8420</v>
      </c>
      <c r="J3789" s="12" t="str">
        <f>HYPERLINK("https://www.boe.es/gazeta/dias/1806/01/31/pdfs/GMD-1806-11.pdf#page=6","Abrir facsímil")</f>
        <v>Abrir facsímil</v>
      </c>
      <c r="K3789" s="15" t="s">
        <v>22</v>
      </c>
    </row>
    <row r="3790" spans="1:11" ht="42" customHeight="1">
      <c r="A3790" s="4" t="s">
        <v>8421</v>
      </c>
      <c r="B3790" s="5" t="s">
        <v>8422</v>
      </c>
      <c r="C3790" s="5" t="s">
        <v>75</v>
      </c>
      <c r="D3790" s="5" t="s">
        <v>43</v>
      </c>
      <c r="E3790" s="5" t="s">
        <v>661</v>
      </c>
      <c r="F3790" s="9">
        <v>38</v>
      </c>
      <c r="G3790" s="9">
        <v>368</v>
      </c>
      <c r="H3790" s="5" t="s">
        <v>20</v>
      </c>
      <c r="I3790" s="5" t="s">
        <v>8423</v>
      </c>
      <c r="J3790" s="12" t="str">
        <f>HYPERLINK("https://www.boe.es/gazeta/dias/1806/05/06/pdfs/GMD-1806-38.pdf#page=4","Abrir facsímil")</f>
        <v>Abrir facsímil</v>
      </c>
      <c r="K3790" s="15" t="s">
        <v>22</v>
      </c>
    </row>
    <row r="3791" spans="1:11" ht="42" customHeight="1">
      <c r="A3791" s="4" t="s">
        <v>8424</v>
      </c>
      <c r="B3791" s="5" t="s">
        <v>8425</v>
      </c>
      <c r="C3791" s="5" t="s">
        <v>42</v>
      </c>
      <c r="D3791" s="5" t="s">
        <v>43</v>
      </c>
      <c r="E3791" s="5" t="s">
        <v>59</v>
      </c>
      <c r="F3791" s="9">
        <v>21</v>
      </c>
      <c r="G3791" s="9">
        <v>198</v>
      </c>
      <c r="H3791" s="5" t="s">
        <v>20</v>
      </c>
      <c r="I3791" s="5" t="s">
        <v>8426</v>
      </c>
      <c r="J3791" s="12" t="str">
        <f>HYPERLINK("https://www.boe.es/gazeta/dias/1806/03/07/pdfs/GMD-1806-21.pdf#page=10","Abrir facsímil")</f>
        <v>Abrir facsímil</v>
      </c>
      <c r="K3791" s="15" t="s">
        <v>22</v>
      </c>
    </row>
    <row r="3792" spans="1:11" ht="42" customHeight="1">
      <c r="A3792" s="4" t="s">
        <v>8427</v>
      </c>
      <c r="B3792" s="5" t="s">
        <v>8428</v>
      </c>
      <c r="C3792" s="5" t="s">
        <v>17</v>
      </c>
      <c r="D3792" s="5" t="s">
        <v>18</v>
      </c>
      <c r="E3792" s="5" t="s">
        <v>306</v>
      </c>
      <c r="F3792" s="9">
        <v>59</v>
      </c>
      <c r="G3792" s="9">
        <v>613</v>
      </c>
      <c r="H3792" s="5" t="s">
        <v>20</v>
      </c>
      <c r="I3792" s="5" t="s">
        <v>8429</v>
      </c>
      <c r="J3792" s="12" t="str">
        <f>HYPERLINK("https://www.boe.es/gazeta/dias/1806/07/18/pdfs/GMD-1806-59.pdf#page=9","Abrir facsímil")</f>
        <v>Abrir facsímil</v>
      </c>
      <c r="K3792" s="15" t="s">
        <v>22</v>
      </c>
    </row>
    <row r="3793" spans="1:11" ht="42" customHeight="1">
      <c r="A3793" s="4" t="s">
        <v>8430</v>
      </c>
      <c r="B3793" s="5" t="s">
        <v>8431</v>
      </c>
      <c r="C3793" s="5" t="s">
        <v>31</v>
      </c>
      <c r="D3793" s="5" t="s">
        <v>32</v>
      </c>
      <c r="E3793" s="5" t="s">
        <v>76</v>
      </c>
      <c r="F3793" s="9">
        <v>98</v>
      </c>
      <c r="G3793" s="9">
        <v>1043</v>
      </c>
      <c r="H3793" s="5" t="s">
        <v>20</v>
      </c>
      <c r="I3793" s="5" t="s">
        <v>8432</v>
      </c>
      <c r="J3793" s="12" t="str">
        <f>HYPERLINK("https://www.boe.es/gazeta/dias/1806/12/02/pdfs/GMD-1806-98.pdf#page=11","Abrir facsímil")</f>
        <v>Abrir facsímil</v>
      </c>
      <c r="K3793" s="15" t="s">
        <v>22</v>
      </c>
    </row>
    <row r="3794" spans="1:11" ht="42" customHeight="1">
      <c r="A3794" s="4" t="s">
        <v>8433</v>
      </c>
      <c r="B3794" s="5" t="s">
        <v>8434</v>
      </c>
      <c r="C3794" s="5" t="s">
        <v>69</v>
      </c>
      <c r="D3794" s="5" t="s">
        <v>70</v>
      </c>
      <c r="E3794" s="5" t="s">
        <v>231</v>
      </c>
      <c r="F3794" s="9">
        <v>89</v>
      </c>
      <c r="G3794" s="9">
        <v>917</v>
      </c>
      <c r="H3794" s="5" t="s">
        <v>20</v>
      </c>
      <c r="I3794" s="5" t="s">
        <v>8435</v>
      </c>
      <c r="J3794" s="12" t="str">
        <f>HYPERLINK("https://www.boe.es/gazeta/dias/1806/10/31/pdfs/GMD-1806-89.pdf#page=5","Abrir facsímil")</f>
        <v>Abrir facsímil</v>
      </c>
      <c r="K3794" s="15" t="s">
        <v>22</v>
      </c>
    </row>
    <row r="3795" spans="1:11" ht="42" customHeight="1">
      <c r="A3795" s="4" t="s">
        <v>8436</v>
      </c>
      <c r="B3795" s="5" t="s">
        <v>8436</v>
      </c>
      <c r="C3795" s="5" t="s">
        <v>36</v>
      </c>
      <c r="D3795" s="5" t="s">
        <v>37</v>
      </c>
      <c r="E3795" s="5" t="s">
        <v>202</v>
      </c>
      <c r="F3795" s="9">
        <v>30</v>
      </c>
      <c r="G3795" s="9">
        <v>290</v>
      </c>
      <c r="H3795" s="5" t="s">
        <v>20</v>
      </c>
      <c r="I3795" s="5" t="s">
        <v>8437</v>
      </c>
      <c r="J3795" s="12" t="str">
        <f>HYPERLINK("https://www.boe.es/gazeta/dias/1806/04/08/pdfs/GMD-1806-30.pdf#page=2","Abrir facsímil")</f>
        <v>Abrir facsímil</v>
      </c>
      <c r="K3795" s="15" t="s">
        <v>22</v>
      </c>
    </row>
    <row r="3796" spans="1:11" ht="42" customHeight="1">
      <c r="A3796" s="4" t="s">
        <v>8438</v>
      </c>
      <c r="B3796" s="5" t="s">
        <v>8439</v>
      </c>
      <c r="C3796" s="5" t="s">
        <v>31</v>
      </c>
      <c r="D3796" s="5" t="s">
        <v>32</v>
      </c>
      <c r="E3796" s="5" t="s">
        <v>312</v>
      </c>
      <c r="F3796" s="9">
        <v>100</v>
      </c>
      <c r="G3796" s="9">
        <v>1059</v>
      </c>
      <c r="H3796" s="5" t="s">
        <v>20</v>
      </c>
      <c r="I3796" s="5" t="s">
        <v>8440</v>
      </c>
      <c r="J3796" s="12" t="str">
        <f>HYPERLINK("https://www.boe.es/gazeta/dias/1806/12/09/pdfs/GMD-1806-100.pdf#page=3","Abrir facsímil")</f>
        <v>Abrir facsímil</v>
      </c>
      <c r="K3796" s="15" t="s">
        <v>22</v>
      </c>
    </row>
    <row r="3797" spans="1:11" ht="42" customHeight="1">
      <c r="A3797" s="4" t="s">
        <v>8441</v>
      </c>
      <c r="B3797" s="5" t="s">
        <v>8442</v>
      </c>
      <c r="C3797" s="5" t="s">
        <v>36</v>
      </c>
      <c r="D3797" s="5" t="s">
        <v>37</v>
      </c>
      <c r="E3797" s="5" t="s">
        <v>220</v>
      </c>
      <c r="F3797" s="9">
        <v>24</v>
      </c>
      <c r="G3797" s="9">
        <v>235</v>
      </c>
      <c r="H3797" s="5" t="s">
        <v>20</v>
      </c>
      <c r="I3797" s="5" t="s">
        <v>8443</v>
      </c>
      <c r="J3797" s="12" t="str">
        <f>HYPERLINK("https://www.boe.es/gazeta/dias/1806/03/18/pdfs/GMD-1806-24.pdf#page=11","Abrir facsímil")</f>
        <v>Abrir facsímil</v>
      </c>
      <c r="K3797" s="15" t="s">
        <v>22</v>
      </c>
    </row>
    <row r="3798" spans="1:11" ht="42" customHeight="1">
      <c r="A3798" s="4" t="s">
        <v>8441</v>
      </c>
      <c r="B3798" s="5" t="s">
        <v>8442</v>
      </c>
      <c r="C3798" s="5" t="s">
        <v>75</v>
      </c>
      <c r="D3798" s="5" t="s">
        <v>43</v>
      </c>
      <c r="E3798" s="5" t="s">
        <v>702</v>
      </c>
      <c r="F3798" s="9">
        <v>43</v>
      </c>
      <c r="G3798" s="9">
        <v>434</v>
      </c>
      <c r="H3798" s="5" t="s">
        <v>20</v>
      </c>
      <c r="I3798" s="5" t="s">
        <v>8444</v>
      </c>
      <c r="J3798" s="12" t="str">
        <f>HYPERLINK("https://www.boe.es/gazeta/dias/1806/05/23/pdfs/GMD-1806-43.pdf#page=10","Abrir facsímil")</f>
        <v>Abrir facsímil</v>
      </c>
      <c r="K3798" s="15" t="s">
        <v>22</v>
      </c>
    </row>
    <row r="3799" spans="1:11" ht="42" customHeight="1">
      <c r="A3799" s="4" t="s">
        <v>8445</v>
      </c>
      <c r="B3799" s="5" t="s">
        <v>8446</v>
      </c>
      <c r="C3799" s="5" t="s">
        <v>36</v>
      </c>
      <c r="D3799" s="5" t="s">
        <v>37</v>
      </c>
      <c r="E3799" s="5" t="s">
        <v>26</v>
      </c>
      <c r="F3799" s="9">
        <v>65</v>
      </c>
      <c r="G3799" s="9">
        <v>682</v>
      </c>
      <c r="H3799" s="5" t="s">
        <v>20</v>
      </c>
      <c r="I3799" s="5" t="s">
        <v>8447</v>
      </c>
      <c r="J3799" s="12" t="str">
        <f>HYPERLINK("https://www.boe.es/gazeta/dias/1806/08/08/pdfs/GMD-1806-65.pdf#page=10","Abrir facsímil")</f>
        <v>Abrir facsímil</v>
      </c>
      <c r="K3799" s="15" t="s">
        <v>22</v>
      </c>
    </row>
    <row r="3800" spans="1:11" ht="42" customHeight="1">
      <c r="A3800" s="4" t="s">
        <v>8445</v>
      </c>
      <c r="B3800" s="5" t="s">
        <v>8446</v>
      </c>
      <c r="C3800" s="5" t="s">
        <v>36</v>
      </c>
      <c r="D3800" s="5" t="s">
        <v>37</v>
      </c>
      <c r="E3800" s="5" t="s">
        <v>148</v>
      </c>
      <c r="F3800" s="9">
        <v>78</v>
      </c>
      <c r="G3800" s="9">
        <v>806</v>
      </c>
      <c r="H3800" s="5" t="s">
        <v>20</v>
      </c>
      <c r="I3800" s="5" t="s">
        <v>8448</v>
      </c>
      <c r="J3800" s="12" t="str">
        <f>HYPERLINK("https://www.boe.es/gazeta/dias/1806/09/23/pdfs/GMD-1806-78.pdf#page=10","Abrir facsímil")</f>
        <v>Abrir facsímil</v>
      </c>
      <c r="K3800" s="15" t="s">
        <v>22</v>
      </c>
    </row>
    <row r="3801" spans="1:11" ht="42" customHeight="1">
      <c r="A3801" s="4" t="s">
        <v>8441</v>
      </c>
      <c r="B3801" s="5" t="s">
        <v>8442</v>
      </c>
      <c r="C3801" s="5" t="s">
        <v>75</v>
      </c>
      <c r="D3801" s="5" t="s">
        <v>43</v>
      </c>
      <c r="E3801" s="5" t="s">
        <v>405</v>
      </c>
      <c r="F3801" s="9">
        <v>80</v>
      </c>
      <c r="G3801" s="9">
        <v>831</v>
      </c>
      <c r="H3801" s="5" t="s">
        <v>20</v>
      </c>
      <c r="I3801" s="5" t="s">
        <v>8449</v>
      </c>
      <c r="J3801" s="12" t="str">
        <f>HYPERLINK("https://www.boe.es/gazeta/dias/1806/09/30/pdfs/GMD-1806-80.pdf#page=11","Abrir facsímil")</f>
        <v>Abrir facsímil</v>
      </c>
      <c r="K3801" s="15" t="s">
        <v>22</v>
      </c>
    </row>
    <row r="3802" spans="1:11" ht="42" customHeight="1">
      <c r="A3802" s="4" t="s">
        <v>8450</v>
      </c>
      <c r="B3802" s="5" t="s">
        <v>8451</v>
      </c>
      <c r="C3802" s="5" t="s">
        <v>75</v>
      </c>
      <c r="D3802" s="5" t="s">
        <v>43</v>
      </c>
      <c r="E3802" s="5" t="s">
        <v>657</v>
      </c>
      <c r="F3802" s="9">
        <v>96</v>
      </c>
      <c r="G3802" s="9">
        <v>1014</v>
      </c>
      <c r="H3802" s="5" t="s">
        <v>20</v>
      </c>
      <c r="I3802" s="5" t="s">
        <v>8452</v>
      </c>
      <c r="J3802" s="12" t="str">
        <f>HYPERLINK("https://www.boe.es/gazeta/dias/1806/11/25/pdfs/GMD-1806-96.pdf#page=6","Abrir facsímil")</f>
        <v>Abrir facsímil</v>
      </c>
      <c r="K3802" s="15" t="s">
        <v>22</v>
      </c>
    </row>
    <row r="3803" spans="1:11" ht="42" customHeight="1">
      <c r="A3803" s="4" t="s">
        <v>8453</v>
      </c>
      <c r="B3803" s="5" t="s">
        <v>8453</v>
      </c>
      <c r="C3803" s="5" t="s">
        <v>36</v>
      </c>
      <c r="D3803" s="5" t="s">
        <v>37</v>
      </c>
      <c r="E3803" s="5" t="s">
        <v>438</v>
      </c>
      <c r="F3803" s="9">
        <v>70</v>
      </c>
      <c r="G3803" s="9">
        <v>732</v>
      </c>
      <c r="H3803" s="5" t="s">
        <v>20</v>
      </c>
      <c r="I3803" s="5" t="s">
        <v>8454</v>
      </c>
      <c r="J3803" s="12" t="str">
        <f>HYPERLINK("https://www.boe.es/gazeta/dias/1806/08/26/pdfs/GMD-1806-70.pdf#page=8","Abrir facsímil")</f>
        <v>Abrir facsímil</v>
      </c>
      <c r="K3803" s="15" t="s">
        <v>22</v>
      </c>
    </row>
    <row r="3804" spans="1:11" ht="42" customHeight="1">
      <c r="A3804" s="4" t="s">
        <v>8455</v>
      </c>
      <c r="B3804" s="5" t="s">
        <v>8455</v>
      </c>
      <c r="C3804" s="5" t="s">
        <v>31</v>
      </c>
      <c r="D3804" s="5" t="s">
        <v>32</v>
      </c>
      <c r="E3804" s="5" t="s">
        <v>172</v>
      </c>
      <c r="F3804" s="9">
        <v>17</v>
      </c>
      <c r="G3804" s="9">
        <v>151</v>
      </c>
      <c r="H3804" s="5" t="s">
        <v>20</v>
      </c>
      <c r="I3804" s="5" t="s">
        <v>8456</v>
      </c>
      <c r="J3804" s="12" t="str">
        <f>HYPERLINK("https://www.boe.es/gazeta/dias/1806/02/21/pdfs/GMD-1806-17.pdf#page=7","Abrir facsímil")</f>
        <v>Abrir facsímil</v>
      </c>
      <c r="K3804" s="15" t="s">
        <v>22</v>
      </c>
    </row>
    <row r="3805" spans="1:11" ht="42" customHeight="1">
      <c r="A3805" s="4" t="s">
        <v>8457</v>
      </c>
      <c r="B3805" s="5" t="s">
        <v>8457</v>
      </c>
      <c r="C3805" s="5" t="s">
        <v>31</v>
      </c>
      <c r="D3805" s="5" t="s">
        <v>32</v>
      </c>
      <c r="E3805" s="5" t="s">
        <v>285</v>
      </c>
      <c r="F3805" s="9">
        <v>13</v>
      </c>
      <c r="G3805" s="9">
        <v>114</v>
      </c>
      <c r="H3805" s="5" t="s">
        <v>20</v>
      </c>
      <c r="I3805" s="5" t="s">
        <v>8458</v>
      </c>
      <c r="J3805" s="12" t="str">
        <f>HYPERLINK("https://www.boe.es/gazeta/dias/1806/02/07/pdfs/GMD-1806-13.pdf#page=6","Abrir facsímil")</f>
        <v>Abrir facsímil</v>
      </c>
      <c r="K3805" s="15" t="s">
        <v>22</v>
      </c>
    </row>
    <row r="3806" spans="1:11" ht="42" customHeight="1">
      <c r="A3806" s="4" t="s">
        <v>8459</v>
      </c>
      <c r="B3806" s="5" t="s">
        <v>8459</v>
      </c>
      <c r="C3806" s="5" t="s">
        <v>17</v>
      </c>
      <c r="D3806" s="5" t="s">
        <v>18</v>
      </c>
      <c r="E3806" s="5" t="s">
        <v>140</v>
      </c>
      <c r="F3806" s="9">
        <v>83</v>
      </c>
      <c r="G3806" s="9">
        <v>861</v>
      </c>
      <c r="H3806" s="5" t="s">
        <v>20</v>
      </c>
      <c r="I3806" s="5" t="s">
        <v>8460</v>
      </c>
      <c r="J3806" s="12" t="str">
        <f>HYPERLINK("https://www.boe.es/gazeta/dias/1806/10/10/pdfs/GMD-1806-83.pdf#page=9","Abrir facsímil")</f>
        <v>Abrir facsímil</v>
      </c>
      <c r="K3806" s="15" t="s">
        <v>22</v>
      </c>
    </row>
    <row r="3807" spans="1:11" ht="42" customHeight="1">
      <c r="A3807" s="4" t="s">
        <v>8461</v>
      </c>
      <c r="B3807" s="5" t="s">
        <v>8462</v>
      </c>
      <c r="C3807" s="5" t="s">
        <v>31</v>
      </c>
      <c r="D3807" s="5" t="s">
        <v>32</v>
      </c>
      <c r="E3807" s="5" t="s">
        <v>400</v>
      </c>
      <c r="F3807" s="9">
        <v>22</v>
      </c>
      <c r="G3807" s="9">
        <v>207</v>
      </c>
      <c r="H3807" s="5" t="s">
        <v>20</v>
      </c>
      <c r="I3807" s="5" t="s">
        <v>8463</v>
      </c>
      <c r="J3807" s="12" t="str">
        <f>HYPERLINK("https://www.boe.es/gazeta/dias/1806/03/11/pdfs/GMD-1806-22.pdf#page=7","Abrir facsímil")</f>
        <v>Abrir facsímil</v>
      </c>
      <c r="K3807" s="15" t="s">
        <v>22</v>
      </c>
    </row>
    <row r="3808" spans="1:11" ht="42" customHeight="1">
      <c r="A3808" s="4" t="s">
        <v>8464</v>
      </c>
      <c r="B3808" s="5" t="s">
        <v>8465</v>
      </c>
      <c r="C3808" s="5" t="s">
        <v>69</v>
      </c>
      <c r="D3808" s="5" t="s">
        <v>70</v>
      </c>
      <c r="E3808" s="5" t="s">
        <v>279</v>
      </c>
      <c r="F3808" s="9">
        <v>52</v>
      </c>
      <c r="G3808" s="9">
        <v>534</v>
      </c>
      <c r="H3808" s="5" t="s">
        <v>20</v>
      </c>
      <c r="I3808" s="5" t="s">
        <v>8466</v>
      </c>
      <c r="J3808" s="12" t="str">
        <f>HYPERLINK("https://www.boe.es/gazeta/dias/1806/06/24/pdfs/GMD-1806-52.pdf#page=2","Abrir facsímil")</f>
        <v>Abrir facsímil</v>
      </c>
      <c r="K3808" s="15" t="s">
        <v>22</v>
      </c>
    </row>
    <row r="3809" spans="1:11" ht="42" customHeight="1">
      <c r="A3809" s="4" t="s">
        <v>8464</v>
      </c>
      <c r="B3809" s="5" t="s">
        <v>8465</v>
      </c>
      <c r="C3809" s="5" t="s">
        <v>69</v>
      </c>
      <c r="D3809" s="5" t="s">
        <v>70</v>
      </c>
      <c r="E3809" s="5" t="s">
        <v>110</v>
      </c>
      <c r="F3809" s="9">
        <v>55</v>
      </c>
      <c r="G3809" s="9">
        <v>567</v>
      </c>
      <c r="H3809" s="5" t="s">
        <v>20</v>
      </c>
      <c r="I3809" s="5" t="s">
        <v>8467</v>
      </c>
      <c r="J3809" s="12" t="str">
        <f>HYPERLINK("https://www.boe.es/gazeta/dias/1806/07/04/pdfs/GMD-1806-55.pdf#page=3","Abrir facsímil")</f>
        <v>Abrir facsímil</v>
      </c>
      <c r="K3809" s="15" t="s">
        <v>22</v>
      </c>
    </row>
    <row r="3810" spans="1:11" ht="42" customHeight="1">
      <c r="A3810" s="4" t="s">
        <v>8464</v>
      </c>
      <c r="B3810" s="5" t="s">
        <v>8465</v>
      </c>
      <c r="C3810" s="5" t="s">
        <v>69</v>
      </c>
      <c r="D3810" s="5" t="s">
        <v>70</v>
      </c>
      <c r="E3810" s="5" t="s">
        <v>716</v>
      </c>
      <c r="F3810" s="9">
        <v>56</v>
      </c>
      <c r="G3810" s="9">
        <v>585</v>
      </c>
      <c r="H3810" s="5" t="s">
        <v>20</v>
      </c>
      <c r="I3810" s="5" t="s">
        <v>8468</v>
      </c>
      <c r="J3810" s="12" t="str">
        <f>HYPERLINK("https://www.boe.es/gazeta/dias/1806/07/08/pdfs/GMD-1806-56.pdf#page=9","Abrir facsímil")</f>
        <v>Abrir facsímil</v>
      </c>
      <c r="K3810" s="15" t="s">
        <v>22</v>
      </c>
    </row>
    <row r="3811" spans="1:11" ht="42" customHeight="1">
      <c r="A3811" s="4" t="s">
        <v>8464</v>
      </c>
      <c r="B3811" s="5" t="s">
        <v>8465</v>
      </c>
      <c r="C3811" s="5" t="s">
        <v>69</v>
      </c>
      <c r="D3811" s="5" t="s">
        <v>70</v>
      </c>
      <c r="E3811" s="5" t="s">
        <v>455</v>
      </c>
      <c r="F3811" s="9">
        <v>85</v>
      </c>
      <c r="G3811" s="9">
        <v>876</v>
      </c>
      <c r="H3811" s="5" t="s">
        <v>20</v>
      </c>
      <c r="I3811" s="5" t="s">
        <v>8469</v>
      </c>
      <c r="J3811" s="12" t="str">
        <f>HYPERLINK("https://www.boe.es/gazeta/dias/1806/10/17/pdfs/GMD-1806-85.pdf#page=4","Abrir facsímil")</f>
        <v>Abrir facsímil</v>
      </c>
      <c r="K3811" s="15" t="s">
        <v>22</v>
      </c>
    </row>
    <row r="3812" spans="1:11" ht="42" customHeight="1">
      <c r="A3812" s="4" t="s">
        <v>8470</v>
      </c>
      <c r="B3812" s="5" t="s">
        <v>8471</v>
      </c>
      <c r="C3812" s="5" t="s">
        <v>69</v>
      </c>
      <c r="D3812" s="5" t="s">
        <v>70</v>
      </c>
      <c r="E3812" s="5" t="s">
        <v>1080</v>
      </c>
      <c r="F3812" s="9">
        <v>49</v>
      </c>
      <c r="G3812" s="9">
        <v>502</v>
      </c>
      <c r="H3812" s="5" t="s">
        <v>20</v>
      </c>
      <c r="I3812" s="5" t="s">
        <v>8472</v>
      </c>
      <c r="J3812" s="12" t="str">
        <f>HYPERLINK("https://www.boe.es/gazeta/dias/1806/06/13/pdfs/GMD-1806-49.pdf#page=2","Abrir facsímil")</f>
        <v>Abrir facsímil</v>
      </c>
      <c r="K3812" s="15" t="s">
        <v>22</v>
      </c>
    </row>
    <row r="3813" spans="1:11" ht="42" customHeight="1">
      <c r="A3813" s="4" t="s">
        <v>8470</v>
      </c>
      <c r="B3813" s="5" t="s">
        <v>8471</v>
      </c>
      <c r="C3813" s="5" t="s">
        <v>69</v>
      </c>
      <c r="D3813" s="5" t="s">
        <v>70</v>
      </c>
      <c r="E3813" s="5" t="s">
        <v>86</v>
      </c>
      <c r="F3813" s="9">
        <v>53</v>
      </c>
      <c r="G3813" s="9">
        <v>547</v>
      </c>
      <c r="H3813" s="5" t="s">
        <v>20</v>
      </c>
      <c r="I3813" s="5" t="s">
        <v>8473</v>
      </c>
      <c r="J3813" s="12" t="str">
        <f>HYPERLINK("https://www.boe.es/gazeta/dias/1806/06/27/pdfs/GMD-1806-53.pdf#page=3","Abrir facsímil")</f>
        <v>Abrir facsímil</v>
      </c>
      <c r="K3813" s="15" t="s">
        <v>22</v>
      </c>
    </row>
    <row r="3814" spans="1:11" ht="42" customHeight="1">
      <c r="A3814" s="4" t="s">
        <v>8474</v>
      </c>
      <c r="B3814" s="5" t="s">
        <v>8475</v>
      </c>
      <c r="C3814" s="5" t="s">
        <v>31</v>
      </c>
      <c r="D3814" s="5" t="s">
        <v>32</v>
      </c>
      <c r="E3814" s="5" t="s">
        <v>290</v>
      </c>
      <c r="F3814" s="9">
        <v>1</v>
      </c>
      <c r="G3814" s="9">
        <v>5</v>
      </c>
      <c r="H3814" s="5" t="s">
        <v>20</v>
      </c>
      <c r="I3814" s="5" t="s">
        <v>8476</v>
      </c>
      <c r="J3814" s="12" t="str">
        <f>HYPERLINK("https://www.boe.es/gazeta/dias/1806/01/03/pdfs/GMD-1806-1.pdf#page=5","Abrir facsímil")</f>
        <v>Abrir facsímil</v>
      </c>
      <c r="K3814" s="15" t="s">
        <v>22</v>
      </c>
    </row>
    <row r="3815" spans="1:11" ht="42" customHeight="1">
      <c r="A3815" s="4" t="s">
        <v>8474</v>
      </c>
      <c r="B3815" s="5" t="s">
        <v>8475</v>
      </c>
      <c r="C3815" s="5" t="s">
        <v>31</v>
      </c>
      <c r="D3815" s="5" t="s">
        <v>32</v>
      </c>
      <c r="E3815" s="5" t="s">
        <v>290</v>
      </c>
      <c r="F3815" s="9">
        <v>1</v>
      </c>
      <c r="G3815" s="9">
        <v>6</v>
      </c>
      <c r="H3815" s="5" t="s">
        <v>20</v>
      </c>
      <c r="I3815" s="5" t="s">
        <v>8477</v>
      </c>
      <c r="J3815" s="12" t="str">
        <f>HYPERLINK("https://www.boe.es/gazeta/dias/1806/01/03/pdfs/GMD-1806-1.pdf#page=6","Abrir facsímil")</f>
        <v>Abrir facsímil</v>
      </c>
      <c r="K3815" s="15" t="s">
        <v>22</v>
      </c>
    </row>
    <row r="3816" spans="1:11" ht="42" customHeight="1">
      <c r="A3816" s="4" t="s">
        <v>8474</v>
      </c>
      <c r="B3816" s="5" t="s">
        <v>8475</v>
      </c>
      <c r="C3816" s="5" t="s">
        <v>36</v>
      </c>
      <c r="D3816" s="5" t="s">
        <v>37</v>
      </c>
      <c r="E3816" s="5" t="s">
        <v>195</v>
      </c>
      <c r="F3816" s="9" t="s">
        <v>708</v>
      </c>
      <c r="G3816" s="9">
        <v>44</v>
      </c>
      <c r="H3816" s="5" t="s">
        <v>20</v>
      </c>
      <c r="I3816" s="5" t="s">
        <v>8478</v>
      </c>
      <c r="J3816" s="12" t="str">
        <f>HYPERLINK("https://www.boe.es/gazeta/dias/1806/01/14/pdfs/GMD-1806-5E.pdf#page=4","Abrir facsímil")</f>
        <v>Abrir facsímil</v>
      </c>
      <c r="K3816" s="15" t="s">
        <v>22</v>
      </c>
    </row>
    <row r="3817" spans="1:11" ht="42" customHeight="1">
      <c r="A3817" s="4" t="s">
        <v>8474</v>
      </c>
      <c r="B3817" s="5" t="s">
        <v>8475</v>
      </c>
      <c r="C3817" s="5" t="s">
        <v>69</v>
      </c>
      <c r="D3817" s="5" t="s">
        <v>70</v>
      </c>
      <c r="E3817" s="5" t="s">
        <v>100</v>
      </c>
      <c r="F3817" s="9">
        <v>7</v>
      </c>
      <c r="G3817" s="9">
        <v>61</v>
      </c>
      <c r="H3817" s="5" t="s">
        <v>20</v>
      </c>
      <c r="I3817" s="5" t="s">
        <v>8479</v>
      </c>
      <c r="J3817" s="12" t="str">
        <f>HYPERLINK("https://www.boe.es/gazeta/dias/1806/01/21/pdfs/GMD-1806-7.pdf#page=5","Abrir facsímil")</f>
        <v>Abrir facsímil</v>
      </c>
      <c r="K3817" s="15" t="s">
        <v>22</v>
      </c>
    </row>
    <row r="3818" spans="1:11" ht="42" customHeight="1">
      <c r="A3818" s="4" t="s">
        <v>8474</v>
      </c>
      <c r="B3818" s="5" t="s">
        <v>8475</v>
      </c>
      <c r="C3818" s="5" t="s">
        <v>69</v>
      </c>
      <c r="D3818" s="5" t="s">
        <v>70</v>
      </c>
      <c r="E3818" s="5" t="s">
        <v>363</v>
      </c>
      <c r="F3818" s="9">
        <v>8</v>
      </c>
      <c r="G3818" s="9">
        <v>72</v>
      </c>
      <c r="H3818" s="5" t="s">
        <v>20</v>
      </c>
      <c r="I3818" s="5" t="s">
        <v>8480</v>
      </c>
      <c r="J3818" s="12" t="str">
        <f>HYPERLINK("https://www.boe.es/gazeta/dias/1806/01/24/pdfs/GMD-1806-8.pdf#page=4","Abrir facsímil")</f>
        <v>Abrir facsímil</v>
      </c>
      <c r="K3818" s="15" t="s">
        <v>22</v>
      </c>
    </row>
    <row r="3819" spans="1:11" ht="42" customHeight="1">
      <c r="A3819" s="4" t="s">
        <v>8474</v>
      </c>
      <c r="B3819" s="5" t="s">
        <v>8475</v>
      </c>
      <c r="C3819" s="5" t="s">
        <v>69</v>
      </c>
      <c r="D3819" s="5" t="s">
        <v>70</v>
      </c>
      <c r="E3819" s="5" t="s">
        <v>161</v>
      </c>
      <c r="F3819" s="9">
        <v>11</v>
      </c>
      <c r="G3819" s="9">
        <v>93</v>
      </c>
      <c r="H3819" s="5" t="s">
        <v>20</v>
      </c>
      <c r="I3819" s="5" t="s">
        <v>8481</v>
      </c>
      <c r="J3819" s="12" t="str">
        <f>HYPERLINK("https://www.boe.es/gazeta/dias/1806/01/31/pdfs/GMD-1806-11.pdf#page=1","Abrir facsímil")</f>
        <v>Abrir facsímil</v>
      </c>
      <c r="K3819" s="15" t="s">
        <v>22</v>
      </c>
    </row>
    <row r="3820" spans="1:11" ht="42" customHeight="1">
      <c r="A3820" s="4" t="s">
        <v>8474</v>
      </c>
      <c r="B3820" s="5" t="s">
        <v>8475</v>
      </c>
      <c r="C3820" s="5" t="s">
        <v>69</v>
      </c>
      <c r="D3820" s="5" t="s">
        <v>70</v>
      </c>
      <c r="E3820" s="5" t="s">
        <v>430</v>
      </c>
      <c r="F3820" s="9">
        <v>12</v>
      </c>
      <c r="G3820" s="9">
        <v>104</v>
      </c>
      <c r="H3820" s="5" t="s">
        <v>20</v>
      </c>
      <c r="I3820" s="5" t="s">
        <v>8482</v>
      </c>
      <c r="J3820" s="12" t="str">
        <f>HYPERLINK("https://www.boe.es/gazeta/dias/1806/02/04/pdfs/GMD-1806-12.pdf#page=4","Abrir facsímil")</f>
        <v>Abrir facsímil</v>
      </c>
      <c r="K3820" s="15" t="s">
        <v>22</v>
      </c>
    </row>
    <row r="3821" spans="1:11" ht="42" customHeight="1">
      <c r="A3821" s="4" t="s">
        <v>8474</v>
      </c>
      <c r="B3821" s="5" t="s">
        <v>8475</v>
      </c>
      <c r="C3821" s="5" t="s">
        <v>17</v>
      </c>
      <c r="D3821" s="5" t="s">
        <v>18</v>
      </c>
      <c r="E3821" s="5" t="s">
        <v>430</v>
      </c>
      <c r="F3821" s="9">
        <v>12</v>
      </c>
      <c r="G3821" s="9">
        <v>106</v>
      </c>
      <c r="H3821" s="5" t="s">
        <v>20</v>
      </c>
      <c r="I3821" s="5" t="s">
        <v>8483</v>
      </c>
      <c r="J3821" s="12" t="str">
        <f>HYPERLINK("https://www.boe.es/gazeta/dias/1806/02/04/pdfs/GMD-1806-12.pdf#page=6","Abrir facsímil")</f>
        <v>Abrir facsímil</v>
      </c>
      <c r="K3821" s="15" t="s">
        <v>22</v>
      </c>
    </row>
    <row r="3822" spans="1:11" ht="42" customHeight="1">
      <c r="A3822" s="4" t="s">
        <v>8484</v>
      </c>
      <c r="B3822" s="5" t="s">
        <v>8485</v>
      </c>
      <c r="C3822" s="5" t="s">
        <v>17</v>
      </c>
      <c r="D3822" s="5" t="s">
        <v>18</v>
      </c>
      <c r="E3822" s="5" t="s">
        <v>669</v>
      </c>
      <c r="F3822" s="9">
        <v>14</v>
      </c>
      <c r="G3822" s="9">
        <v>122</v>
      </c>
      <c r="H3822" s="5" t="s">
        <v>20</v>
      </c>
      <c r="I3822" s="5" t="s">
        <v>8486</v>
      </c>
      <c r="J3822" s="12" t="str">
        <f>HYPERLINK("https://www.boe.es/gazeta/dias/1806/02/11/pdfs/GMD-1806-14.pdf#page=6","Abrir facsímil")</f>
        <v>Abrir facsímil</v>
      </c>
      <c r="K3822" s="15" t="s">
        <v>22</v>
      </c>
    </row>
    <row r="3823" spans="1:11" ht="42" customHeight="1">
      <c r="A3823" s="4" t="s">
        <v>8474</v>
      </c>
      <c r="B3823" s="5" t="s">
        <v>8475</v>
      </c>
      <c r="C3823" s="5" t="s">
        <v>69</v>
      </c>
      <c r="D3823" s="5" t="s">
        <v>70</v>
      </c>
      <c r="E3823" s="5" t="s">
        <v>870</v>
      </c>
      <c r="F3823" s="9">
        <v>35</v>
      </c>
      <c r="G3823" s="9">
        <v>340</v>
      </c>
      <c r="H3823" s="5" t="s">
        <v>20</v>
      </c>
      <c r="I3823" s="5" t="s">
        <v>8487</v>
      </c>
      <c r="J3823" s="12" t="str">
        <f>HYPERLINK("https://www.boe.es/gazeta/dias/1806/04/25/pdfs/GMD-1806-35.pdf#page=4","Abrir facsímil")</f>
        <v>Abrir facsímil</v>
      </c>
      <c r="K3823" s="15" t="s">
        <v>22</v>
      </c>
    </row>
    <row r="3824" spans="1:11" ht="42" customHeight="1">
      <c r="A3824" s="4" t="s">
        <v>8474</v>
      </c>
      <c r="B3824" s="5" t="s">
        <v>8475</v>
      </c>
      <c r="C3824" s="5" t="s">
        <v>75</v>
      </c>
      <c r="D3824" s="5" t="s">
        <v>43</v>
      </c>
      <c r="E3824" s="5" t="s">
        <v>689</v>
      </c>
      <c r="F3824" s="9">
        <v>37</v>
      </c>
      <c r="G3824" s="9">
        <v>358</v>
      </c>
      <c r="H3824" s="5" t="s">
        <v>20</v>
      </c>
      <c r="I3824" s="5" t="s">
        <v>8488</v>
      </c>
      <c r="J3824" s="12" t="str">
        <f>HYPERLINK("https://www.boe.es/gazeta/dias/1806/05/02/pdfs/GMD-1806-37.pdf#page=6","Abrir facsímil")</f>
        <v>Abrir facsímil</v>
      </c>
      <c r="K3824" s="15" t="s">
        <v>22</v>
      </c>
    </row>
    <row r="3825" spans="1:11" ht="42" customHeight="1">
      <c r="A3825" s="4" t="s">
        <v>8474</v>
      </c>
      <c r="B3825" s="5" t="s">
        <v>8475</v>
      </c>
      <c r="C3825" s="5" t="s">
        <v>17</v>
      </c>
      <c r="D3825" s="5" t="s">
        <v>18</v>
      </c>
      <c r="E3825" s="5" t="s">
        <v>185</v>
      </c>
      <c r="F3825" s="9">
        <v>46</v>
      </c>
      <c r="G3825" s="9">
        <v>466</v>
      </c>
      <c r="H3825" s="5" t="s">
        <v>20</v>
      </c>
      <c r="I3825" s="5" t="s">
        <v>8489</v>
      </c>
      <c r="J3825" s="12" t="str">
        <f>HYPERLINK("https://www.boe.es/gazeta/dias/1806/06/03/pdfs/GMD-1806-46.pdf#page=6","Abrir facsímil")</f>
        <v>Abrir facsímil</v>
      </c>
      <c r="K3825" s="15" t="s">
        <v>22</v>
      </c>
    </row>
    <row r="3826" spans="1:11" ht="42" customHeight="1">
      <c r="A3826" s="4" t="s">
        <v>8474</v>
      </c>
      <c r="B3826" s="5" t="s">
        <v>8475</v>
      </c>
      <c r="C3826" s="5" t="s">
        <v>36</v>
      </c>
      <c r="D3826" s="5" t="s">
        <v>37</v>
      </c>
      <c r="E3826" s="5" t="s">
        <v>82</v>
      </c>
      <c r="F3826" s="9">
        <v>48</v>
      </c>
      <c r="G3826" s="9">
        <v>500</v>
      </c>
      <c r="H3826" s="5" t="s">
        <v>20</v>
      </c>
      <c r="I3826" s="5" t="s">
        <v>8490</v>
      </c>
      <c r="J3826" s="12" t="str">
        <f>HYPERLINK("https://www.boe.es/gazeta/dias/1806/06/10/pdfs/GMD-1806-48.pdf#page=12","Abrir facsímil")</f>
        <v>Abrir facsímil</v>
      </c>
      <c r="K3826" s="15" t="s">
        <v>22</v>
      </c>
    </row>
    <row r="3827" spans="1:11" ht="42" customHeight="1">
      <c r="A3827" s="4" t="s">
        <v>8474</v>
      </c>
      <c r="B3827" s="5" t="s">
        <v>8475</v>
      </c>
      <c r="C3827" s="5" t="s">
        <v>69</v>
      </c>
      <c r="D3827" s="5" t="s">
        <v>70</v>
      </c>
      <c r="E3827" s="5" t="s">
        <v>540</v>
      </c>
      <c r="F3827" s="9">
        <v>51</v>
      </c>
      <c r="G3827" s="9">
        <v>527</v>
      </c>
      <c r="H3827" s="5" t="s">
        <v>20</v>
      </c>
      <c r="I3827" s="5" t="s">
        <v>8491</v>
      </c>
      <c r="J3827" s="12" t="str">
        <f>HYPERLINK("https://www.boe.es/gazeta/dias/1806/06/20/pdfs/GMD-1806-51.pdf#page=7","Abrir facsímil")</f>
        <v>Abrir facsímil</v>
      </c>
      <c r="K3827" s="15" t="s">
        <v>22</v>
      </c>
    </row>
    <row r="3828" spans="1:11" ht="42" customHeight="1">
      <c r="A3828" s="4" t="s">
        <v>8474</v>
      </c>
      <c r="B3828" s="5" t="s">
        <v>8475</v>
      </c>
      <c r="C3828" s="5" t="s">
        <v>42</v>
      </c>
      <c r="D3828" s="5" t="s">
        <v>43</v>
      </c>
      <c r="E3828" s="5" t="s">
        <v>540</v>
      </c>
      <c r="F3828" s="9">
        <v>51</v>
      </c>
      <c r="G3828" s="9">
        <v>528</v>
      </c>
      <c r="H3828" s="5" t="s">
        <v>20</v>
      </c>
      <c r="I3828" s="5" t="s">
        <v>8492</v>
      </c>
      <c r="J3828" s="12" t="str">
        <f>HYPERLINK("https://www.boe.es/gazeta/dias/1806/06/20/pdfs/GMD-1806-51.pdf#page=8","Abrir facsímil")</f>
        <v>Abrir facsímil</v>
      </c>
      <c r="K3828" s="15" t="s">
        <v>22</v>
      </c>
    </row>
    <row r="3829" spans="1:11" ht="42" customHeight="1">
      <c r="A3829" s="4" t="s">
        <v>8474</v>
      </c>
      <c r="B3829" s="5" t="s">
        <v>8475</v>
      </c>
      <c r="C3829" s="5" t="s">
        <v>69</v>
      </c>
      <c r="D3829" s="5" t="s">
        <v>70</v>
      </c>
      <c r="E3829" s="5" t="s">
        <v>383</v>
      </c>
      <c r="F3829" s="9">
        <v>54</v>
      </c>
      <c r="G3829" s="9">
        <v>560</v>
      </c>
      <c r="H3829" s="5" t="s">
        <v>20</v>
      </c>
      <c r="I3829" s="5" t="s">
        <v>8493</v>
      </c>
      <c r="J3829" s="12" t="str">
        <f>HYPERLINK("https://www.boe.es/gazeta/dias/1806/07/01/pdfs/GMD-1806-54.pdf#page=4","Abrir facsímil")</f>
        <v>Abrir facsímil</v>
      </c>
      <c r="K3829" s="15" t="s">
        <v>22</v>
      </c>
    </row>
    <row r="3830" spans="1:11" ht="42" customHeight="1">
      <c r="A3830" s="4" t="s">
        <v>8474</v>
      </c>
      <c r="B3830" s="5" t="s">
        <v>8475</v>
      </c>
      <c r="C3830" s="5" t="s">
        <v>69</v>
      </c>
      <c r="D3830" s="5" t="s">
        <v>70</v>
      </c>
      <c r="E3830" s="5" t="s">
        <v>367</v>
      </c>
      <c r="F3830" s="9">
        <v>87</v>
      </c>
      <c r="G3830" s="9">
        <v>894</v>
      </c>
      <c r="H3830" s="5" t="s">
        <v>20</v>
      </c>
      <c r="I3830" s="5" t="s">
        <v>8494</v>
      </c>
      <c r="J3830" s="12" t="str">
        <f>HYPERLINK("https://www.boe.es/gazeta/dias/1806/10/24/pdfs/GMD-1806-87.pdf#page=2","Abrir facsímil")</f>
        <v>Abrir facsímil</v>
      </c>
      <c r="K3830" s="15" t="s">
        <v>22</v>
      </c>
    </row>
    <row r="3831" spans="1:11" ht="42" customHeight="1">
      <c r="A3831" s="4" t="s">
        <v>8474</v>
      </c>
      <c r="B3831" s="5" t="s">
        <v>8475</v>
      </c>
      <c r="C3831" s="5" t="s">
        <v>69</v>
      </c>
      <c r="D3831" s="5" t="s">
        <v>70</v>
      </c>
      <c r="E3831" s="5" t="s">
        <v>554</v>
      </c>
      <c r="F3831" s="9">
        <v>90</v>
      </c>
      <c r="G3831" s="9">
        <v>930</v>
      </c>
      <c r="H3831" s="5" t="s">
        <v>20</v>
      </c>
      <c r="I3831" s="5" t="s">
        <v>8495</v>
      </c>
      <c r="J3831" s="12" t="str">
        <f>HYPERLINK("https://www.boe.es/gazeta/dias/1806/11/04/pdfs/GMD-1806-90.pdf#page=6","Abrir facsímil")</f>
        <v>Abrir facsímil</v>
      </c>
      <c r="K3831" s="15" t="s">
        <v>22</v>
      </c>
    </row>
    <row r="3832" spans="1:11" ht="42" customHeight="1">
      <c r="A3832" s="4" t="s">
        <v>8496</v>
      </c>
      <c r="B3832" s="5" t="s">
        <v>8496</v>
      </c>
      <c r="C3832" s="5" t="s">
        <v>75</v>
      </c>
      <c r="D3832" s="5" t="s">
        <v>43</v>
      </c>
      <c r="E3832" s="5" t="s">
        <v>301</v>
      </c>
      <c r="F3832" s="9">
        <v>75</v>
      </c>
      <c r="G3832" s="9">
        <v>779</v>
      </c>
      <c r="H3832" s="5" t="s">
        <v>20</v>
      </c>
      <c r="I3832" s="5" t="s">
        <v>8497</v>
      </c>
      <c r="J3832" s="12" t="str">
        <f>HYPERLINK("https://www.boe.es/gazeta/dias/1806/09/12/pdfs/GMD-1806-75.pdf#page=11","Abrir facsímil")</f>
        <v>Abrir facsímil</v>
      </c>
      <c r="K3832" s="15" t="s">
        <v>22</v>
      </c>
    </row>
    <row r="3833" spans="1:11" ht="42" customHeight="1">
      <c r="A3833" s="4" t="s">
        <v>8498</v>
      </c>
      <c r="B3833" s="5" t="s">
        <v>8498</v>
      </c>
      <c r="C3833" s="5" t="s">
        <v>75</v>
      </c>
      <c r="D3833" s="5" t="s">
        <v>43</v>
      </c>
      <c r="E3833" s="5" t="s">
        <v>327</v>
      </c>
      <c r="F3833" s="9">
        <v>104</v>
      </c>
      <c r="G3833" s="9">
        <v>1112</v>
      </c>
      <c r="H3833" s="5" t="s">
        <v>20</v>
      </c>
      <c r="I3833" s="5" t="s">
        <v>8499</v>
      </c>
      <c r="J3833" s="12" t="str">
        <f>HYPERLINK("https://www.boe.es/gazeta/dias/1806/12/23/pdfs/GMD-1806-104.pdf#page=12","Abrir facsímil")</f>
        <v>Abrir facsímil</v>
      </c>
      <c r="K3833" s="15" t="s">
        <v>22</v>
      </c>
    </row>
    <row r="3834" spans="1:11" ht="42" customHeight="1">
      <c r="A3834" s="4" t="s">
        <v>8500</v>
      </c>
      <c r="B3834" s="5" t="s">
        <v>8500</v>
      </c>
      <c r="C3834" s="5" t="s">
        <v>17</v>
      </c>
      <c r="D3834" s="5" t="s">
        <v>18</v>
      </c>
      <c r="E3834" s="5" t="s">
        <v>191</v>
      </c>
      <c r="F3834" s="9">
        <v>103</v>
      </c>
      <c r="G3834" s="9">
        <v>1098</v>
      </c>
      <c r="H3834" s="5" t="s">
        <v>20</v>
      </c>
      <c r="I3834" s="5" t="s">
        <v>8501</v>
      </c>
      <c r="J3834" s="12" t="str">
        <f>HYPERLINK("https://www.boe.es/gazeta/dias/1806/12/19/pdfs/GMD-1806-103.pdf#page=10","Abrir facsímil")</f>
        <v>Abrir facsímil</v>
      </c>
      <c r="K3834" s="15" t="s">
        <v>22</v>
      </c>
    </row>
    <row r="3835" spans="1:11" ht="42" customHeight="1">
      <c r="A3835" s="4" t="s">
        <v>8502</v>
      </c>
      <c r="B3835" s="5" t="s">
        <v>8502</v>
      </c>
      <c r="C3835" s="5" t="s">
        <v>36</v>
      </c>
      <c r="D3835" s="5" t="s">
        <v>37</v>
      </c>
      <c r="E3835" s="5" t="s">
        <v>702</v>
      </c>
      <c r="F3835" s="9">
        <v>43</v>
      </c>
      <c r="G3835" s="9">
        <v>433</v>
      </c>
      <c r="H3835" s="5" t="s">
        <v>20</v>
      </c>
      <c r="I3835" s="5" t="s">
        <v>8503</v>
      </c>
      <c r="J3835" s="12" t="str">
        <f>HYPERLINK("https://www.boe.es/gazeta/dias/1806/05/23/pdfs/GMD-1806-43.pdf#page=9","Abrir facsímil")</f>
        <v>Abrir facsímil</v>
      </c>
      <c r="K3835" s="15" t="s">
        <v>22</v>
      </c>
    </row>
    <row r="3836" spans="1:11" ht="42" customHeight="1">
      <c r="A3836" s="4" t="s">
        <v>8504</v>
      </c>
      <c r="B3836" s="5" t="s">
        <v>8504</v>
      </c>
      <c r="C3836" s="5" t="s">
        <v>31</v>
      </c>
      <c r="D3836" s="5" t="s">
        <v>32</v>
      </c>
      <c r="E3836" s="5" t="s">
        <v>62</v>
      </c>
      <c r="F3836" s="9">
        <v>45</v>
      </c>
      <c r="G3836" s="9">
        <v>455</v>
      </c>
      <c r="H3836" s="5" t="s">
        <v>20</v>
      </c>
      <c r="I3836" s="5" t="s">
        <v>8505</v>
      </c>
      <c r="J3836" s="12" t="str">
        <f>HYPERLINK("https://www.boe.es/gazeta/dias/1806/05/30/pdfs/GMD-1806-45.pdf#page=7","Abrir facsímil")</f>
        <v>Abrir facsímil</v>
      </c>
      <c r="K3836" s="15" t="s">
        <v>22</v>
      </c>
    </row>
    <row r="3837" spans="1:11" ht="42" customHeight="1">
      <c r="A3837" s="4" t="s">
        <v>8506</v>
      </c>
      <c r="B3837" s="5" t="s">
        <v>8506</v>
      </c>
      <c r="C3837" s="5" t="s">
        <v>69</v>
      </c>
      <c r="D3837" s="5" t="s">
        <v>70</v>
      </c>
      <c r="E3837" s="5" t="s">
        <v>501</v>
      </c>
      <c r="F3837" s="9">
        <v>39</v>
      </c>
      <c r="G3837" s="9">
        <v>382</v>
      </c>
      <c r="H3837" s="5" t="s">
        <v>20</v>
      </c>
      <c r="I3837" s="5" t="s">
        <v>8507</v>
      </c>
      <c r="J3837" s="12" t="str">
        <f>HYPERLINK("https://www.boe.es/gazeta/dias/1806/05/09/pdfs/GMD-1806-39.pdf#page=6","Abrir facsímil")</f>
        <v>Abrir facsímil</v>
      </c>
      <c r="K3837" s="15" t="s">
        <v>22</v>
      </c>
    </row>
    <row r="3838" spans="1:11" ht="42" customHeight="1">
      <c r="A3838" s="4" t="s">
        <v>8508</v>
      </c>
      <c r="B3838" s="5" t="s">
        <v>8509</v>
      </c>
      <c r="C3838" s="5" t="s">
        <v>42</v>
      </c>
      <c r="D3838" s="5" t="s">
        <v>43</v>
      </c>
      <c r="E3838" s="5" t="s">
        <v>181</v>
      </c>
      <c r="F3838" s="9">
        <v>99</v>
      </c>
      <c r="G3838" s="9">
        <v>1053</v>
      </c>
      <c r="H3838" s="5" t="s">
        <v>20</v>
      </c>
      <c r="I3838" s="5" t="s">
        <v>8510</v>
      </c>
      <c r="J3838" s="12" t="str">
        <f>HYPERLINK("https://www.boe.es/gazeta/dias/1806/12/05/pdfs/GMD-1806-99.pdf#page=9","Abrir facsímil")</f>
        <v>Abrir facsímil</v>
      </c>
      <c r="K3838" s="15" t="s">
        <v>22</v>
      </c>
    </row>
    <row r="3839" spans="1:11" ht="42" customHeight="1">
      <c r="A3839" s="4" t="s">
        <v>8511</v>
      </c>
      <c r="B3839" s="5" t="s">
        <v>8512</v>
      </c>
      <c r="C3839" s="5" t="s">
        <v>31</v>
      </c>
      <c r="D3839" s="5" t="s">
        <v>32</v>
      </c>
      <c r="E3839" s="5" t="s">
        <v>689</v>
      </c>
      <c r="F3839" s="9">
        <v>37</v>
      </c>
      <c r="G3839" s="9">
        <v>361</v>
      </c>
      <c r="H3839" s="5" t="s">
        <v>20</v>
      </c>
      <c r="I3839" s="5" t="s">
        <v>8513</v>
      </c>
      <c r="J3839" s="12" t="str">
        <f>HYPERLINK("https://www.boe.es/gazeta/dias/1806/05/02/pdfs/GMD-1806-37.pdf#page=9","Abrir facsímil")</f>
        <v>Abrir facsímil</v>
      </c>
      <c r="K3839" s="15" t="s">
        <v>22</v>
      </c>
    </row>
    <row r="3840" spans="1:11" ht="42" customHeight="1">
      <c r="A3840" s="4" t="s">
        <v>8514</v>
      </c>
      <c r="B3840" s="5" t="s">
        <v>8515</v>
      </c>
      <c r="C3840" s="5" t="s">
        <v>69</v>
      </c>
      <c r="D3840" s="5" t="s">
        <v>70</v>
      </c>
      <c r="E3840" s="5" t="s">
        <v>870</v>
      </c>
      <c r="F3840" s="9">
        <v>35</v>
      </c>
      <c r="G3840" s="9">
        <v>338</v>
      </c>
      <c r="H3840" s="5" t="s">
        <v>20</v>
      </c>
      <c r="I3840" s="5" t="s">
        <v>8516</v>
      </c>
      <c r="J3840" s="12" t="str">
        <f>HYPERLINK("https://www.boe.es/gazeta/dias/1806/04/25/pdfs/GMD-1806-35.pdf#page=2","Abrir facsímil")</f>
        <v>Abrir facsímil</v>
      </c>
      <c r="K3840" s="15" t="s">
        <v>22</v>
      </c>
    </row>
    <row r="3841" spans="1:11" ht="42" customHeight="1">
      <c r="A3841" s="4" t="s">
        <v>8514</v>
      </c>
      <c r="B3841" s="5" t="s">
        <v>8515</v>
      </c>
      <c r="C3841" s="5" t="s">
        <v>69</v>
      </c>
      <c r="D3841" s="5" t="s">
        <v>70</v>
      </c>
      <c r="E3841" s="5" t="s">
        <v>870</v>
      </c>
      <c r="F3841" s="9">
        <v>35</v>
      </c>
      <c r="G3841" s="9">
        <v>339</v>
      </c>
      <c r="H3841" s="5" t="s">
        <v>20</v>
      </c>
      <c r="I3841" s="5" t="s">
        <v>8517</v>
      </c>
      <c r="J3841" s="12" t="str">
        <f>HYPERLINK("https://www.boe.es/gazeta/dias/1806/04/25/pdfs/GMD-1806-35.pdf#page=3","Abrir facsímil")</f>
        <v>Abrir facsímil</v>
      </c>
      <c r="K3841" s="15" t="s">
        <v>22</v>
      </c>
    </row>
    <row r="3842" spans="1:11" ht="42" customHeight="1">
      <c r="A3842" s="4" t="s">
        <v>8518</v>
      </c>
      <c r="B3842" s="5" t="s">
        <v>8519</v>
      </c>
      <c r="C3842" s="5" t="s">
        <v>31</v>
      </c>
      <c r="D3842" s="5" t="s">
        <v>32</v>
      </c>
      <c r="E3842" s="5" t="s">
        <v>396</v>
      </c>
      <c r="F3842" s="9">
        <v>91</v>
      </c>
      <c r="G3842" s="9">
        <v>946</v>
      </c>
      <c r="H3842" s="5" t="s">
        <v>20</v>
      </c>
      <c r="I3842" s="5" t="s">
        <v>8520</v>
      </c>
      <c r="J3842" s="12" t="str">
        <f>HYPERLINK("https://www.boe.es/gazeta/dias/1806/11/07/pdfs/GMD-1806-91.pdf#page=10","Abrir facsímil")</f>
        <v>Abrir facsímil</v>
      </c>
      <c r="K3842" s="15" t="s">
        <v>22</v>
      </c>
    </row>
    <row r="3843" spans="1:11" ht="42" customHeight="1">
      <c r="A3843" s="4" t="s">
        <v>8521</v>
      </c>
      <c r="B3843" s="5" t="s">
        <v>8522</v>
      </c>
      <c r="C3843" s="5" t="s">
        <v>17</v>
      </c>
      <c r="D3843" s="5" t="s">
        <v>18</v>
      </c>
      <c r="E3843" s="5" t="s">
        <v>396</v>
      </c>
      <c r="F3843" s="9">
        <v>91</v>
      </c>
      <c r="G3843" s="9">
        <v>946</v>
      </c>
      <c r="H3843" s="5" t="s">
        <v>20</v>
      </c>
      <c r="I3843" s="5" t="s">
        <v>8523</v>
      </c>
      <c r="J3843" s="12" t="str">
        <f>HYPERLINK("https://www.boe.es/gazeta/dias/1806/11/07/pdfs/GMD-1806-91.pdf#page=10","Abrir facsímil")</f>
        <v>Abrir facsímil</v>
      </c>
      <c r="K3843" s="15" t="s">
        <v>22</v>
      </c>
    </row>
    <row r="3844" spans="1:11" ht="42" customHeight="1">
      <c r="A3844" s="4" t="s">
        <v>8524</v>
      </c>
      <c r="B3844" s="5" t="s">
        <v>8525</v>
      </c>
      <c r="C3844" s="5" t="s">
        <v>31</v>
      </c>
      <c r="D3844" s="5" t="s">
        <v>32</v>
      </c>
      <c r="E3844" s="5" t="s">
        <v>140</v>
      </c>
      <c r="F3844" s="9">
        <v>83</v>
      </c>
      <c r="G3844" s="9">
        <v>860</v>
      </c>
      <c r="H3844" s="5" t="s">
        <v>20</v>
      </c>
      <c r="I3844" s="5" t="s">
        <v>8526</v>
      </c>
      <c r="J3844" s="12" t="str">
        <f>HYPERLINK("https://www.boe.es/gazeta/dias/1806/10/10/pdfs/GMD-1806-83.pdf#page=8","Abrir facsímil")</f>
        <v>Abrir facsímil</v>
      </c>
      <c r="K3844" s="15" t="s">
        <v>22</v>
      </c>
    </row>
    <row r="3845" spans="1:11" ht="42" customHeight="1">
      <c r="A3845" s="4" t="s">
        <v>8527</v>
      </c>
      <c r="B3845" s="5" t="s">
        <v>8528</v>
      </c>
      <c r="C3845" s="5" t="s">
        <v>17</v>
      </c>
      <c r="D3845" s="5" t="s">
        <v>18</v>
      </c>
      <c r="E3845" s="5" t="s">
        <v>19</v>
      </c>
      <c r="F3845" s="9">
        <v>3</v>
      </c>
      <c r="G3845" s="9">
        <v>27</v>
      </c>
      <c r="H3845" s="5" t="s">
        <v>20</v>
      </c>
      <c r="I3845" s="5" t="s">
        <v>8529</v>
      </c>
      <c r="J3845" s="12" t="str">
        <f>HYPERLINK("https://www.boe.es/gazeta/dias/1806/01/10/pdfs/GMD-1806-3.pdf#page=7","Abrir facsímil")</f>
        <v>Abrir facsímil</v>
      </c>
      <c r="K3845" s="15" t="s">
        <v>22</v>
      </c>
    </row>
    <row r="3846" spans="1:11" ht="42" customHeight="1">
      <c r="A3846" s="4" t="s">
        <v>8527</v>
      </c>
      <c r="B3846" s="5" t="s">
        <v>8528</v>
      </c>
      <c r="C3846" s="5" t="s">
        <v>69</v>
      </c>
      <c r="D3846" s="5" t="s">
        <v>70</v>
      </c>
      <c r="E3846" s="5" t="s">
        <v>400</v>
      </c>
      <c r="F3846" s="9">
        <v>22</v>
      </c>
      <c r="G3846" s="9">
        <v>202</v>
      </c>
      <c r="H3846" s="5" t="s">
        <v>20</v>
      </c>
      <c r="I3846" s="5" t="s">
        <v>8530</v>
      </c>
      <c r="J3846" s="12" t="str">
        <f>HYPERLINK("https://www.boe.es/gazeta/dias/1806/03/11/pdfs/GMD-1806-22.pdf#page=2","Abrir facsímil")</f>
        <v>Abrir facsímil</v>
      </c>
      <c r="K3846" s="15" t="s">
        <v>22</v>
      </c>
    </row>
    <row r="3847" spans="1:11" ht="42" customHeight="1">
      <c r="A3847" s="4" t="s">
        <v>8527</v>
      </c>
      <c r="B3847" s="5" t="s">
        <v>8528</v>
      </c>
      <c r="C3847" s="5" t="s">
        <v>75</v>
      </c>
      <c r="D3847" s="5" t="s">
        <v>43</v>
      </c>
      <c r="E3847" s="5" t="s">
        <v>220</v>
      </c>
      <c r="F3847" s="9">
        <v>24</v>
      </c>
      <c r="G3847" s="9">
        <v>225</v>
      </c>
      <c r="H3847" s="5" t="s">
        <v>20</v>
      </c>
      <c r="I3847" s="5" t="s">
        <v>8531</v>
      </c>
      <c r="J3847" s="12" t="str">
        <f>HYPERLINK("https://www.boe.es/gazeta/dias/1806/03/18/pdfs/GMD-1806-24.pdf#page=1","Abrir facsímil")</f>
        <v>Abrir facsímil</v>
      </c>
      <c r="K3847" s="15" t="s">
        <v>22</v>
      </c>
    </row>
    <row r="3848" spans="1:11" ht="42" customHeight="1">
      <c r="A3848" s="4" t="s">
        <v>8527</v>
      </c>
      <c r="B3848" s="5" t="s">
        <v>8528</v>
      </c>
      <c r="C3848" s="5" t="s">
        <v>31</v>
      </c>
      <c r="D3848" s="5" t="s">
        <v>32</v>
      </c>
      <c r="E3848" s="5" t="s">
        <v>90</v>
      </c>
      <c r="F3848" s="9">
        <v>60</v>
      </c>
      <c r="G3848" s="9">
        <v>619</v>
      </c>
      <c r="H3848" s="5" t="s">
        <v>20</v>
      </c>
      <c r="I3848" s="5" t="s">
        <v>8532</v>
      </c>
      <c r="J3848" s="12" t="str">
        <f>HYPERLINK("https://www.boe.es/gazeta/dias/1806/07/22/pdfs/GMD-1806-60.pdf#page=3","Abrir facsímil")</f>
        <v>Abrir facsímil</v>
      </c>
      <c r="K3848" s="15" t="s">
        <v>22</v>
      </c>
    </row>
    <row r="3849" spans="1:11" ht="42" customHeight="1">
      <c r="A3849" s="4" t="s">
        <v>8527</v>
      </c>
      <c r="B3849" s="5" t="s">
        <v>8528</v>
      </c>
      <c r="C3849" s="5" t="s">
        <v>31</v>
      </c>
      <c r="D3849" s="5" t="s">
        <v>32</v>
      </c>
      <c r="E3849" s="5" t="s">
        <v>48</v>
      </c>
      <c r="F3849" s="9">
        <v>67</v>
      </c>
      <c r="G3849" s="9">
        <v>695</v>
      </c>
      <c r="H3849" s="5" t="s">
        <v>20</v>
      </c>
      <c r="I3849" s="5" t="s">
        <v>8533</v>
      </c>
      <c r="J3849" s="12" t="str">
        <f>HYPERLINK("https://www.boe.es/gazeta/dias/1806/08/15/pdfs/GMD-1806-67.pdf#page=3","Abrir facsímil")</f>
        <v>Abrir facsímil</v>
      </c>
      <c r="K3849" s="15" t="s">
        <v>22</v>
      </c>
    </row>
    <row r="3850" spans="1:11" ht="42" customHeight="1">
      <c r="A3850" s="4" t="s">
        <v>8527</v>
      </c>
      <c r="B3850" s="5" t="s">
        <v>8528</v>
      </c>
      <c r="C3850" s="5" t="s">
        <v>69</v>
      </c>
      <c r="D3850" s="5" t="s">
        <v>70</v>
      </c>
      <c r="E3850" s="5" t="s">
        <v>48</v>
      </c>
      <c r="F3850" s="9">
        <v>67</v>
      </c>
      <c r="G3850" s="9">
        <v>696</v>
      </c>
      <c r="H3850" s="5" t="s">
        <v>20</v>
      </c>
      <c r="I3850" s="5" t="s">
        <v>8534</v>
      </c>
      <c r="J3850" s="12" t="str">
        <f>HYPERLINK("https://www.boe.es/gazeta/dias/1806/08/15/pdfs/GMD-1806-67.pdf#page=4","Abrir facsímil")</f>
        <v>Abrir facsímil</v>
      </c>
      <c r="K3850" s="15" t="s">
        <v>22</v>
      </c>
    </row>
    <row r="3851" spans="1:11" ht="42" customHeight="1">
      <c r="A3851" s="4" t="s">
        <v>8527</v>
      </c>
      <c r="B3851" s="5" t="s">
        <v>8528</v>
      </c>
      <c r="C3851" s="5" t="s">
        <v>31</v>
      </c>
      <c r="D3851" s="5" t="s">
        <v>32</v>
      </c>
      <c r="E3851" s="5" t="s">
        <v>144</v>
      </c>
      <c r="F3851" s="9">
        <v>79</v>
      </c>
      <c r="G3851" s="9">
        <v>813</v>
      </c>
      <c r="H3851" s="5" t="s">
        <v>20</v>
      </c>
      <c r="I3851" s="5" t="s">
        <v>8535</v>
      </c>
      <c r="J3851" s="12" t="str">
        <f>HYPERLINK("https://www.boe.es/gazeta/dias/1806/09/26/pdfs/GMD-1806-79.pdf#page=5","Abrir facsímil")</f>
        <v>Abrir facsímil</v>
      </c>
      <c r="K3851" s="15" t="s">
        <v>22</v>
      </c>
    </row>
    <row r="3852" spans="1:11" ht="42" customHeight="1">
      <c r="A3852" s="4" t="s">
        <v>8527</v>
      </c>
      <c r="B3852" s="5" t="s">
        <v>8528</v>
      </c>
      <c r="C3852" s="5" t="s">
        <v>42</v>
      </c>
      <c r="D3852" s="5" t="s">
        <v>43</v>
      </c>
      <c r="E3852" s="5" t="s">
        <v>396</v>
      </c>
      <c r="F3852" s="9">
        <v>91</v>
      </c>
      <c r="G3852" s="9">
        <v>943</v>
      </c>
      <c r="H3852" s="5" t="s">
        <v>20</v>
      </c>
      <c r="I3852" s="5" t="s">
        <v>8536</v>
      </c>
      <c r="J3852" s="12" t="str">
        <f>HYPERLINK("https://www.boe.es/gazeta/dias/1806/11/07/pdfs/GMD-1806-91.pdf#page=7","Abrir facsímil")</f>
        <v>Abrir facsímil</v>
      </c>
      <c r="K3852" s="15" t="s">
        <v>22</v>
      </c>
    </row>
    <row r="3853" spans="1:11" ht="42" customHeight="1">
      <c r="A3853" s="4" t="s">
        <v>8527</v>
      </c>
      <c r="B3853" s="5" t="s">
        <v>8528</v>
      </c>
      <c r="C3853" s="5" t="s">
        <v>69</v>
      </c>
      <c r="D3853" s="5" t="s">
        <v>70</v>
      </c>
      <c r="E3853" s="5" t="s">
        <v>1031</v>
      </c>
      <c r="F3853" s="9">
        <v>107</v>
      </c>
      <c r="G3853" s="9">
        <v>1126</v>
      </c>
      <c r="H3853" s="5" t="s">
        <v>20</v>
      </c>
      <c r="I3853" s="5" t="s">
        <v>8537</v>
      </c>
      <c r="J3853" s="12" t="str">
        <f>HYPERLINK("https://www.boe.es/gazeta/dias/1806/12/30/pdfs/GMD-1806-107.pdf#page=2","Abrir facsímil")</f>
        <v>Abrir facsímil</v>
      </c>
      <c r="K3853" s="15" t="s">
        <v>22</v>
      </c>
    </row>
    <row r="3854" spans="1:11" ht="42" customHeight="1">
      <c r="A3854" s="4" t="s">
        <v>8538</v>
      </c>
      <c r="B3854" s="5" t="s">
        <v>8539</v>
      </c>
      <c r="C3854" s="5" t="s">
        <v>75</v>
      </c>
      <c r="D3854" s="5" t="s">
        <v>43</v>
      </c>
      <c r="E3854" s="5" t="s">
        <v>396</v>
      </c>
      <c r="F3854" s="9">
        <v>91</v>
      </c>
      <c r="G3854" s="9">
        <v>942</v>
      </c>
      <c r="H3854" s="5" t="s">
        <v>20</v>
      </c>
      <c r="I3854" s="5" t="s">
        <v>8540</v>
      </c>
      <c r="J3854" s="12" t="str">
        <f>HYPERLINK("https://www.boe.es/gazeta/dias/1806/11/07/pdfs/GMD-1806-91.pdf#page=6","Abrir facsímil")</f>
        <v>Abrir facsímil</v>
      </c>
      <c r="K3854" s="15" t="s">
        <v>22</v>
      </c>
    </row>
    <row r="3855" spans="1:11" ht="42" customHeight="1">
      <c r="A3855" s="4" t="s">
        <v>8541</v>
      </c>
      <c r="B3855" s="5" t="s">
        <v>8542</v>
      </c>
      <c r="C3855" s="5" t="s">
        <v>31</v>
      </c>
      <c r="D3855" s="5" t="s">
        <v>32</v>
      </c>
      <c r="E3855" s="5" t="s">
        <v>209</v>
      </c>
      <c r="F3855" s="9">
        <v>95</v>
      </c>
      <c r="G3855" s="9">
        <v>1005</v>
      </c>
      <c r="H3855" s="5" t="s">
        <v>20</v>
      </c>
      <c r="I3855" s="5" t="s">
        <v>8543</v>
      </c>
      <c r="J3855" s="12" t="str">
        <f>HYPERLINK("https://www.boe.es/gazeta/dias/1806/11/21/pdfs/GMD-1806-95.pdf#page=13","Abrir facsímil")</f>
        <v>Abrir facsímil</v>
      </c>
      <c r="K3855" s="15" t="s">
        <v>22</v>
      </c>
    </row>
    <row r="3856" spans="1:11" ht="42" customHeight="1">
      <c r="A3856" s="4" t="s">
        <v>8544</v>
      </c>
      <c r="B3856" s="5" t="s">
        <v>8545</v>
      </c>
      <c r="C3856" s="5" t="s">
        <v>69</v>
      </c>
      <c r="D3856" s="5" t="s">
        <v>70</v>
      </c>
      <c r="E3856" s="5" t="s">
        <v>38</v>
      </c>
      <c r="F3856" s="9">
        <v>92</v>
      </c>
      <c r="G3856" s="9">
        <v>960</v>
      </c>
      <c r="H3856" s="5" t="s">
        <v>20</v>
      </c>
      <c r="I3856" s="5" t="s">
        <v>8546</v>
      </c>
      <c r="J3856" s="12" t="str">
        <f>HYPERLINK("https://www.boe.es/gazeta/dias/1806/11/11/pdfs/GMD-1806-92.pdf#page=12","Abrir facsímil")</f>
        <v>Abrir facsímil</v>
      </c>
      <c r="K3856" s="15" t="s">
        <v>22</v>
      </c>
    </row>
    <row r="3857" spans="1:11" ht="42" customHeight="1">
      <c r="A3857" s="4" t="s">
        <v>8544</v>
      </c>
      <c r="B3857" s="5" t="s">
        <v>8545</v>
      </c>
      <c r="C3857" s="5" t="s">
        <v>42</v>
      </c>
      <c r="D3857" s="5" t="s">
        <v>43</v>
      </c>
      <c r="E3857" s="5" t="s">
        <v>657</v>
      </c>
      <c r="F3857" s="9">
        <v>96</v>
      </c>
      <c r="G3857" s="9">
        <v>1010</v>
      </c>
      <c r="H3857" s="5" t="s">
        <v>20</v>
      </c>
      <c r="I3857" s="5" t="s">
        <v>8547</v>
      </c>
      <c r="J3857" s="12" t="str">
        <f>HYPERLINK("https://www.boe.es/gazeta/dias/1806/11/25/pdfs/GMD-1806-96.pdf#page=2","Abrir facsímil")</f>
        <v>Abrir facsímil</v>
      </c>
      <c r="K3857" s="15" t="s">
        <v>22</v>
      </c>
    </row>
    <row r="3858" spans="1:11" ht="42" customHeight="1">
      <c r="A3858" s="4" t="s">
        <v>8548</v>
      </c>
      <c r="B3858" s="5" t="s">
        <v>8548</v>
      </c>
      <c r="C3858" s="5" t="s">
        <v>69</v>
      </c>
      <c r="D3858" s="5" t="s">
        <v>70</v>
      </c>
      <c r="E3858" s="5" t="s">
        <v>870</v>
      </c>
      <c r="F3858" s="9">
        <v>35</v>
      </c>
      <c r="G3858" s="9">
        <v>337</v>
      </c>
      <c r="H3858" s="5" t="s">
        <v>20</v>
      </c>
      <c r="I3858" s="5" t="s">
        <v>8549</v>
      </c>
      <c r="J3858" s="12" t="str">
        <f>HYPERLINK("https://www.boe.es/gazeta/dias/1806/04/25/pdfs/GMD-1806-35.pdf#page=1","Abrir facsímil")</f>
        <v>Abrir facsímil</v>
      </c>
      <c r="K3858" s="15" t="s">
        <v>22</v>
      </c>
    </row>
    <row r="3859" spans="1:11" ht="42" customHeight="1">
      <c r="A3859" s="4" t="s">
        <v>8550</v>
      </c>
      <c r="B3859" s="5" t="s">
        <v>8551</v>
      </c>
      <c r="C3859" s="5" t="s">
        <v>31</v>
      </c>
      <c r="D3859" s="5" t="s">
        <v>32</v>
      </c>
      <c r="E3859" s="5" t="s">
        <v>191</v>
      </c>
      <c r="F3859" s="9">
        <v>103</v>
      </c>
      <c r="G3859" s="9">
        <v>1098</v>
      </c>
      <c r="H3859" s="5" t="s">
        <v>20</v>
      </c>
      <c r="I3859" s="5" t="s">
        <v>8552</v>
      </c>
      <c r="J3859" s="12" t="str">
        <f>HYPERLINK("https://www.boe.es/gazeta/dias/1806/12/19/pdfs/GMD-1806-103.pdf#page=10","Abrir facsímil")</f>
        <v>Abrir facsímil</v>
      </c>
      <c r="K3859" s="15" t="s">
        <v>22</v>
      </c>
    </row>
    <row r="3860" spans="1:11" ht="42" customHeight="1">
      <c r="A3860" s="4" t="s">
        <v>8553</v>
      </c>
      <c r="B3860" s="5" t="s">
        <v>8554</v>
      </c>
      <c r="C3860" s="5" t="s">
        <v>31</v>
      </c>
      <c r="D3860" s="5" t="s">
        <v>32</v>
      </c>
      <c r="E3860" s="5" t="s">
        <v>554</v>
      </c>
      <c r="F3860" s="9">
        <v>90</v>
      </c>
      <c r="G3860" s="9">
        <v>934</v>
      </c>
      <c r="H3860" s="5" t="s">
        <v>20</v>
      </c>
      <c r="I3860" s="5" t="s">
        <v>8555</v>
      </c>
      <c r="J3860" s="12" t="str">
        <f>HYPERLINK("https://www.boe.es/gazeta/dias/1806/11/04/pdfs/GMD-1806-90.pdf#page=10","Abrir facsímil")</f>
        <v>Abrir facsímil</v>
      </c>
      <c r="K3860" s="15" t="s">
        <v>22</v>
      </c>
    </row>
    <row r="3861" spans="1:11" ht="42" customHeight="1">
      <c r="A3861" s="4" t="s">
        <v>8556</v>
      </c>
      <c r="B3861" s="5" t="s">
        <v>8557</v>
      </c>
      <c r="C3861" s="5" t="s">
        <v>17</v>
      </c>
      <c r="D3861" s="5" t="s">
        <v>18</v>
      </c>
      <c r="E3861" s="5" t="s">
        <v>580</v>
      </c>
      <c r="F3861" s="9">
        <v>23</v>
      </c>
      <c r="G3861" s="9">
        <v>219</v>
      </c>
      <c r="H3861" s="5" t="s">
        <v>20</v>
      </c>
      <c r="I3861" s="5" t="s">
        <v>8558</v>
      </c>
      <c r="J3861" s="12" t="str">
        <f>HYPERLINK("https://www.boe.es/gazeta/dias/1806/03/14/pdfs/GMD-1806-23.pdf#page=7","Abrir facsímil")</f>
        <v>Abrir facsímil</v>
      </c>
      <c r="K3861" s="15" t="s">
        <v>22</v>
      </c>
    </row>
    <row r="3862" spans="1:11" ht="42" customHeight="1">
      <c r="A3862" s="4" t="s">
        <v>8559</v>
      </c>
      <c r="B3862" s="5" t="s">
        <v>8559</v>
      </c>
      <c r="C3862" s="5" t="s">
        <v>17</v>
      </c>
      <c r="D3862" s="5" t="s">
        <v>18</v>
      </c>
      <c r="E3862" s="5" t="s">
        <v>118</v>
      </c>
      <c r="F3862" s="9">
        <v>15</v>
      </c>
      <c r="G3862" s="9">
        <v>131</v>
      </c>
      <c r="H3862" s="5" t="s">
        <v>20</v>
      </c>
      <c r="I3862" s="5" t="s">
        <v>8560</v>
      </c>
      <c r="J3862" s="12" t="str">
        <f>HYPERLINK("https://www.boe.es/gazeta/dias/1806/02/14/pdfs/GMD-1806-15.pdf#page=7","Abrir facsímil")</f>
        <v>Abrir facsímil</v>
      </c>
      <c r="K3862" s="15" t="s">
        <v>22</v>
      </c>
    </row>
    <row r="3863" spans="1:11" ht="42" customHeight="1">
      <c r="A3863" s="4" t="s">
        <v>8561</v>
      </c>
      <c r="B3863" s="5" t="s">
        <v>8562</v>
      </c>
      <c r="C3863" s="5" t="s">
        <v>69</v>
      </c>
      <c r="D3863" s="5" t="s">
        <v>70</v>
      </c>
      <c r="E3863" s="5" t="s">
        <v>90</v>
      </c>
      <c r="F3863" s="9">
        <v>60</v>
      </c>
      <c r="G3863" s="9">
        <v>622</v>
      </c>
      <c r="H3863" s="5" t="s">
        <v>20</v>
      </c>
      <c r="I3863" s="5" t="s">
        <v>8563</v>
      </c>
      <c r="J3863" s="12" t="str">
        <f>HYPERLINK("https://www.boe.es/gazeta/dias/1806/07/22/pdfs/GMD-1806-60.pdf#page=6","Abrir facsímil")</f>
        <v>Abrir facsímil</v>
      </c>
      <c r="K3863" s="15" t="s">
        <v>22</v>
      </c>
    </row>
    <row r="3864" spans="1:11" ht="42" customHeight="1">
      <c r="A3864" s="4" t="s">
        <v>8564</v>
      </c>
      <c r="B3864" s="5" t="s">
        <v>8565</v>
      </c>
      <c r="C3864" s="5" t="s">
        <v>69</v>
      </c>
      <c r="D3864" s="5" t="s">
        <v>70</v>
      </c>
      <c r="E3864" s="5" t="s">
        <v>554</v>
      </c>
      <c r="F3864" s="9">
        <v>90</v>
      </c>
      <c r="G3864" s="9">
        <v>929</v>
      </c>
      <c r="H3864" s="5" t="s">
        <v>20</v>
      </c>
      <c r="I3864" s="5" t="s">
        <v>8566</v>
      </c>
      <c r="J3864" s="12" t="str">
        <f>HYPERLINK("https://www.boe.es/gazeta/dias/1806/11/04/pdfs/GMD-1806-90.pdf#page=5","Abrir facsímil")</f>
        <v>Abrir facsímil</v>
      </c>
      <c r="K3864" s="15" t="s">
        <v>22</v>
      </c>
    </row>
    <row r="3865" spans="1:11" ht="42" customHeight="1">
      <c r="A3865" s="4" t="s">
        <v>8567</v>
      </c>
      <c r="B3865" s="5" t="s">
        <v>8568</v>
      </c>
      <c r="C3865" s="5" t="s">
        <v>69</v>
      </c>
      <c r="D3865" s="5" t="s">
        <v>70</v>
      </c>
      <c r="E3865" s="5" t="s">
        <v>1005</v>
      </c>
      <c r="F3865" s="9">
        <v>76</v>
      </c>
      <c r="G3865" s="9">
        <v>784</v>
      </c>
      <c r="H3865" s="5" t="s">
        <v>20</v>
      </c>
      <c r="I3865" s="5" t="s">
        <v>8569</v>
      </c>
      <c r="J3865" s="12" t="str">
        <f>HYPERLINK("https://www.boe.es/gazeta/dias/1806/09/16/pdfs/GMD-1806-76.pdf#page=4","Abrir facsímil")</f>
        <v>Abrir facsímil</v>
      </c>
      <c r="K3865" s="15" t="s">
        <v>22</v>
      </c>
    </row>
    <row r="3866" spans="1:11" ht="42" customHeight="1">
      <c r="A3866" s="4" t="s">
        <v>8570</v>
      </c>
      <c r="B3866" s="5" t="s">
        <v>8571</v>
      </c>
      <c r="C3866" s="5" t="s">
        <v>69</v>
      </c>
      <c r="D3866" s="5" t="s">
        <v>70</v>
      </c>
      <c r="E3866" s="5" t="s">
        <v>540</v>
      </c>
      <c r="F3866" s="9">
        <v>51</v>
      </c>
      <c r="G3866" s="9">
        <v>524</v>
      </c>
      <c r="H3866" s="5" t="s">
        <v>20</v>
      </c>
      <c r="I3866" s="5" t="s">
        <v>8572</v>
      </c>
      <c r="J3866" s="12" t="str">
        <f>HYPERLINK("https://www.boe.es/gazeta/dias/1806/06/20/pdfs/GMD-1806-51.pdf#page=4","Abrir facsímil")</f>
        <v>Abrir facsímil</v>
      </c>
      <c r="K3866" s="15" t="s">
        <v>22</v>
      </c>
    </row>
    <row r="3867" spans="1:11" ht="42" customHeight="1">
      <c r="A3867" s="4" t="s">
        <v>8573</v>
      </c>
      <c r="B3867" s="5" t="s">
        <v>8574</v>
      </c>
      <c r="C3867" s="5" t="s">
        <v>17</v>
      </c>
      <c r="D3867" s="5" t="s">
        <v>18</v>
      </c>
      <c r="E3867" s="5" t="s">
        <v>661</v>
      </c>
      <c r="F3867" s="9">
        <v>38</v>
      </c>
      <c r="G3867" s="9">
        <v>372</v>
      </c>
      <c r="H3867" s="5" t="s">
        <v>20</v>
      </c>
      <c r="I3867" s="5" t="s">
        <v>8575</v>
      </c>
      <c r="J3867" s="12" t="str">
        <f>HYPERLINK("https://www.boe.es/gazeta/dias/1806/05/06/pdfs/GMD-1806-38.pdf#page=8","Abrir facsímil")</f>
        <v>Abrir facsímil</v>
      </c>
      <c r="K3867" s="15" t="s">
        <v>22</v>
      </c>
    </row>
    <row r="3868" spans="1:11" ht="42" customHeight="1">
      <c r="A3868" s="4" t="s">
        <v>8576</v>
      </c>
      <c r="B3868" s="5" t="s">
        <v>8577</v>
      </c>
      <c r="C3868" s="5" t="s">
        <v>75</v>
      </c>
      <c r="D3868" s="5" t="s">
        <v>43</v>
      </c>
      <c r="E3868" s="5" t="s">
        <v>434</v>
      </c>
      <c r="F3868" s="9">
        <v>74</v>
      </c>
      <c r="G3868" s="9" t="s">
        <v>1084</v>
      </c>
      <c r="H3868" s="5" t="s">
        <v>20</v>
      </c>
      <c r="I3868" s="5" t="s">
        <v>8578</v>
      </c>
      <c r="J3868" s="12" t="str">
        <f>HYPERLINK("https://www.boe.es/gazeta/dias/1806/09/09/pdfs/GMD-C-1806-74.pdf#page=4","Abrir facsímil")</f>
        <v>Abrir facsímil</v>
      </c>
      <c r="K3868" s="15" t="s">
        <v>22</v>
      </c>
    </row>
    <row r="3869" spans="1:11" ht="42" customHeight="1">
      <c r="A3869" s="4" t="s">
        <v>8579</v>
      </c>
      <c r="B3869" s="5" t="s">
        <v>8580</v>
      </c>
      <c r="C3869" s="5" t="s">
        <v>69</v>
      </c>
      <c r="D3869" s="5" t="s">
        <v>70</v>
      </c>
      <c r="E3869" s="5" t="s">
        <v>327</v>
      </c>
      <c r="F3869" s="9">
        <v>104</v>
      </c>
      <c r="G3869" s="9">
        <v>1107</v>
      </c>
      <c r="H3869" s="5" t="s">
        <v>20</v>
      </c>
      <c r="I3869" s="5" t="s">
        <v>8581</v>
      </c>
      <c r="J3869" s="12" t="str">
        <f>HYPERLINK("https://www.boe.es/gazeta/dias/1806/12/23/pdfs/GMD-1806-104.pdf#page=7","Abrir facsímil")</f>
        <v>Abrir facsímil</v>
      </c>
      <c r="K3869" s="15" t="s">
        <v>22</v>
      </c>
    </row>
    <row r="3870" spans="1:11" ht="42" customHeight="1">
      <c r="A3870" s="4" t="s">
        <v>8582</v>
      </c>
      <c r="B3870" s="5" t="s">
        <v>8582</v>
      </c>
      <c r="C3870" s="5" t="s">
        <v>17</v>
      </c>
      <c r="D3870" s="5" t="s">
        <v>18</v>
      </c>
      <c r="E3870" s="5" t="s">
        <v>327</v>
      </c>
      <c r="F3870" s="9">
        <v>104</v>
      </c>
      <c r="G3870" s="9">
        <v>1112</v>
      </c>
      <c r="H3870" s="5" t="s">
        <v>20</v>
      </c>
      <c r="I3870" s="5" t="s">
        <v>8583</v>
      </c>
      <c r="J3870" s="12" t="str">
        <f>HYPERLINK("https://www.boe.es/gazeta/dias/1806/12/23/pdfs/GMD-1806-104.pdf#page=12","Abrir facsímil")</f>
        <v>Abrir facsímil</v>
      </c>
      <c r="K3870" s="15" t="s">
        <v>22</v>
      </c>
    </row>
    <row r="3871" spans="1:11" ht="42" customHeight="1">
      <c r="A3871" s="4" t="s">
        <v>8584</v>
      </c>
      <c r="B3871" s="5" t="s">
        <v>8584</v>
      </c>
      <c r="C3871" s="5" t="s">
        <v>31</v>
      </c>
      <c r="D3871" s="5" t="s">
        <v>32</v>
      </c>
      <c r="E3871" s="5" t="s">
        <v>161</v>
      </c>
      <c r="F3871" s="9">
        <v>11</v>
      </c>
      <c r="G3871" s="9">
        <v>99</v>
      </c>
      <c r="H3871" s="5" t="s">
        <v>20</v>
      </c>
      <c r="I3871" s="5" t="s">
        <v>8585</v>
      </c>
      <c r="J3871" s="12" t="str">
        <f>HYPERLINK("https://www.boe.es/gazeta/dias/1806/01/31/pdfs/GMD-1806-11.pdf#page=7","Abrir facsímil")</f>
        <v>Abrir facsímil</v>
      </c>
      <c r="K3871" s="15" t="s">
        <v>22</v>
      </c>
    </row>
    <row r="3872" spans="1:11" ht="42" customHeight="1">
      <c r="A3872" s="4" t="s">
        <v>8586</v>
      </c>
      <c r="B3872" s="5" t="s">
        <v>8586</v>
      </c>
      <c r="C3872" s="5" t="s">
        <v>42</v>
      </c>
      <c r="D3872" s="5" t="s">
        <v>43</v>
      </c>
      <c r="E3872" s="5" t="s">
        <v>185</v>
      </c>
      <c r="F3872" s="9">
        <v>46</v>
      </c>
      <c r="G3872" s="9">
        <v>468</v>
      </c>
      <c r="H3872" s="5" t="s">
        <v>20</v>
      </c>
      <c r="I3872" s="5" t="s">
        <v>8587</v>
      </c>
      <c r="J3872" s="12" t="str">
        <f>HYPERLINK("https://www.boe.es/gazeta/dias/1806/06/03/pdfs/GMD-1806-46.pdf#page=8","Abrir facsímil")</f>
        <v>Abrir facsímil</v>
      </c>
      <c r="K3872" s="15" t="s">
        <v>22</v>
      </c>
    </row>
    <row r="3873" spans="1:11" ht="42" customHeight="1">
      <c r="A3873" s="4" t="s">
        <v>8588</v>
      </c>
      <c r="B3873" s="5" t="s">
        <v>8588</v>
      </c>
      <c r="C3873" s="5" t="s">
        <v>75</v>
      </c>
      <c r="D3873" s="5" t="s">
        <v>43</v>
      </c>
      <c r="E3873" s="5" t="s">
        <v>306</v>
      </c>
      <c r="F3873" s="9">
        <v>59</v>
      </c>
      <c r="G3873" s="9">
        <v>613</v>
      </c>
      <c r="H3873" s="5" t="s">
        <v>20</v>
      </c>
      <c r="I3873" s="5" t="s">
        <v>8589</v>
      </c>
      <c r="J3873" s="12" t="str">
        <f>HYPERLINK("https://www.boe.es/gazeta/dias/1806/07/18/pdfs/GMD-1806-59.pdf#page=9","Abrir facsímil")</f>
        <v>Abrir facsímil</v>
      </c>
      <c r="K3873" s="15" t="s">
        <v>22</v>
      </c>
    </row>
    <row r="3874" spans="1:11" ht="42" customHeight="1">
      <c r="A3874" s="4" t="s">
        <v>8590</v>
      </c>
      <c r="B3874" s="5" t="s">
        <v>8590</v>
      </c>
      <c r="C3874" s="5" t="s">
        <v>31</v>
      </c>
      <c r="D3874" s="5" t="s">
        <v>32</v>
      </c>
      <c r="E3874" s="5" t="s">
        <v>28</v>
      </c>
      <c r="F3874" s="9">
        <v>102</v>
      </c>
      <c r="G3874" s="9">
        <v>1085</v>
      </c>
      <c r="H3874" s="5" t="s">
        <v>20</v>
      </c>
      <c r="I3874" s="5" t="s">
        <v>8591</v>
      </c>
      <c r="J3874" s="12" t="str">
        <f>HYPERLINK("https://www.boe.es/gazeta/dias/1806/12/16/pdfs/GMD-1806-102.pdf#page=9","Abrir facsímil")</f>
        <v>Abrir facsímil</v>
      </c>
      <c r="K3874" s="15" t="s">
        <v>22</v>
      </c>
    </row>
    <row r="3875" spans="1:11" ht="42" customHeight="1">
      <c r="A3875" s="4" t="s">
        <v>8592</v>
      </c>
      <c r="B3875" s="5" t="s">
        <v>8592</v>
      </c>
      <c r="C3875" s="5" t="s">
        <v>31</v>
      </c>
      <c r="D3875" s="5" t="s">
        <v>32</v>
      </c>
      <c r="E3875" s="5" t="s">
        <v>227</v>
      </c>
      <c r="F3875" s="9">
        <v>27</v>
      </c>
      <c r="G3875" s="9">
        <v>270</v>
      </c>
      <c r="H3875" s="5" t="s">
        <v>20</v>
      </c>
      <c r="I3875" s="5" t="s">
        <v>8593</v>
      </c>
      <c r="J3875" s="12" t="str">
        <f>HYPERLINK("https://www.boe.es/gazeta/dias/1806/03/28/pdfs/GMD-1806-27.pdf#page=10","Abrir facsímil")</f>
        <v>Abrir facsímil</v>
      </c>
      <c r="K3875" s="15" t="s">
        <v>22</v>
      </c>
    </row>
    <row r="3876" spans="1:11" ht="42" customHeight="1">
      <c r="A3876" s="4" t="s">
        <v>8594</v>
      </c>
      <c r="B3876" s="5" t="s">
        <v>8595</v>
      </c>
      <c r="C3876" s="5" t="s">
        <v>17</v>
      </c>
      <c r="D3876" s="5" t="s">
        <v>18</v>
      </c>
      <c r="E3876" s="5" t="s">
        <v>48</v>
      </c>
      <c r="F3876" s="9">
        <v>67</v>
      </c>
      <c r="G3876" s="9">
        <v>700</v>
      </c>
      <c r="H3876" s="5" t="s">
        <v>20</v>
      </c>
      <c r="I3876" s="5" t="s">
        <v>8596</v>
      </c>
      <c r="J3876" s="12" t="str">
        <f>HYPERLINK("https://www.boe.es/gazeta/dias/1806/08/15/pdfs/GMD-1806-67.pdf#page=8","Abrir facsímil")</f>
        <v>Abrir facsímil</v>
      </c>
      <c r="K3876" s="15" t="s">
        <v>22</v>
      </c>
    </row>
    <row r="3877" spans="1:11" ht="42" customHeight="1">
      <c r="A3877" s="4" t="s">
        <v>8597</v>
      </c>
      <c r="B3877" s="5" t="s">
        <v>8598</v>
      </c>
      <c r="C3877" s="5" t="s">
        <v>31</v>
      </c>
      <c r="D3877" s="5" t="s">
        <v>32</v>
      </c>
      <c r="E3877" s="5" t="s">
        <v>209</v>
      </c>
      <c r="F3877" s="9">
        <v>95</v>
      </c>
      <c r="G3877" s="9">
        <v>1005</v>
      </c>
      <c r="H3877" s="5" t="s">
        <v>20</v>
      </c>
      <c r="I3877" s="5" t="s">
        <v>8599</v>
      </c>
      <c r="J3877" s="12" t="str">
        <f>HYPERLINK("https://www.boe.es/gazeta/dias/1806/11/21/pdfs/GMD-1806-95.pdf#page=13","Abrir facsímil")</f>
        <v>Abrir facsímil</v>
      </c>
      <c r="K3877" s="15" t="s">
        <v>22</v>
      </c>
    </row>
    <row r="3878" spans="1:11" ht="42" customHeight="1">
      <c r="A3878" s="4" t="s">
        <v>8600</v>
      </c>
      <c r="B3878" s="5" t="s">
        <v>8601</v>
      </c>
      <c r="C3878" s="5" t="s">
        <v>17</v>
      </c>
      <c r="D3878" s="5" t="s">
        <v>18</v>
      </c>
      <c r="E3878" s="5" t="s">
        <v>657</v>
      </c>
      <c r="F3878" s="9">
        <v>96</v>
      </c>
      <c r="G3878" s="9">
        <v>1020</v>
      </c>
      <c r="H3878" s="5" t="s">
        <v>20</v>
      </c>
      <c r="I3878" s="5" t="s">
        <v>8602</v>
      </c>
      <c r="J3878" s="12" t="str">
        <f>HYPERLINK("https://www.boe.es/gazeta/dias/1806/11/25/pdfs/GMD-1806-96.pdf#page=12","Abrir facsímil")</f>
        <v>Abrir facsímil</v>
      </c>
      <c r="K3878" s="15" t="s">
        <v>22</v>
      </c>
    </row>
    <row r="3879" spans="1:11" ht="42" customHeight="1">
      <c r="A3879" s="4" t="s">
        <v>8603</v>
      </c>
      <c r="B3879" s="5" t="s">
        <v>8604</v>
      </c>
      <c r="C3879" s="5" t="s">
        <v>31</v>
      </c>
      <c r="D3879" s="5" t="s">
        <v>32</v>
      </c>
      <c r="E3879" s="5" t="s">
        <v>44</v>
      </c>
      <c r="F3879" s="9">
        <v>42</v>
      </c>
      <c r="G3879" s="9">
        <v>421</v>
      </c>
      <c r="H3879" s="5" t="s">
        <v>20</v>
      </c>
      <c r="I3879" s="5" t="s">
        <v>8605</v>
      </c>
      <c r="J3879" s="12" t="str">
        <f>HYPERLINK("https://www.boe.es/gazeta/dias/1806/05/20/pdfs/GMD-1806-42.pdf#page=9","Abrir facsímil")</f>
        <v>Abrir facsímil</v>
      </c>
      <c r="K3879" s="15" t="s">
        <v>22</v>
      </c>
    </row>
    <row r="3880" spans="1:11" ht="42" customHeight="1">
      <c r="A3880" s="4" t="s">
        <v>8606</v>
      </c>
      <c r="B3880" s="5" t="s">
        <v>8607</v>
      </c>
      <c r="C3880" s="5" t="s">
        <v>75</v>
      </c>
      <c r="D3880" s="5" t="s">
        <v>43</v>
      </c>
      <c r="E3880" s="5" t="s">
        <v>340</v>
      </c>
      <c r="F3880" s="9">
        <v>31</v>
      </c>
      <c r="G3880" s="9">
        <v>307</v>
      </c>
      <c r="H3880" s="5" t="s">
        <v>20</v>
      </c>
      <c r="I3880" s="5" t="s">
        <v>8608</v>
      </c>
      <c r="J3880" s="12" t="str">
        <f>HYPERLINK("https://www.boe.es/gazeta/dias/1806/04/11/pdfs/GMD-1806-31.pdf#page=11","Abrir facsímil")</f>
        <v>Abrir facsímil</v>
      </c>
      <c r="K3880" s="15" t="s">
        <v>22</v>
      </c>
    </row>
    <row r="3881" spans="1:11" ht="42" customHeight="1">
      <c r="A3881" s="4" t="s">
        <v>8606</v>
      </c>
      <c r="B3881" s="5" t="s">
        <v>8607</v>
      </c>
      <c r="C3881" s="5" t="s">
        <v>75</v>
      </c>
      <c r="D3881" s="5" t="s">
        <v>43</v>
      </c>
      <c r="E3881" s="5" t="s">
        <v>33</v>
      </c>
      <c r="F3881" s="9">
        <v>82</v>
      </c>
      <c r="G3881" s="9">
        <v>851</v>
      </c>
      <c r="H3881" s="5" t="s">
        <v>20</v>
      </c>
      <c r="I3881" s="5" t="s">
        <v>8609</v>
      </c>
      <c r="J3881" s="12" t="str">
        <f>HYPERLINK("https://www.boe.es/gazeta/dias/1806/10/07/pdfs/GMD-1806-82.pdf#page=11","Abrir facsímil")</f>
        <v>Abrir facsímil</v>
      </c>
      <c r="K3881" s="15" t="s">
        <v>22</v>
      </c>
    </row>
    <row r="3882" spans="1:11" ht="42" customHeight="1">
      <c r="A3882" s="4" t="s">
        <v>8610</v>
      </c>
      <c r="B3882" s="5" t="s">
        <v>8611</v>
      </c>
      <c r="C3882" s="5" t="s">
        <v>31</v>
      </c>
      <c r="D3882" s="5" t="s">
        <v>32</v>
      </c>
      <c r="E3882" s="5" t="s">
        <v>140</v>
      </c>
      <c r="F3882" s="9">
        <v>83</v>
      </c>
      <c r="G3882" s="9">
        <v>860</v>
      </c>
      <c r="H3882" s="5" t="s">
        <v>20</v>
      </c>
      <c r="I3882" s="5" t="s">
        <v>8612</v>
      </c>
      <c r="J3882" s="12" t="str">
        <f>HYPERLINK("https://www.boe.es/gazeta/dias/1806/10/10/pdfs/GMD-1806-83.pdf#page=8","Abrir facsímil")</f>
        <v>Abrir facsímil</v>
      </c>
      <c r="K3882" s="15" t="s">
        <v>22</v>
      </c>
    </row>
    <row r="3883" spans="1:11" ht="42" customHeight="1">
      <c r="A3883" s="4" t="s">
        <v>8613</v>
      </c>
      <c r="B3883" s="5" t="s">
        <v>8613</v>
      </c>
      <c r="C3883" s="5" t="s">
        <v>17</v>
      </c>
      <c r="D3883" s="5" t="s">
        <v>18</v>
      </c>
      <c r="E3883" s="5" t="s">
        <v>367</v>
      </c>
      <c r="F3883" s="9">
        <v>87</v>
      </c>
      <c r="G3883" s="9">
        <v>903</v>
      </c>
      <c r="H3883" s="5" t="s">
        <v>20</v>
      </c>
      <c r="I3883" s="5" t="s">
        <v>8614</v>
      </c>
      <c r="J3883" s="12" t="str">
        <f>HYPERLINK("https://www.boe.es/gazeta/dias/1806/10/24/pdfs/GMD-1806-87.pdf#page=11","Abrir facsímil")</f>
        <v>Abrir facsímil</v>
      </c>
      <c r="K3883" s="15" t="s">
        <v>22</v>
      </c>
    </row>
    <row r="3884" spans="1:11" ht="42" customHeight="1">
      <c r="A3884" s="4" t="s">
        <v>8615</v>
      </c>
      <c r="B3884" s="5" t="s">
        <v>8616</v>
      </c>
      <c r="C3884" s="5" t="s">
        <v>69</v>
      </c>
      <c r="D3884" s="5" t="s">
        <v>70</v>
      </c>
      <c r="E3884" s="5" t="s">
        <v>540</v>
      </c>
      <c r="F3884" s="9">
        <v>51</v>
      </c>
      <c r="G3884" s="9">
        <v>524</v>
      </c>
      <c r="H3884" s="5" t="s">
        <v>20</v>
      </c>
      <c r="I3884" s="5" t="s">
        <v>8617</v>
      </c>
      <c r="J3884" s="12" t="str">
        <f>HYPERLINK("https://www.boe.es/gazeta/dias/1806/06/20/pdfs/GMD-1806-51.pdf#page=4","Abrir facsímil")</f>
        <v>Abrir facsímil</v>
      </c>
      <c r="K3884" s="15" t="s">
        <v>22</v>
      </c>
    </row>
    <row r="3885" spans="1:11" ht="42" customHeight="1">
      <c r="A3885" s="4" t="s">
        <v>8618</v>
      </c>
      <c r="B3885" s="5" t="s">
        <v>8619</v>
      </c>
      <c r="C3885" s="5" t="s">
        <v>31</v>
      </c>
      <c r="D3885" s="5" t="s">
        <v>32</v>
      </c>
      <c r="E3885" s="5" t="s">
        <v>400</v>
      </c>
      <c r="F3885" s="9">
        <v>22</v>
      </c>
      <c r="G3885" s="9">
        <v>204</v>
      </c>
      <c r="H3885" s="5" t="s">
        <v>20</v>
      </c>
      <c r="I3885" s="5" t="s">
        <v>8620</v>
      </c>
      <c r="J3885" s="12" t="str">
        <f>HYPERLINK("https://www.boe.es/gazeta/dias/1806/03/11/pdfs/GMD-1806-22.pdf#page=4","Abrir facsímil")</f>
        <v>Abrir facsímil</v>
      </c>
      <c r="K3885" s="15" t="s">
        <v>22</v>
      </c>
    </row>
    <row r="3886" spans="1:11" ht="42" customHeight="1">
      <c r="A3886" s="4" t="s">
        <v>8621</v>
      </c>
      <c r="B3886" s="5" t="s">
        <v>8622</v>
      </c>
      <c r="C3886" s="5" t="s">
        <v>42</v>
      </c>
      <c r="D3886" s="5" t="s">
        <v>43</v>
      </c>
      <c r="E3886" s="5" t="s">
        <v>570</v>
      </c>
      <c r="F3886" s="9">
        <v>93</v>
      </c>
      <c r="G3886" s="9">
        <v>978</v>
      </c>
      <c r="H3886" s="5" t="s">
        <v>20</v>
      </c>
      <c r="I3886" s="5" t="s">
        <v>8623</v>
      </c>
      <c r="J3886" s="12" t="str">
        <f>HYPERLINK("https://www.boe.es/gazeta/dias/1806/11/14/pdfs/GMD-1806-93.pdf#page=14","Abrir facsímil")</f>
        <v>Abrir facsímil</v>
      </c>
      <c r="K3886" s="15" t="s">
        <v>22</v>
      </c>
    </row>
    <row r="3887" spans="1:11" ht="42" customHeight="1">
      <c r="A3887" s="4" t="s">
        <v>8624</v>
      </c>
      <c r="B3887" s="5" t="s">
        <v>8625</v>
      </c>
      <c r="C3887" s="5" t="s">
        <v>42</v>
      </c>
      <c r="D3887" s="5" t="s">
        <v>43</v>
      </c>
      <c r="E3887" s="5" t="s">
        <v>82</v>
      </c>
      <c r="F3887" s="9">
        <v>48</v>
      </c>
      <c r="G3887" s="9">
        <v>496</v>
      </c>
      <c r="H3887" s="5" t="s">
        <v>20</v>
      </c>
      <c r="I3887" s="5" t="s">
        <v>8626</v>
      </c>
      <c r="J3887" s="12" t="str">
        <f>HYPERLINK("https://www.boe.es/gazeta/dias/1806/06/10/pdfs/GMD-1806-48.pdf#page=8","Abrir facsímil")</f>
        <v>Abrir facsímil</v>
      </c>
      <c r="K3887" s="15" t="s">
        <v>22</v>
      </c>
    </row>
    <row r="3888" spans="1:11" ht="42" customHeight="1">
      <c r="A3888" s="4" t="s">
        <v>8627</v>
      </c>
      <c r="B3888" s="5" t="s">
        <v>8628</v>
      </c>
      <c r="C3888" s="5" t="s">
        <v>36</v>
      </c>
      <c r="D3888" s="5" t="s">
        <v>37</v>
      </c>
      <c r="E3888" s="5" t="s">
        <v>51</v>
      </c>
      <c r="F3888" s="9">
        <v>44</v>
      </c>
      <c r="G3888" s="9">
        <v>448</v>
      </c>
      <c r="H3888" s="5" t="s">
        <v>20</v>
      </c>
      <c r="I3888" s="5" t="s">
        <v>8629</v>
      </c>
      <c r="J3888" s="12" t="str">
        <f>HYPERLINK("https://www.boe.es/gazeta/dias/1806/05/27/pdfs/GMD-1806-44.pdf#page=12","Abrir facsímil")</f>
        <v>Abrir facsímil</v>
      </c>
      <c r="K3888" s="15" t="s">
        <v>22</v>
      </c>
    </row>
    <row r="3889" spans="1:11" ht="42" customHeight="1">
      <c r="A3889" s="4" t="s">
        <v>8630</v>
      </c>
      <c r="B3889" s="5" t="s">
        <v>8630</v>
      </c>
      <c r="C3889" s="5" t="s">
        <v>17</v>
      </c>
      <c r="D3889" s="5" t="s">
        <v>18</v>
      </c>
      <c r="E3889" s="5" t="s">
        <v>110</v>
      </c>
      <c r="F3889" s="9">
        <v>55</v>
      </c>
      <c r="G3889" s="9">
        <v>571</v>
      </c>
      <c r="H3889" s="5" t="s">
        <v>20</v>
      </c>
      <c r="I3889" s="5" t="s">
        <v>8631</v>
      </c>
      <c r="J3889" s="12" t="str">
        <f>HYPERLINK("https://www.boe.es/gazeta/dias/1806/07/04/pdfs/GMD-1806-55.pdf#page=7","Abrir facsímil")</f>
        <v>Abrir facsímil</v>
      </c>
      <c r="K3889" s="15" t="s">
        <v>22</v>
      </c>
    </row>
    <row r="3890" spans="1:11" ht="42" customHeight="1">
      <c r="A3890" s="4" t="s">
        <v>8632</v>
      </c>
      <c r="B3890" s="5" t="s">
        <v>8632</v>
      </c>
      <c r="C3890" s="5" t="s">
        <v>17</v>
      </c>
      <c r="D3890" s="5" t="s">
        <v>18</v>
      </c>
      <c r="E3890" s="5" t="s">
        <v>178</v>
      </c>
      <c r="F3890" s="9">
        <v>36</v>
      </c>
      <c r="G3890" s="9">
        <v>349</v>
      </c>
      <c r="H3890" s="5" t="s">
        <v>20</v>
      </c>
      <c r="I3890" s="5" t="s">
        <v>8633</v>
      </c>
      <c r="J3890" s="12" t="str">
        <f>HYPERLINK("https://www.boe.es/gazeta/dias/1806/04/29/pdfs/GMD-1806-36.pdf#page=5","Abrir facsímil")</f>
        <v>Abrir facsímil</v>
      </c>
      <c r="K3890" s="15" t="s">
        <v>22</v>
      </c>
    </row>
    <row r="3891" spans="1:11" ht="42" customHeight="1">
      <c r="A3891" s="4" t="s">
        <v>8634</v>
      </c>
      <c r="B3891" s="5" t="s">
        <v>8635</v>
      </c>
      <c r="C3891" s="5" t="s">
        <v>69</v>
      </c>
      <c r="D3891" s="5" t="s">
        <v>70</v>
      </c>
      <c r="E3891" s="5" t="s">
        <v>540</v>
      </c>
      <c r="F3891" s="9">
        <v>51</v>
      </c>
      <c r="G3891" s="9">
        <v>524</v>
      </c>
      <c r="H3891" s="5" t="s">
        <v>20</v>
      </c>
      <c r="I3891" s="5" t="s">
        <v>8636</v>
      </c>
      <c r="J3891" s="12" t="str">
        <f>HYPERLINK("https://www.boe.es/gazeta/dias/1806/06/20/pdfs/GMD-1806-51.pdf#page=4","Abrir facsímil")</f>
        <v>Abrir facsímil</v>
      </c>
      <c r="K3891" s="15" t="s">
        <v>22</v>
      </c>
    </row>
    <row r="3892" spans="1:11" ht="42" customHeight="1">
      <c r="A3892" s="4" t="s">
        <v>8637</v>
      </c>
      <c r="B3892" s="5" t="s">
        <v>8637</v>
      </c>
      <c r="C3892" s="5" t="s">
        <v>17</v>
      </c>
      <c r="D3892" s="5" t="s">
        <v>18</v>
      </c>
      <c r="E3892" s="5" t="s">
        <v>297</v>
      </c>
      <c r="F3892" s="9">
        <v>94</v>
      </c>
      <c r="G3892" s="9">
        <v>989</v>
      </c>
      <c r="H3892" s="5" t="s">
        <v>20</v>
      </c>
      <c r="I3892" s="5" t="s">
        <v>8638</v>
      </c>
      <c r="J3892" s="12" t="str">
        <f>HYPERLINK("https://www.boe.es/gazeta/dias/1806/11/18/pdfs/GMD-1806-94.pdf#page=9","Abrir facsímil")</f>
        <v>Abrir facsímil</v>
      </c>
      <c r="K3892" s="15" t="s">
        <v>22</v>
      </c>
    </row>
    <row r="3893" spans="1:11" ht="42" customHeight="1">
      <c r="A3893" s="4" t="s">
        <v>8639</v>
      </c>
      <c r="B3893" s="5" t="s">
        <v>8639</v>
      </c>
      <c r="C3893" s="5" t="s">
        <v>75</v>
      </c>
      <c r="D3893" s="5" t="s">
        <v>43</v>
      </c>
      <c r="E3893" s="5" t="s">
        <v>93</v>
      </c>
      <c r="F3893" s="9">
        <v>72</v>
      </c>
      <c r="G3893" s="9">
        <v>748</v>
      </c>
      <c r="H3893" s="5" t="s">
        <v>20</v>
      </c>
      <c r="I3893" s="5" t="s">
        <v>8640</v>
      </c>
      <c r="J3893" s="12" t="str">
        <f>HYPERLINK("https://www.boe.es/gazeta/dias/1806/09/02/pdfs/GMD-1806-72.pdf#page=8","Abrir facsímil")</f>
        <v>Abrir facsímil</v>
      </c>
      <c r="K3893" s="15" t="s">
        <v>22</v>
      </c>
    </row>
    <row r="3894" spans="1:11" ht="42" customHeight="1">
      <c r="A3894" s="4" t="s">
        <v>8641</v>
      </c>
      <c r="B3894" s="5" t="s">
        <v>8641</v>
      </c>
      <c r="C3894" s="5" t="s">
        <v>75</v>
      </c>
      <c r="D3894" s="5" t="s">
        <v>43</v>
      </c>
      <c r="E3894" s="5" t="s">
        <v>227</v>
      </c>
      <c r="F3894" s="9">
        <v>27</v>
      </c>
      <c r="G3894" s="9">
        <v>270</v>
      </c>
      <c r="H3894" s="5" t="s">
        <v>20</v>
      </c>
      <c r="I3894" s="5" t="s">
        <v>8642</v>
      </c>
      <c r="J3894" s="12" t="str">
        <f>HYPERLINK("https://www.boe.es/gazeta/dias/1806/03/28/pdfs/GMD-1806-27.pdf#page=10","Abrir facsímil")</f>
        <v>Abrir facsímil</v>
      </c>
      <c r="K3894" s="15" t="s">
        <v>22</v>
      </c>
    </row>
    <row r="3895" spans="1:11" ht="42" customHeight="1">
      <c r="A3895" s="4" t="s">
        <v>8643</v>
      </c>
      <c r="B3895" s="5" t="s">
        <v>8643</v>
      </c>
      <c r="C3895" s="5" t="s">
        <v>31</v>
      </c>
      <c r="D3895" s="5" t="s">
        <v>32</v>
      </c>
      <c r="E3895" s="5" t="s">
        <v>195</v>
      </c>
      <c r="F3895" s="9">
        <v>4</v>
      </c>
      <c r="G3895" s="9">
        <v>38</v>
      </c>
      <c r="H3895" s="5" t="s">
        <v>20</v>
      </c>
      <c r="I3895" s="5" t="s">
        <v>8644</v>
      </c>
      <c r="J3895" s="12" t="str">
        <f>HYPERLINK("https://www.boe.es/gazeta/dias/1806/01/14/pdfs/GMD-1806-4.pdf#page=10","Abrir facsímil")</f>
        <v>Abrir facsímil</v>
      </c>
      <c r="K3895" s="15" t="s">
        <v>22</v>
      </c>
    </row>
    <row r="3896" spans="1:11" ht="42" customHeight="1">
      <c r="A3896" s="4" t="s">
        <v>8643</v>
      </c>
      <c r="B3896" s="5" t="s">
        <v>8643</v>
      </c>
      <c r="C3896" s="5" t="s">
        <v>75</v>
      </c>
      <c r="D3896" s="5" t="s">
        <v>43</v>
      </c>
      <c r="E3896" s="5" t="s">
        <v>271</v>
      </c>
      <c r="F3896" s="9">
        <v>6</v>
      </c>
      <c r="G3896" s="9">
        <v>56</v>
      </c>
      <c r="H3896" s="5" t="s">
        <v>20</v>
      </c>
      <c r="I3896" s="5" t="s">
        <v>8645</v>
      </c>
      <c r="J3896" s="12" t="str">
        <f>HYPERLINK("https://www.boe.es/gazeta/dias/1806/01/17/pdfs/GMD-1806-6.pdf#page=12","Abrir facsímil")</f>
        <v>Abrir facsímil</v>
      </c>
      <c r="K3896" s="15" t="s">
        <v>22</v>
      </c>
    </row>
    <row r="3897" spans="1:11" ht="42" customHeight="1">
      <c r="A3897" s="4" t="s">
        <v>8643</v>
      </c>
      <c r="B3897" s="5" t="s">
        <v>8643</v>
      </c>
      <c r="C3897" s="5" t="s">
        <v>75</v>
      </c>
      <c r="D3897" s="5" t="s">
        <v>43</v>
      </c>
      <c r="E3897" s="5" t="s">
        <v>161</v>
      </c>
      <c r="F3897" s="9">
        <v>11</v>
      </c>
      <c r="G3897" s="9">
        <v>99</v>
      </c>
      <c r="H3897" s="5" t="s">
        <v>20</v>
      </c>
      <c r="I3897" s="5" t="s">
        <v>8646</v>
      </c>
      <c r="J3897" s="12" t="str">
        <f>HYPERLINK("https://www.boe.es/gazeta/dias/1806/01/31/pdfs/GMD-1806-11.pdf#page=7","Abrir facsímil")</f>
        <v>Abrir facsímil</v>
      </c>
      <c r="K3897" s="15" t="s">
        <v>22</v>
      </c>
    </row>
    <row r="3898" spans="1:11" ht="42" customHeight="1">
      <c r="A3898" s="4" t="s">
        <v>8643</v>
      </c>
      <c r="B3898" s="5" t="s">
        <v>8643</v>
      </c>
      <c r="C3898" s="5" t="s">
        <v>75</v>
      </c>
      <c r="D3898" s="5" t="s">
        <v>43</v>
      </c>
      <c r="E3898" s="5" t="s">
        <v>430</v>
      </c>
      <c r="F3898" s="9">
        <v>12</v>
      </c>
      <c r="G3898" s="9">
        <v>107</v>
      </c>
      <c r="H3898" s="5" t="s">
        <v>20</v>
      </c>
      <c r="I3898" s="5" t="s">
        <v>8647</v>
      </c>
      <c r="J3898" s="12" t="str">
        <f>HYPERLINK("https://www.boe.es/gazeta/dias/1806/02/04/pdfs/GMD-1806-12.pdf#page=7","Abrir facsímil")</f>
        <v>Abrir facsímil</v>
      </c>
      <c r="K3898" s="15" t="s">
        <v>22</v>
      </c>
    </row>
    <row r="3899" spans="1:11" ht="42" customHeight="1">
      <c r="A3899" s="4" t="s">
        <v>8643</v>
      </c>
      <c r="B3899" s="5" t="s">
        <v>8643</v>
      </c>
      <c r="C3899" s="5" t="s">
        <v>75</v>
      </c>
      <c r="D3899" s="5" t="s">
        <v>43</v>
      </c>
      <c r="E3899" s="5" t="s">
        <v>118</v>
      </c>
      <c r="F3899" s="9">
        <v>15</v>
      </c>
      <c r="G3899" s="9">
        <v>135</v>
      </c>
      <c r="H3899" s="5" t="s">
        <v>20</v>
      </c>
      <c r="I3899" s="5" t="s">
        <v>8648</v>
      </c>
      <c r="J3899" s="12" t="str">
        <f>HYPERLINK("https://www.boe.es/gazeta/dias/1806/02/14/pdfs/GMD-1806-15.pdf#page=11","Abrir facsímil")</f>
        <v>Abrir facsímil</v>
      </c>
      <c r="K3899" s="15" t="s">
        <v>22</v>
      </c>
    </row>
    <row r="3900" spans="1:11" ht="42" customHeight="1">
      <c r="A3900" s="4" t="s">
        <v>8643</v>
      </c>
      <c r="B3900" s="5" t="s">
        <v>8643</v>
      </c>
      <c r="C3900" s="5" t="s">
        <v>75</v>
      </c>
      <c r="D3900" s="5" t="s">
        <v>43</v>
      </c>
      <c r="E3900" s="5" t="s">
        <v>1778</v>
      </c>
      <c r="F3900" s="9">
        <v>16</v>
      </c>
      <c r="G3900" s="9">
        <v>144</v>
      </c>
      <c r="H3900" s="5" t="s">
        <v>20</v>
      </c>
      <c r="I3900" s="5" t="s">
        <v>8649</v>
      </c>
      <c r="J3900" s="12" t="str">
        <f>HYPERLINK("https://www.boe.es/gazeta/dias/1806/02/18/pdfs/GMD-1806-16.pdf#page=8","Abrir facsímil")</f>
        <v>Abrir facsímil</v>
      </c>
      <c r="K3900" s="15" t="s">
        <v>22</v>
      </c>
    </row>
    <row r="3901" spans="1:11" ht="42" customHeight="1">
      <c r="A3901" s="4" t="s">
        <v>8643</v>
      </c>
      <c r="B3901" s="5" t="s">
        <v>8643</v>
      </c>
      <c r="C3901" s="5" t="s">
        <v>75</v>
      </c>
      <c r="D3901" s="5" t="s">
        <v>43</v>
      </c>
      <c r="E3901" s="5" t="s">
        <v>172</v>
      </c>
      <c r="F3901" s="9">
        <v>17</v>
      </c>
      <c r="G3901" s="9">
        <v>151</v>
      </c>
      <c r="H3901" s="5" t="s">
        <v>20</v>
      </c>
      <c r="I3901" s="5" t="s">
        <v>8650</v>
      </c>
      <c r="J3901" s="12" t="str">
        <f>HYPERLINK("https://www.boe.es/gazeta/dias/1806/02/21/pdfs/GMD-1806-17.pdf#page=7","Abrir facsímil")</f>
        <v>Abrir facsímil</v>
      </c>
      <c r="K3901" s="15" t="s">
        <v>22</v>
      </c>
    </row>
    <row r="3902" spans="1:11" ht="42" customHeight="1">
      <c r="A3902" s="4" t="s">
        <v>8643</v>
      </c>
      <c r="B3902" s="5" t="s">
        <v>8643</v>
      </c>
      <c r="C3902" s="5" t="s">
        <v>75</v>
      </c>
      <c r="D3902" s="5" t="s">
        <v>43</v>
      </c>
      <c r="E3902" s="5" t="s">
        <v>121</v>
      </c>
      <c r="F3902" s="9">
        <v>19</v>
      </c>
      <c r="G3902" s="9">
        <v>174</v>
      </c>
      <c r="H3902" s="5" t="s">
        <v>20</v>
      </c>
      <c r="I3902" s="5" t="s">
        <v>8651</v>
      </c>
      <c r="J3902" s="12" t="str">
        <f>HYPERLINK("https://www.boe.es/gazeta/dias/1806/02/28/pdfs/GMD-1806-19.pdf#page=10","Abrir facsímil")</f>
        <v>Abrir facsímil</v>
      </c>
      <c r="K3902" s="15" t="s">
        <v>22</v>
      </c>
    </row>
    <row r="3903" spans="1:11" ht="42" customHeight="1">
      <c r="A3903" s="4" t="s">
        <v>8643</v>
      </c>
      <c r="B3903" s="5" t="s">
        <v>8643</v>
      </c>
      <c r="C3903" s="5" t="s">
        <v>31</v>
      </c>
      <c r="D3903" s="5" t="s">
        <v>32</v>
      </c>
      <c r="E3903" s="5" t="s">
        <v>55</v>
      </c>
      <c r="F3903" s="9">
        <v>20</v>
      </c>
      <c r="G3903" s="9">
        <v>186</v>
      </c>
      <c r="H3903" s="5" t="s">
        <v>20</v>
      </c>
      <c r="I3903" s="5" t="s">
        <v>8652</v>
      </c>
      <c r="J3903" s="12" t="str">
        <f>HYPERLINK("https://www.boe.es/gazeta/dias/1806/03/04/pdfs/GMD-1806-20.pdf#page=10","Abrir facsímil")</f>
        <v>Abrir facsímil</v>
      </c>
      <c r="K3903" s="15" t="s">
        <v>22</v>
      </c>
    </row>
    <row r="3904" spans="1:11" ht="42" customHeight="1">
      <c r="A3904" s="4" t="s">
        <v>8643</v>
      </c>
      <c r="B3904" s="5" t="s">
        <v>8643</v>
      </c>
      <c r="C3904" s="5" t="s">
        <v>75</v>
      </c>
      <c r="D3904" s="5" t="s">
        <v>43</v>
      </c>
      <c r="E3904" s="5" t="s">
        <v>59</v>
      </c>
      <c r="F3904" s="9">
        <v>21</v>
      </c>
      <c r="G3904" s="9">
        <v>199</v>
      </c>
      <c r="H3904" s="5" t="s">
        <v>20</v>
      </c>
      <c r="I3904" s="5" t="s">
        <v>8653</v>
      </c>
      <c r="J3904" s="12" t="str">
        <f>HYPERLINK("https://www.boe.es/gazeta/dias/1806/03/07/pdfs/GMD-1806-21.pdf#page=11","Abrir facsímil")</f>
        <v>Abrir facsímil</v>
      </c>
      <c r="K3904" s="15" t="s">
        <v>22</v>
      </c>
    </row>
    <row r="3905" spans="1:11" ht="42" customHeight="1">
      <c r="A3905" s="4" t="s">
        <v>8643</v>
      </c>
      <c r="B3905" s="5" t="s">
        <v>8643</v>
      </c>
      <c r="C3905" s="5" t="s">
        <v>75</v>
      </c>
      <c r="D3905" s="5" t="s">
        <v>43</v>
      </c>
      <c r="E3905" s="5" t="s">
        <v>580</v>
      </c>
      <c r="F3905" s="9">
        <v>23</v>
      </c>
      <c r="G3905" s="9">
        <v>223</v>
      </c>
      <c r="H3905" s="5" t="s">
        <v>20</v>
      </c>
      <c r="I3905" s="5" t="s">
        <v>8654</v>
      </c>
      <c r="J3905" s="12" t="str">
        <f>HYPERLINK("https://www.boe.es/gazeta/dias/1806/03/14/pdfs/GMD-1806-23.pdf#page=11","Abrir facsímil")</f>
        <v>Abrir facsímil</v>
      </c>
      <c r="K3905" s="15" t="s">
        <v>22</v>
      </c>
    </row>
    <row r="3906" spans="1:11" ht="42" customHeight="1">
      <c r="A3906" s="4" t="s">
        <v>8643</v>
      </c>
      <c r="B3906" s="5" t="s">
        <v>8643</v>
      </c>
      <c r="C3906" s="5" t="s">
        <v>75</v>
      </c>
      <c r="D3906" s="5" t="s">
        <v>43</v>
      </c>
      <c r="E3906" s="5" t="s">
        <v>837</v>
      </c>
      <c r="F3906" s="9">
        <v>26</v>
      </c>
      <c r="G3906" s="9">
        <v>258</v>
      </c>
      <c r="H3906" s="5" t="s">
        <v>20</v>
      </c>
      <c r="I3906" s="5" t="s">
        <v>8655</v>
      </c>
      <c r="J3906" s="12" t="str">
        <f>HYPERLINK("https://www.boe.es/gazeta/dias/1806/03/25/pdfs/GMD-1806-26.pdf#page=10","Abrir facsímil")</f>
        <v>Abrir facsímil</v>
      </c>
      <c r="K3906" s="15" t="s">
        <v>22</v>
      </c>
    </row>
    <row r="3907" spans="1:11" ht="42" customHeight="1">
      <c r="A3907" s="4" t="s">
        <v>8643</v>
      </c>
      <c r="B3907" s="5" t="s">
        <v>8643</v>
      </c>
      <c r="C3907" s="5" t="s">
        <v>31</v>
      </c>
      <c r="D3907" s="5" t="s">
        <v>32</v>
      </c>
      <c r="E3907" s="5" t="s">
        <v>71</v>
      </c>
      <c r="F3907" s="9">
        <v>29</v>
      </c>
      <c r="G3907" s="9">
        <v>288</v>
      </c>
      <c r="H3907" s="5" t="s">
        <v>20</v>
      </c>
      <c r="I3907" s="5" t="s">
        <v>8656</v>
      </c>
      <c r="J3907" s="12" t="str">
        <f>HYPERLINK("https://www.boe.es/gazeta/dias/1806/04/04/pdfs/GMD-1806-29.pdf#page=8","Abrir facsímil")</f>
        <v>Abrir facsímil</v>
      </c>
      <c r="K3907" s="15" t="s">
        <v>22</v>
      </c>
    </row>
    <row r="3908" spans="1:11" ht="42" customHeight="1">
      <c r="A3908" s="4" t="s">
        <v>8643</v>
      </c>
      <c r="B3908" s="5" t="s">
        <v>8643</v>
      </c>
      <c r="C3908" s="5" t="s">
        <v>75</v>
      </c>
      <c r="D3908" s="5" t="s">
        <v>43</v>
      </c>
      <c r="E3908" s="5" t="s">
        <v>340</v>
      </c>
      <c r="F3908" s="9">
        <v>31</v>
      </c>
      <c r="G3908" s="9">
        <v>307</v>
      </c>
      <c r="H3908" s="5" t="s">
        <v>20</v>
      </c>
      <c r="I3908" s="5" t="s">
        <v>8657</v>
      </c>
      <c r="J3908" s="12" t="str">
        <f>HYPERLINK("https://www.boe.es/gazeta/dias/1806/04/11/pdfs/GMD-1806-31.pdf#page=11","Abrir facsímil")</f>
        <v>Abrir facsímil</v>
      </c>
      <c r="K3908" s="15" t="s">
        <v>22</v>
      </c>
    </row>
    <row r="3909" spans="1:11" ht="42" customHeight="1">
      <c r="A3909" s="4" t="s">
        <v>8643</v>
      </c>
      <c r="B3909" s="5" t="s">
        <v>8643</v>
      </c>
      <c r="C3909" s="5" t="s">
        <v>75</v>
      </c>
      <c r="D3909" s="5" t="s">
        <v>43</v>
      </c>
      <c r="E3909" s="5" t="s">
        <v>24</v>
      </c>
      <c r="F3909" s="9">
        <v>32</v>
      </c>
      <c r="G3909" s="9">
        <v>317</v>
      </c>
      <c r="H3909" s="5" t="s">
        <v>20</v>
      </c>
      <c r="I3909" s="5" t="s">
        <v>8658</v>
      </c>
      <c r="J3909" s="12" t="str">
        <f>HYPERLINK("https://www.boe.es/gazeta/dias/1806/04/15/pdfs/GMD-1806-32.pdf#page=9","Abrir facsímil")</f>
        <v>Abrir facsímil</v>
      </c>
      <c r="K3909" s="15" t="s">
        <v>22</v>
      </c>
    </row>
    <row r="3910" spans="1:11" ht="42" customHeight="1">
      <c r="A3910" s="4" t="s">
        <v>8643</v>
      </c>
      <c r="B3910" s="5" t="s">
        <v>8643</v>
      </c>
      <c r="C3910" s="5" t="s">
        <v>31</v>
      </c>
      <c r="D3910" s="5" t="s">
        <v>32</v>
      </c>
      <c r="E3910" s="5" t="s">
        <v>870</v>
      </c>
      <c r="F3910" s="9">
        <v>35</v>
      </c>
      <c r="G3910" s="9">
        <v>344</v>
      </c>
      <c r="H3910" s="5" t="s">
        <v>20</v>
      </c>
      <c r="I3910" s="5" t="s">
        <v>8659</v>
      </c>
      <c r="J3910" s="12" t="str">
        <f>HYPERLINK("https://www.boe.es/gazeta/dias/1806/04/25/pdfs/GMD-1806-35.pdf#page=8","Abrir facsímil")</f>
        <v>Abrir facsímil</v>
      </c>
      <c r="K3910" s="15" t="s">
        <v>22</v>
      </c>
    </row>
    <row r="3911" spans="1:11" ht="42" customHeight="1">
      <c r="A3911" s="4" t="s">
        <v>8643</v>
      </c>
      <c r="B3911" s="5" t="s">
        <v>8643</v>
      </c>
      <c r="C3911" s="5" t="s">
        <v>31</v>
      </c>
      <c r="D3911" s="5" t="s">
        <v>32</v>
      </c>
      <c r="E3911" s="5" t="s">
        <v>62</v>
      </c>
      <c r="F3911" s="9">
        <v>45</v>
      </c>
      <c r="G3911" s="9">
        <v>458</v>
      </c>
      <c r="H3911" s="5" t="s">
        <v>20</v>
      </c>
      <c r="I3911" s="5" t="s">
        <v>8660</v>
      </c>
      <c r="J3911" s="12" t="str">
        <f>HYPERLINK("https://www.boe.es/gazeta/dias/1806/05/30/pdfs/GMD-1806-45.pdf#page=10","Abrir facsímil")</f>
        <v>Abrir facsímil</v>
      </c>
      <c r="K3911" s="15" t="s">
        <v>22</v>
      </c>
    </row>
    <row r="3912" spans="1:11" ht="42" customHeight="1">
      <c r="A3912" s="4" t="s">
        <v>8643</v>
      </c>
      <c r="B3912" s="5" t="s">
        <v>8643</v>
      </c>
      <c r="C3912" s="5" t="s">
        <v>36</v>
      </c>
      <c r="D3912" s="5" t="s">
        <v>37</v>
      </c>
      <c r="E3912" s="5" t="s">
        <v>62</v>
      </c>
      <c r="F3912" s="9">
        <v>45</v>
      </c>
      <c r="G3912" s="9">
        <v>459</v>
      </c>
      <c r="H3912" s="5" t="s">
        <v>20</v>
      </c>
      <c r="I3912" s="5" t="s">
        <v>8661</v>
      </c>
      <c r="J3912" s="12" t="str">
        <f>HYPERLINK("https://www.boe.es/gazeta/dias/1806/05/30/pdfs/GMD-1806-45.pdf#page=11","Abrir facsímil")</f>
        <v>Abrir facsímil</v>
      </c>
      <c r="K3912" s="15" t="s">
        <v>22</v>
      </c>
    </row>
    <row r="3913" spans="1:11" ht="42" customHeight="1">
      <c r="A3913" s="4" t="s">
        <v>8643</v>
      </c>
      <c r="B3913" s="5" t="s">
        <v>8643</v>
      </c>
      <c r="C3913" s="5" t="s">
        <v>75</v>
      </c>
      <c r="D3913" s="5" t="s">
        <v>43</v>
      </c>
      <c r="E3913" s="5" t="s">
        <v>103</v>
      </c>
      <c r="F3913" s="9">
        <v>61</v>
      </c>
      <c r="G3913" s="9">
        <v>638</v>
      </c>
      <c r="H3913" s="5" t="s">
        <v>20</v>
      </c>
      <c r="I3913" s="5" t="s">
        <v>8662</v>
      </c>
      <c r="J3913" s="12" t="str">
        <f>HYPERLINK("https://www.boe.es/gazeta/dias/1806/07/25/pdfs/GMD-1806-61.pdf#page=10","Abrir facsímil")</f>
        <v>Abrir facsímil</v>
      </c>
      <c r="K3913" s="15" t="s">
        <v>22</v>
      </c>
    </row>
    <row r="3914" spans="1:11" ht="42" customHeight="1">
      <c r="A3914" s="4" t="s">
        <v>8663</v>
      </c>
      <c r="B3914" s="5" t="s">
        <v>8663</v>
      </c>
      <c r="C3914" s="5" t="s">
        <v>75</v>
      </c>
      <c r="D3914" s="5" t="s">
        <v>43</v>
      </c>
      <c r="E3914" s="5" t="s">
        <v>400</v>
      </c>
      <c r="F3914" s="9">
        <v>22</v>
      </c>
      <c r="G3914" s="9">
        <v>210</v>
      </c>
      <c r="H3914" s="5" t="s">
        <v>20</v>
      </c>
      <c r="I3914" s="5" t="s">
        <v>8664</v>
      </c>
      <c r="J3914" s="12" t="str">
        <f>HYPERLINK("https://www.boe.es/gazeta/dias/1806/03/11/pdfs/GMD-1806-22.pdf#page=10","Abrir facsímil")</f>
        <v>Abrir facsímil</v>
      </c>
      <c r="K3914" s="15" t="s">
        <v>22</v>
      </c>
    </row>
    <row r="3915" spans="1:11" ht="42" customHeight="1">
      <c r="A3915" s="4" t="s">
        <v>8665</v>
      </c>
      <c r="B3915" s="5" t="s">
        <v>8665</v>
      </c>
      <c r="C3915" s="5" t="s">
        <v>17</v>
      </c>
      <c r="D3915" s="5" t="s">
        <v>18</v>
      </c>
      <c r="E3915" s="5" t="s">
        <v>438</v>
      </c>
      <c r="F3915" s="9">
        <v>70</v>
      </c>
      <c r="G3915" s="9">
        <v>728</v>
      </c>
      <c r="H3915" s="5" t="s">
        <v>20</v>
      </c>
      <c r="I3915" s="5" t="s">
        <v>8666</v>
      </c>
      <c r="J3915" s="12" t="str">
        <f>HYPERLINK("https://www.boe.es/gazeta/dias/1806/08/26/pdfs/GMD-1806-70.pdf#page=4","Abrir facsímil")</f>
        <v>Abrir facsímil</v>
      </c>
      <c r="K3915" s="15" t="s">
        <v>22</v>
      </c>
    </row>
    <row r="3916" spans="1:11" ht="42" customHeight="1">
      <c r="A3916" s="4" t="s">
        <v>8667</v>
      </c>
      <c r="B3916" s="5" t="s">
        <v>8667</v>
      </c>
      <c r="C3916" s="5" t="s">
        <v>17</v>
      </c>
      <c r="D3916" s="5" t="s">
        <v>18</v>
      </c>
      <c r="E3916" s="5" t="s">
        <v>438</v>
      </c>
      <c r="F3916" s="9">
        <v>70</v>
      </c>
      <c r="G3916" s="9">
        <v>730</v>
      </c>
      <c r="H3916" s="5" t="s">
        <v>20</v>
      </c>
      <c r="I3916" s="5" t="s">
        <v>8668</v>
      </c>
      <c r="J3916" s="12" t="str">
        <f>HYPERLINK("https://www.boe.es/gazeta/dias/1806/08/26/pdfs/GMD-1806-70.pdf#page=6","Abrir facsímil")</f>
        <v>Abrir facsímil</v>
      </c>
      <c r="K3916" s="15" t="s">
        <v>22</v>
      </c>
    </row>
    <row r="3917" spans="1:11" ht="42" customHeight="1">
      <c r="A3917" s="4" t="s">
        <v>8669</v>
      </c>
      <c r="B3917" s="5" t="s">
        <v>8670</v>
      </c>
      <c r="C3917" s="5" t="s">
        <v>17</v>
      </c>
      <c r="D3917" s="5" t="s">
        <v>18</v>
      </c>
      <c r="E3917" s="5" t="s">
        <v>130</v>
      </c>
      <c r="F3917" s="9">
        <v>66</v>
      </c>
      <c r="G3917" s="9">
        <v>690</v>
      </c>
      <c r="H3917" s="5" t="s">
        <v>20</v>
      </c>
      <c r="I3917" s="5" t="s">
        <v>8671</v>
      </c>
      <c r="J3917" s="12" t="str">
        <f>HYPERLINK("https://www.boe.es/gazeta/dias/1806/08/12/pdfs/GMD-1806-66.pdf#page=6","Abrir facsímil")</f>
        <v>Abrir facsímil</v>
      </c>
      <c r="K3917" s="15" t="s">
        <v>22</v>
      </c>
    </row>
    <row r="3918" spans="1:11" ht="42" customHeight="1">
      <c r="A3918" s="4" t="s">
        <v>8672</v>
      </c>
      <c r="B3918" s="5" t="s">
        <v>8672</v>
      </c>
      <c r="C3918" s="5" t="s">
        <v>31</v>
      </c>
      <c r="D3918" s="5" t="s">
        <v>32</v>
      </c>
      <c r="E3918" s="5" t="s">
        <v>121</v>
      </c>
      <c r="F3918" s="9">
        <v>19</v>
      </c>
      <c r="G3918" s="9">
        <v>172</v>
      </c>
      <c r="H3918" s="5" t="s">
        <v>20</v>
      </c>
      <c r="I3918" s="5" t="s">
        <v>8673</v>
      </c>
      <c r="J3918" s="12" t="str">
        <f>HYPERLINK("https://www.boe.es/gazeta/dias/1806/02/28/pdfs/GMD-1806-19.pdf#page=8","Abrir facsímil")</f>
        <v>Abrir facsímil</v>
      </c>
      <c r="K3918" s="15" t="s">
        <v>22</v>
      </c>
    </row>
    <row r="3919" spans="1:11" ht="42" customHeight="1">
      <c r="A3919" s="4" t="s">
        <v>8674</v>
      </c>
      <c r="B3919" s="5" t="s">
        <v>8674</v>
      </c>
      <c r="C3919" s="5" t="s">
        <v>17</v>
      </c>
      <c r="D3919" s="5" t="s">
        <v>18</v>
      </c>
      <c r="E3919" s="5" t="s">
        <v>438</v>
      </c>
      <c r="F3919" s="9">
        <v>70</v>
      </c>
      <c r="G3919" s="9">
        <v>728</v>
      </c>
      <c r="H3919" s="5" t="s">
        <v>20</v>
      </c>
      <c r="I3919" s="5" t="s">
        <v>8675</v>
      </c>
      <c r="J3919" s="12" t="str">
        <f>HYPERLINK("https://www.boe.es/gazeta/dias/1806/08/26/pdfs/GMD-1806-70.pdf#page=4","Abrir facsímil")</f>
        <v>Abrir facsímil</v>
      </c>
      <c r="K3919" s="15" t="s">
        <v>22</v>
      </c>
    </row>
    <row r="3920" spans="1:11" ht="42" customHeight="1">
      <c r="A3920" s="4" t="s">
        <v>8674</v>
      </c>
      <c r="B3920" s="5" t="s">
        <v>8674</v>
      </c>
      <c r="C3920" s="5" t="s">
        <v>17</v>
      </c>
      <c r="D3920" s="5" t="s">
        <v>18</v>
      </c>
      <c r="E3920" s="5" t="s">
        <v>438</v>
      </c>
      <c r="F3920" s="9">
        <v>70</v>
      </c>
      <c r="G3920" s="9">
        <v>729</v>
      </c>
      <c r="H3920" s="5" t="s">
        <v>20</v>
      </c>
      <c r="I3920" s="5" t="s">
        <v>8676</v>
      </c>
      <c r="J3920" s="12" t="str">
        <f>HYPERLINK("https://www.boe.es/gazeta/dias/1806/08/26/pdfs/GMD-1806-70.pdf#page=5","Abrir facsímil")</f>
        <v>Abrir facsímil</v>
      </c>
      <c r="K3920" s="15" t="s">
        <v>22</v>
      </c>
    </row>
    <row r="3921" spans="1:11" ht="42" customHeight="1">
      <c r="A3921" s="4" t="s">
        <v>8674</v>
      </c>
      <c r="B3921" s="5" t="s">
        <v>8674</v>
      </c>
      <c r="C3921" s="5" t="s">
        <v>17</v>
      </c>
      <c r="D3921" s="5" t="s">
        <v>18</v>
      </c>
      <c r="E3921" s="5" t="s">
        <v>93</v>
      </c>
      <c r="F3921" s="9">
        <v>72</v>
      </c>
      <c r="G3921" s="9">
        <v>747</v>
      </c>
      <c r="H3921" s="5" t="s">
        <v>20</v>
      </c>
      <c r="I3921" s="5" t="s">
        <v>8677</v>
      </c>
      <c r="J3921" s="12" t="str">
        <f>HYPERLINK("https://www.boe.es/gazeta/dias/1806/09/02/pdfs/GMD-1806-72.pdf#page=7","Abrir facsímil")</f>
        <v>Abrir facsímil</v>
      </c>
      <c r="K3921" s="15" t="s">
        <v>22</v>
      </c>
    </row>
    <row r="3922" spans="1:11" ht="42" customHeight="1">
      <c r="A3922" s="4" t="s">
        <v>8678</v>
      </c>
      <c r="B3922" s="5" t="s">
        <v>8678</v>
      </c>
      <c r="C3922" s="5" t="s">
        <v>17</v>
      </c>
      <c r="D3922" s="5" t="s">
        <v>18</v>
      </c>
      <c r="E3922" s="5" t="s">
        <v>55</v>
      </c>
      <c r="F3922" s="9">
        <v>20</v>
      </c>
      <c r="G3922" s="9">
        <v>184</v>
      </c>
      <c r="H3922" s="5" t="s">
        <v>20</v>
      </c>
      <c r="I3922" s="5" t="s">
        <v>8679</v>
      </c>
      <c r="J3922" s="12" t="str">
        <f>HYPERLINK("https://www.boe.es/gazeta/dias/1806/03/04/pdfs/GMD-1806-20.pdf#page=8","Abrir facsímil")</f>
        <v>Abrir facsímil</v>
      </c>
      <c r="K3922" s="15" t="s">
        <v>22</v>
      </c>
    </row>
    <row r="3923" spans="1:11" ht="42" customHeight="1">
      <c r="A3923" s="4" t="s">
        <v>8680</v>
      </c>
      <c r="B3923" s="5" t="s">
        <v>8680</v>
      </c>
      <c r="C3923" s="5" t="s">
        <v>31</v>
      </c>
      <c r="D3923" s="5" t="s">
        <v>32</v>
      </c>
      <c r="E3923" s="5" t="s">
        <v>702</v>
      </c>
      <c r="F3923" s="9">
        <v>43</v>
      </c>
      <c r="G3923" s="9">
        <v>433</v>
      </c>
      <c r="H3923" s="5" t="s">
        <v>20</v>
      </c>
      <c r="I3923" s="5" t="s">
        <v>8681</v>
      </c>
      <c r="J3923" s="12" t="str">
        <f>HYPERLINK("https://www.boe.es/gazeta/dias/1806/05/23/pdfs/GMD-1806-43.pdf#page=9","Abrir facsímil")</f>
        <v>Abrir facsímil</v>
      </c>
      <c r="K3923" s="15" t="s">
        <v>22</v>
      </c>
    </row>
    <row r="3924" spans="1:11" ht="42" customHeight="1">
      <c r="A3924" s="4" t="s">
        <v>8682</v>
      </c>
      <c r="B3924" s="5" t="s">
        <v>8682</v>
      </c>
      <c r="C3924" s="5" t="s">
        <v>31</v>
      </c>
      <c r="D3924" s="5" t="s">
        <v>32</v>
      </c>
      <c r="E3924" s="5" t="s">
        <v>71</v>
      </c>
      <c r="F3924" s="9">
        <v>29</v>
      </c>
      <c r="G3924" s="9">
        <v>287</v>
      </c>
      <c r="H3924" s="5" t="s">
        <v>20</v>
      </c>
      <c r="I3924" s="5" t="s">
        <v>8683</v>
      </c>
      <c r="J3924" s="12" t="str">
        <f>HYPERLINK("https://www.boe.es/gazeta/dias/1806/04/04/pdfs/GMD-1806-29.pdf#page=7","Abrir facsímil")</f>
        <v>Abrir facsímil</v>
      </c>
      <c r="K3924" s="15" t="s">
        <v>22</v>
      </c>
    </row>
    <row r="3925" spans="1:11" ht="42" customHeight="1">
      <c r="A3925" s="4" t="s">
        <v>8684</v>
      </c>
      <c r="B3925" s="5" t="s">
        <v>8684</v>
      </c>
      <c r="C3925" s="5" t="s">
        <v>31</v>
      </c>
      <c r="D3925" s="5" t="s">
        <v>32</v>
      </c>
      <c r="E3925" s="5" t="s">
        <v>367</v>
      </c>
      <c r="F3925" s="9">
        <v>87</v>
      </c>
      <c r="G3925" s="9">
        <v>901</v>
      </c>
      <c r="H3925" s="5" t="s">
        <v>20</v>
      </c>
      <c r="I3925" s="5" t="s">
        <v>8685</v>
      </c>
      <c r="J3925" s="12" t="str">
        <f>HYPERLINK("https://www.boe.es/gazeta/dias/1806/10/24/pdfs/GMD-1806-87.pdf#page=9","Abrir facsímil")</f>
        <v>Abrir facsímil</v>
      </c>
      <c r="K3925" s="15" t="s">
        <v>22</v>
      </c>
    </row>
    <row r="3926" spans="1:11" ht="42" customHeight="1">
      <c r="A3926" s="4" t="s">
        <v>8686</v>
      </c>
      <c r="B3926" s="5" t="s">
        <v>8686</v>
      </c>
      <c r="C3926" s="5" t="s">
        <v>31</v>
      </c>
      <c r="D3926" s="5" t="s">
        <v>32</v>
      </c>
      <c r="E3926" s="5" t="s">
        <v>110</v>
      </c>
      <c r="F3926" s="9">
        <v>55</v>
      </c>
      <c r="G3926" s="9">
        <v>572</v>
      </c>
      <c r="H3926" s="5" t="s">
        <v>20</v>
      </c>
      <c r="I3926" s="5" t="s">
        <v>8687</v>
      </c>
      <c r="J3926" s="12" t="str">
        <f>HYPERLINK("https://www.boe.es/gazeta/dias/1806/07/04/pdfs/GMD-1806-55.pdf#page=8","Abrir facsímil")</f>
        <v>Abrir facsímil</v>
      </c>
      <c r="K3926" s="15" t="s">
        <v>22</v>
      </c>
    </row>
    <row r="3927" spans="1:11" ht="42" customHeight="1">
      <c r="A3927" s="4" t="s">
        <v>8688</v>
      </c>
      <c r="B3927" s="5" t="s">
        <v>8688</v>
      </c>
      <c r="C3927" s="5" t="s">
        <v>31</v>
      </c>
      <c r="D3927" s="5" t="s">
        <v>32</v>
      </c>
      <c r="E3927" s="5" t="s">
        <v>297</v>
      </c>
      <c r="F3927" s="9">
        <v>94</v>
      </c>
      <c r="G3927" s="9">
        <v>989</v>
      </c>
      <c r="H3927" s="5" t="s">
        <v>20</v>
      </c>
      <c r="I3927" s="5" t="s">
        <v>8689</v>
      </c>
      <c r="J3927" s="12" t="str">
        <f>HYPERLINK("https://www.boe.es/gazeta/dias/1806/11/18/pdfs/GMD-1806-94.pdf#page=9","Abrir facsímil")</f>
        <v>Abrir facsímil</v>
      </c>
      <c r="K3927" s="15" t="s">
        <v>22</v>
      </c>
    </row>
    <row r="3928" spans="1:11" ht="42" customHeight="1">
      <c r="A3928" s="4" t="s">
        <v>8690</v>
      </c>
      <c r="B3928" s="5" t="s">
        <v>8691</v>
      </c>
      <c r="C3928" s="5" t="s">
        <v>31</v>
      </c>
      <c r="D3928" s="5" t="s">
        <v>32</v>
      </c>
      <c r="E3928" s="5" t="s">
        <v>501</v>
      </c>
      <c r="F3928" s="9">
        <v>39</v>
      </c>
      <c r="G3928" s="9">
        <v>384</v>
      </c>
      <c r="H3928" s="5" t="s">
        <v>20</v>
      </c>
      <c r="I3928" s="5" t="s">
        <v>8692</v>
      </c>
      <c r="J3928" s="12" t="str">
        <f>HYPERLINK("https://www.boe.es/gazeta/dias/1806/05/09/pdfs/GMD-1806-39.pdf#page=8","Abrir facsímil")</f>
        <v>Abrir facsímil</v>
      </c>
      <c r="K3928" s="15" t="s">
        <v>22</v>
      </c>
    </row>
    <row r="3929" spans="1:11" ht="42" customHeight="1">
      <c r="A3929" s="4" t="s">
        <v>8693</v>
      </c>
      <c r="B3929" s="5" t="s">
        <v>8693</v>
      </c>
      <c r="C3929" s="5" t="s">
        <v>75</v>
      </c>
      <c r="D3929" s="5" t="s">
        <v>43</v>
      </c>
      <c r="E3929" s="5" t="s">
        <v>306</v>
      </c>
      <c r="F3929" s="9">
        <v>59</v>
      </c>
      <c r="G3929" s="9">
        <v>614</v>
      </c>
      <c r="H3929" s="5" t="s">
        <v>20</v>
      </c>
      <c r="I3929" s="5" t="s">
        <v>8694</v>
      </c>
      <c r="J3929" s="12" t="str">
        <f>HYPERLINK("https://www.boe.es/gazeta/dias/1806/07/18/pdfs/GMD-1806-59.pdf#page=10","Abrir facsímil")</f>
        <v>Abrir facsímil</v>
      </c>
      <c r="K3929" s="15" t="s">
        <v>22</v>
      </c>
    </row>
    <row r="3930" spans="1:11" ht="42" customHeight="1">
      <c r="A3930" s="4" t="s">
        <v>8695</v>
      </c>
      <c r="B3930" s="5" t="s">
        <v>8695</v>
      </c>
      <c r="C3930" s="5" t="s">
        <v>75</v>
      </c>
      <c r="D3930" s="5" t="s">
        <v>43</v>
      </c>
      <c r="E3930" s="5" t="s">
        <v>810</v>
      </c>
      <c r="F3930" s="9">
        <v>71</v>
      </c>
      <c r="G3930" s="9">
        <v>740</v>
      </c>
      <c r="H3930" s="5" t="s">
        <v>20</v>
      </c>
      <c r="I3930" s="5" t="s">
        <v>8696</v>
      </c>
      <c r="J3930" s="12" t="str">
        <f>HYPERLINK("https://www.boe.es/gazeta/dias/1806/08/29/pdfs/GMD-1806-71.pdf#page=8","Abrir facsímil")</f>
        <v>Abrir facsímil</v>
      </c>
      <c r="K3930" s="15" t="s">
        <v>22</v>
      </c>
    </row>
    <row r="3931" spans="1:11" ht="42" customHeight="1">
      <c r="A3931" s="4" t="s">
        <v>8695</v>
      </c>
      <c r="B3931" s="5" t="s">
        <v>8695</v>
      </c>
      <c r="C3931" s="5" t="s">
        <v>75</v>
      </c>
      <c r="D3931" s="5" t="s">
        <v>43</v>
      </c>
      <c r="E3931" s="5" t="s">
        <v>301</v>
      </c>
      <c r="F3931" s="9">
        <v>75</v>
      </c>
      <c r="G3931" s="9">
        <v>778</v>
      </c>
      <c r="H3931" s="5" t="s">
        <v>20</v>
      </c>
      <c r="I3931" s="5" t="s">
        <v>8697</v>
      </c>
      <c r="J3931" s="12" t="str">
        <f>HYPERLINK("https://www.boe.es/gazeta/dias/1806/09/12/pdfs/GMD-1806-75.pdf#page=10","Abrir facsímil")</f>
        <v>Abrir facsímil</v>
      </c>
      <c r="K3931" s="15" t="s">
        <v>22</v>
      </c>
    </row>
    <row r="3932" spans="1:11" ht="42" customHeight="1">
      <c r="A3932" s="4" t="s">
        <v>8695</v>
      </c>
      <c r="B3932" s="5" t="s">
        <v>8695</v>
      </c>
      <c r="C3932" s="5" t="s">
        <v>75</v>
      </c>
      <c r="D3932" s="5" t="s">
        <v>43</v>
      </c>
      <c r="E3932" s="5" t="s">
        <v>297</v>
      </c>
      <c r="F3932" s="9">
        <v>94</v>
      </c>
      <c r="G3932" s="9">
        <v>991</v>
      </c>
      <c r="H3932" s="5" t="s">
        <v>20</v>
      </c>
      <c r="I3932" s="5" t="s">
        <v>8698</v>
      </c>
      <c r="J3932" s="12" t="str">
        <f>HYPERLINK("https://www.boe.es/gazeta/dias/1806/11/18/pdfs/GMD-1806-94.pdf#page=11","Abrir facsímil")</f>
        <v>Abrir facsímil</v>
      </c>
      <c r="K3932" s="15" t="s">
        <v>22</v>
      </c>
    </row>
    <row r="3933" spans="1:11" ht="42" customHeight="1">
      <c r="A3933" s="4" t="s">
        <v>8695</v>
      </c>
      <c r="B3933" s="5" t="s">
        <v>8695</v>
      </c>
      <c r="C3933" s="5" t="s">
        <v>75</v>
      </c>
      <c r="D3933" s="5" t="s">
        <v>43</v>
      </c>
      <c r="E3933" s="5" t="s">
        <v>245</v>
      </c>
      <c r="F3933" s="9">
        <v>106</v>
      </c>
      <c r="G3933" s="9">
        <v>1123</v>
      </c>
      <c r="H3933" s="5" t="s">
        <v>20</v>
      </c>
      <c r="I3933" s="5" t="s">
        <v>8699</v>
      </c>
      <c r="J3933" s="12" t="str">
        <f>HYPERLINK("https://www.boe.es/gazeta/dias/1806/12/26/pdfs/GMD-1806-106.pdf#page=7","Abrir facsímil")</f>
        <v>Abrir facsímil</v>
      </c>
      <c r="K3933" s="15" t="s">
        <v>22</v>
      </c>
    </row>
    <row r="3934" spans="1:11" ht="42" customHeight="1">
      <c r="A3934" s="4" t="s">
        <v>8700</v>
      </c>
      <c r="B3934" s="5" t="s">
        <v>8700</v>
      </c>
      <c r="C3934" s="5" t="s">
        <v>42</v>
      </c>
      <c r="D3934" s="5" t="s">
        <v>43</v>
      </c>
      <c r="E3934" s="5" t="s">
        <v>297</v>
      </c>
      <c r="F3934" s="9">
        <v>94</v>
      </c>
      <c r="G3934" s="9">
        <v>988</v>
      </c>
      <c r="H3934" s="5" t="s">
        <v>20</v>
      </c>
      <c r="I3934" s="5" t="s">
        <v>8701</v>
      </c>
      <c r="J3934" s="12" t="str">
        <f>HYPERLINK("https://www.boe.es/gazeta/dias/1806/11/18/pdfs/GMD-1806-94.pdf#page=8","Abrir facsímil")</f>
        <v>Abrir facsímil</v>
      </c>
      <c r="K3934" s="15" t="s">
        <v>22</v>
      </c>
    </row>
    <row r="3935" spans="1:11" ht="42" customHeight="1">
      <c r="A3935" s="4" t="s">
        <v>8702</v>
      </c>
      <c r="B3935" s="5" t="s">
        <v>8702</v>
      </c>
      <c r="C3935" s="5" t="s">
        <v>31</v>
      </c>
      <c r="D3935" s="5" t="s">
        <v>32</v>
      </c>
      <c r="E3935" s="5" t="s">
        <v>494</v>
      </c>
      <c r="F3935" s="9">
        <v>69</v>
      </c>
      <c r="G3935" s="9">
        <v>721</v>
      </c>
      <c r="H3935" s="5" t="s">
        <v>20</v>
      </c>
      <c r="I3935" s="5" t="s">
        <v>8703</v>
      </c>
      <c r="J3935" s="12" t="str">
        <f>HYPERLINK("https://www.boe.es/gazeta/dias/1806/08/22/pdfs/GMD-1806-69.pdf#page=9","Abrir facsímil")</f>
        <v>Abrir facsímil</v>
      </c>
      <c r="K3935" s="15" t="s">
        <v>22</v>
      </c>
    </row>
    <row r="3936" spans="1:11" ht="42" customHeight="1">
      <c r="A3936" s="4" t="s">
        <v>8704</v>
      </c>
      <c r="B3936" s="5" t="s">
        <v>8704</v>
      </c>
      <c r="C3936" s="5" t="s">
        <v>17</v>
      </c>
      <c r="D3936" s="5" t="s">
        <v>18</v>
      </c>
      <c r="E3936" s="5" t="s">
        <v>195</v>
      </c>
      <c r="F3936" s="9">
        <v>4</v>
      </c>
      <c r="G3936" s="9">
        <v>35</v>
      </c>
      <c r="H3936" s="5" t="s">
        <v>20</v>
      </c>
      <c r="I3936" s="5" t="s">
        <v>8705</v>
      </c>
      <c r="J3936" s="12" t="str">
        <f>HYPERLINK("https://www.boe.es/gazeta/dias/1806/01/14/pdfs/GMD-1806-4.pdf#page=7","Abrir facsímil")</f>
        <v>Abrir facsímil</v>
      </c>
      <c r="K3936" s="15" t="s">
        <v>22</v>
      </c>
    </row>
    <row r="3937" spans="1:11" ht="42" customHeight="1">
      <c r="A3937" s="4" t="s">
        <v>8706</v>
      </c>
      <c r="B3937" s="5" t="s">
        <v>8706</v>
      </c>
      <c r="C3937" s="5" t="s">
        <v>17</v>
      </c>
      <c r="D3937" s="5" t="s">
        <v>18</v>
      </c>
      <c r="E3937" s="5" t="s">
        <v>55</v>
      </c>
      <c r="F3937" s="9">
        <v>20</v>
      </c>
      <c r="G3937" s="9">
        <v>184</v>
      </c>
      <c r="H3937" s="5" t="s">
        <v>20</v>
      </c>
      <c r="I3937" s="5" t="s">
        <v>8707</v>
      </c>
      <c r="J3937" s="12" t="str">
        <f>HYPERLINK("https://www.boe.es/gazeta/dias/1806/03/04/pdfs/GMD-1806-20.pdf#page=8","Abrir facsímil")</f>
        <v>Abrir facsímil</v>
      </c>
      <c r="K3937" s="15" t="s">
        <v>22</v>
      </c>
    </row>
    <row r="3938" spans="1:11" ht="42" customHeight="1">
      <c r="A3938" s="4" t="s">
        <v>8708</v>
      </c>
      <c r="B3938" s="5" t="s">
        <v>8709</v>
      </c>
      <c r="C3938" s="5" t="s">
        <v>31</v>
      </c>
      <c r="D3938" s="5" t="s">
        <v>32</v>
      </c>
      <c r="E3938" s="5" t="s">
        <v>297</v>
      </c>
      <c r="F3938" s="9">
        <v>94</v>
      </c>
      <c r="G3938" s="9">
        <v>990</v>
      </c>
      <c r="H3938" s="5" t="s">
        <v>20</v>
      </c>
      <c r="I3938" s="5" t="s">
        <v>8710</v>
      </c>
      <c r="J3938" s="12" t="str">
        <f>HYPERLINK("https://www.boe.es/gazeta/dias/1806/11/18/pdfs/GMD-1806-94.pdf#page=10","Abrir facsímil")</f>
        <v>Abrir facsímil</v>
      </c>
      <c r="K3938" s="15" t="s">
        <v>22</v>
      </c>
    </row>
    <row r="3939" spans="1:11" ht="42" customHeight="1">
      <c r="A3939" s="4" t="s">
        <v>8711</v>
      </c>
      <c r="B3939" s="5" t="s">
        <v>8712</v>
      </c>
      <c r="C3939" s="5" t="s">
        <v>17</v>
      </c>
      <c r="D3939" s="5" t="s">
        <v>18</v>
      </c>
      <c r="E3939" s="5" t="s">
        <v>82</v>
      </c>
      <c r="F3939" s="9">
        <v>48</v>
      </c>
      <c r="G3939" s="9">
        <v>496</v>
      </c>
      <c r="H3939" s="5" t="s">
        <v>20</v>
      </c>
      <c r="I3939" s="5" t="s">
        <v>8713</v>
      </c>
      <c r="J3939" s="12" t="str">
        <f>HYPERLINK("https://www.boe.es/gazeta/dias/1806/06/10/pdfs/GMD-1806-48.pdf#page=8","Abrir facsímil")</f>
        <v>Abrir facsímil</v>
      </c>
      <c r="K3939" s="15" t="s">
        <v>22</v>
      </c>
    </row>
    <row r="3940" spans="1:11" ht="42" customHeight="1">
      <c r="A3940" s="4" t="s">
        <v>8714</v>
      </c>
      <c r="B3940" s="5" t="s">
        <v>8714</v>
      </c>
      <c r="C3940" s="5" t="s">
        <v>31</v>
      </c>
      <c r="D3940" s="5" t="s">
        <v>32</v>
      </c>
      <c r="E3940" s="5" t="s">
        <v>140</v>
      </c>
      <c r="F3940" s="9">
        <v>83</v>
      </c>
      <c r="G3940" s="9">
        <v>860</v>
      </c>
      <c r="H3940" s="5" t="s">
        <v>20</v>
      </c>
      <c r="I3940" s="5" t="s">
        <v>8715</v>
      </c>
      <c r="J3940" s="12" t="str">
        <f>HYPERLINK("https://www.boe.es/gazeta/dias/1806/10/10/pdfs/GMD-1806-83.pdf#page=8","Abrir facsímil")</f>
        <v>Abrir facsímil</v>
      </c>
      <c r="K3940" s="15" t="s">
        <v>22</v>
      </c>
    </row>
    <row r="3941" spans="1:11" ht="42" customHeight="1">
      <c r="A3941" s="4" t="s">
        <v>8716</v>
      </c>
      <c r="B3941" s="5" t="s">
        <v>8716</v>
      </c>
      <c r="C3941" s="5" t="s">
        <v>31</v>
      </c>
      <c r="D3941" s="5" t="s">
        <v>32</v>
      </c>
      <c r="E3941" s="5" t="s">
        <v>946</v>
      </c>
      <c r="F3941" s="9" t="s">
        <v>947</v>
      </c>
      <c r="G3941" s="9">
        <v>1115</v>
      </c>
      <c r="H3941" s="5" t="s">
        <v>20</v>
      </c>
      <c r="I3941" s="5" t="s">
        <v>8717</v>
      </c>
      <c r="J3941" s="12" t="str">
        <f>HYPERLINK("https://www.boe.es/gazeta/dias/1806/12/24/pdfs/GMD-1806-105E.pdf#page=3","Abrir facsímil")</f>
        <v>Abrir facsímil</v>
      </c>
      <c r="K3941" s="15" t="s">
        <v>22</v>
      </c>
    </row>
    <row r="3942" spans="1:11" ht="42" customHeight="1">
      <c r="A3942" s="4" t="s">
        <v>8718</v>
      </c>
      <c r="B3942" s="5" t="s">
        <v>8718</v>
      </c>
      <c r="C3942" s="5" t="s">
        <v>17</v>
      </c>
      <c r="D3942" s="5" t="s">
        <v>18</v>
      </c>
      <c r="E3942" s="5" t="s">
        <v>103</v>
      </c>
      <c r="F3942" s="9">
        <v>61</v>
      </c>
      <c r="G3942" s="9">
        <v>640</v>
      </c>
      <c r="H3942" s="5" t="s">
        <v>20</v>
      </c>
      <c r="I3942" s="5" t="s">
        <v>8719</v>
      </c>
      <c r="J3942" s="12" t="str">
        <f>HYPERLINK("https://www.boe.es/gazeta/dias/1806/07/25/pdfs/GMD-1806-61.pdf#page=12","Abrir facsímil")</f>
        <v>Abrir facsímil</v>
      </c>
      <c r="K3942" s="15" t="s">
        <v>22</v>
      </c>
    </row>
    <row r="3943" spans="1:11" ht="42" customHeight="1">
      <c r="A3943" s="4" t="s">
        <v>8720</v>
      </c>
      <c r="B3943" s="5" t="s">
        <v>8720</v>
      </c>
      <c r="C3943" s="5" t="s">
        <v>31</v>
      </c>
      <c r="D3943" s="5" t="s">
        <v>32</v>
      </c>
      <c r="E3943" s="5" t="s">
        <v>306</v>
      </c>
      <c r="F3943" s="9">
        <v>59</v>
      </c>
      <c r="G3943" s="9">
        <v>612</v>
      </c>
      <c r="H3943" s="5" t="s">
        <v>20</v>
      </c>
      <c r="I3943" s="5" t="s">
        <v>8721</v>
      </c>
      <c r="J3943" s="12" t="str">
        <f>HYPERLINK("https://www.boe.es/gazeta/dias/1806/07/18/pdfs/GMD-1806-59.pdf#page=8","Abrir facsímil")</f>
        <v>Abrir facsímil</v>
      </c>
      <c r="K3943" s="15" t="s">
        <v>22</v>
      </c>
    </row>
    <row r="3944" spans="1:11" ht="42" customHeight="1">
      <c r="A3944" s="4" t="s">
        <v>8722</v>
      </c>
      <c r="B3944" s="5" t="s">
        <v>8722</v>
      </c>
      <c r="C3944" s="5" t="s">
        <v>36</v>
      </c>
      <c r="D3944" s="5" t="s">
        <v>37</v>
      </c>
      <c r="E3944" s="5" t="s">
        <v>100</v>
      </c>
      <c r="F3944" s="9">
        <v>7</v>
      </c>
      <c r="G3944" s="9">
        <v>66</v>
      </c>
      <c r="H3944" s="5" t="s">
        <v>20</v>
      </c>
      <c r="I3944" s="5" t="s">
        <v>8723</v>
      </c>
      <c r="J3944" s="12" t="str">
        <f>HYPERLINK("https://www.boe.es/gazeta/dias/1806/01/21/pdfs/GMD-1806-7.pdf#page=10","Abrir facsímil")</f>
        <v>Abrir facsímil</v>
      </c>
      <c r="K3944" s="15" t="s">
        <v>22</v>
      </c>
    </row>
    <row r="3945" spans="1:11" ht="42" customHeight="1">
      <c r="A3945" s="4" t="s">
        <v>8722</v>
      </c>
      <c r="B3945" s="5" t="s">
        <v>8722</v>
      </c>
      <c r="C3945" s="5" t="s">
        <v>75</v>
      </c>
      <c r="D3945" s="5" t="s">
        <v>43</v>
      </c>
      <c r="E3945" s="5" t="s">
        <v>185</v>
      </c>
      <c r="F3945" s="9">
        <v>46</v>
      </c>
      <c r="G3945" s="9">
        <v>471</v>
      </c>
      <c r="H3945" s="5" t="s">
        <v>20</v>
      </c>
      <c r="I3945" s="5" t="s">
        <v>8724</v>
      </c>
      <c r="J3945" s="12" t="str">
        <f>HYPERLINK("https://www.boe.es/gazeta/dias/1806/06/03/pdfs/GMD-1806-46.pdf#page=11","Abrir facsímil")</f>
        <v>Abrir facsímil</v>
      </c>
      <c r="K3945" s="15" t="s">
        <v>22</v>
      </c>
    </row>
    <row r="3946" spans="1:11" ht="42" customHeight="1">
      <c r="A3946" s="4" t="s">
        <v>8725</v>
      </c>
      <c r="B3946" s="5" t="s">
        <v>8725</v>
      </c>
      <c r="C3946" s="5" t="s">
        <v>36</v>
      </c>
      <c r="D3946" s="5" t="s">
        <v>37</v>
      </c>
      <c r="E3946" s="5" t="s">
        <v>483</v>
      </c>
      <c r="F3946" s="9">
        <v>58</v>
      </c>
      <c r="G3946" s="9">
        <v>604</v>
      </c>
      <c r="H3946" s="5" t="s">
        <v>20</v>
      </c>
      <c r="I3946" s="5" t="s">
        <v>8726</v>
      </c>
      <c r="J3946" s="12" t="str">
        <f>HYPERLINK("https://www.boe.es/gazeta/dias/1806/07/15/pdfs/GMD-1806-58.pdf#page=8","Abrir facsímil")</f>
        <v>Abrir facsímil</v>
      </c>
      <c r="K3946" s="15" t="s">
        <v>22</v>
      </c>
    </row>
    <row r="3947" spans="1:11" ht="42" customHeight="1">
      <c r="A3947" s="4" t="s">
        <v>8727</v>
      </c>
      <c r="B3947" s="5" t="s">
        <v>8727</v>
      </c>
      <c r="C3947" s="5" t="s">
        <v>17</v>
      </c>
      <c r="D3947" s="5" t="s">
        <v>18</v>
      </c>
      <c r="E3947" s="5" t="s">
        <v>271</v>
      </c>
      <c r="F3947" s="9">
        <v>6</v>
      </c>
      <c r="G3947" s="9">
        <v>54</v>
      </c>
      <c r="H3947" s="5" t="s">
        <v>20</v>
      </c>
      <c r="I3947" s="5" t="s">
        <v>8728</v>
      </c>
      <c r="J3947" s="12" t="str">
        <f>HYPERLINK("https://www.boe.es/gazeta/dias/1806/01/17/pdfs/GMD-1806-6.pdf#page=10","Abrir facsímil")</f>
        <v>Abrir facsímil</v>
      </c>
      <c r="K3947" s="15" t="s">
        <v>22</v>
      </c>
    </row>
    <row r="3948" spans="1:11" ht="42" customHeight="1">
      <c r="A3948" s="4" t="s">
        <v>8729</v>
      </c>
      <c r="B3948" s="5" t="s">
        <v>8729</v>
      </c>
      <c r="C3948" s="5" t="s">
        <v>31</v>
      </c>
      <c r="D3948" s="5" t="s">
        <v>32</v>
      </c>
      <c r="E3948" s="5" t="s">
        <v>38</v>
      </c>
      <c r="F3948" s="9">
        <v>92</v>
      </c>
      <c r="G3948" s="9">
        <v>963</v>
      </c>
      <c r="H3948" s="5" t="s">
        <v>20</v>
      </c>
      <c r="I3948" s="5" t="s">
        <v>8730</v>
      </c>
      <c r="J3948" s="12" t="str">
        <f>HYPERLINK("https://www.boe.es/gazeta/dias/1806/11/11/pdfs/GMD-1806-92.pdf#page=15","Abrir facsímil")</f>
        <v>Abrir facsímil</v>
      </c>
      <c r="K3948" s="15" t="s">
        <v>22</v>
      </c>
    </row>
    <row r="3949" spans="1:11" ht="42" customHeight="1">
      <c r="A3949" s="4" t="s">
        <v>8731</v>
      </c>
      <c r="B3949" s="5" t="s">
        <v>8731</v>
      </c>
      <c r="C3949" s="5" t="s">
        <v>31</v>
      </c>
      <c r="D3949" s="5" t="s">
        <v>32</v>
      </c>
      <c r="E3949" s="5" t="s">
        <v>1005</v>
      </c>
      <c r="F3949" s="9">
        <v>76</v>
      </c>
      <c r="G3949" s="9">
        <v>787</v>
      </c>
      <c r="H3949" s="5" t="s">
        <v>20</v>
      </c>
      <c r="I3949" s="5" t="s">
        <v>8732</v>
      </c>
      <c r="J3949" s="12" t="str">
        <f>HYPERLINK("https://www.boe.es/gazeta/dias/1806/09/16/pdfs/GMD-1806-76.pdf#page=7","Abrir facsímil")</f>
        <v>Abrir facsímil</v>
      </c>
      <c r="K3949" s="15" t="s">
        <v>22</v>
      </c>
    </row>
    <row r="3950" spans="1:11" ht="42" customHeight="1">
      <c r="A3950" s="4" t="s">
        <v>8733</v>
      </c>
      <c r="B3950" s="5" t="s">
        <v>8733</v>
      </c>
      <c r="C3950" s="5" t="s">
        <v>31</v>
      </c>
      <c r="D3950" s="5" t="s">
        <v>32</v>
      </c>
      <c r="E3950" s="5" t="s">
        <v>178</v>
      </c>
      <c r="F3950" s="9">
        <v>36</v>
      </c>
      <c r="G3950" s="9">
        <v>350</v>
      </c>
      <c r="H3950" s="5" t="s">
        <v>20</v>
      </c>
      <c r="I3950" s="5" t="s">
        <v>8734</v>
      </c>
      <c r="J3950" s="12" t="str">
        <f>HYPERLINK("https://www.boe.es/gazeta/dias/1806/04/29/pdfs/GMD-1806-36.pdf#page=6","Abrir facsímil")</f>
        <v>Abrir facsímil</v>
      </c>
      <c r="K3950" s="15" t="s">
        <v>22</v>
      </c>
    </row>
    <row r="3951" spans="1:11" ht="42" customHeight="1">
      <c r="A3951" s="4" t="s">
        <v>8735</v>
      </c>
      <c r="B3951" s="5" t="s">
        <v>8735</v>
      </c>
      <c r="C3951" s="5" t="s">
        <v>31</v>
      </c>
      <c r="D3951" s="5" t="s">
        <v>32</v>
      </c>
      <c r="E3951" s="5" t="s">
        <v>1005</v>
      </c>
      <c r="F3951" s="9">
        <v>76</v>
      </c>
      <c r="G3951" s="9">
        <v>787</v>
      </c>
      <c r="H3951" s="5" t="s">
        <v>20</v>
      </c>
      <c r="I3951" s="5" t="s">
        <v>8736</v>
      </c>
      <c r="J3951" s="12" t="str">
        <f>HYPERLINK("https://www.boe.es/gazeta/dias/1806/09/16/pdfs/GMD-1806-76.pdf#page=7","Abrir facsímil")</f>
        <v>Abrir facsímil</v>
      </c>
      <c r="K3951" s="15" t="s">
        <v>22</v>
      </c>
    </row>
    <row r="3952" spans="1:11" ht="42" customHeight="1">
      <c r="A3952" s="4" t="s">
        <v>8737</v>
      </c>
      <c r="B3952" s="5" t="s">
        <v>8737</v>
      </c>
      <c r="C3952" s="5" t="s">
        <v>31</v>
      </c>
      <c r="D3952" s="5" t="s">
        <v>32</v>
      </c>
      <c r="E3952" s="5" t="s">
        <v>178</v>
      </c>
      <c r="F3952" s="9">
        <v>36</v>
      </c>
      <c r="G3952" s="9">
        <v>350</v>
      </c>
      <c r="H3952" s="5" t="s">
        <v>20</v>
      </c>
      <c r="I3952" s="5" t="s">
        <v>8738</v>
      </c>
      <c r="J3952" s="12" t="str">
        <f>HYPERLINK("https://www.boe.es/gazeta/dias/1806/04/29/pdfs/GMD-1806-36.pdf#page=6","Abrir facsímil")</f>
        <v>Abrir facsímil</v>
      </c>
      <c r="K3952" s="15" t="s">
        <v>22</v>
      </c>
    </row>
    <row r="3953" spans="1:11" ht="42" customHeight="1">
      <c r="A3953" s="4" t="s">
        <v>8739</v>
      </c>
      <c r="B3953" s="5" t="s">
        <v>8739</v>
      </c>
      <c r="C3953" s="5" t="s">
        <v>75</v>
      </c>
      <c r="D3953" s="5" t="s">
        <v>43</v>
      </c>
      <c r="E3953" s="5" t="s">
        <v>438</v>
      </c>
      <c r="F3953" s="9">
        <v>70</v>
      </c>
      <c r="G3953" s="9">
        <v>730</v>
      </c>
      <c r="H3953" s="5" t="s">
        <v>20</v>
      </c>
      <c r="I3953" s="5" t="s">
        <v>8740</v>
      </c>
      <c r="J3953" s="12" t="str">
        <f>HYPERLINK("https://www.boe.es/gazeta/dias/1806/08/26/pdfs/GMD-1806-70.pdf#page=6","Abrir facsímil")</f>
        <v>Abrir facsímil</v>
      </c>
      <c r="K3953" s="15" t="s">
        <v>22</v>
      </c>
    </row>
    <row r="3954" spans="1:11" ht="42" customHeight="1">
      <c r="A3954" s="4" t="s">
        <v>8741</v>
      </c>
      <c r="B3954" s="5" t="s">
        <v>8741</v>
      </c>
      <c r="C3954" s="5" t="s">
        <v>31</v>
      </c>
      <c r="D3954" s="5" t="s">
        <v>32</v>
      </c>
      <c r="E3954" s="5" t="s">
        <v>127</v>
      </c>
      <c r="F3954" s="9">
        <v>81</v>
      </c>
      <c r="G3954" s="9">
        <v>837</v>
      </c>
      <c r="H3954" s="5" t="s">
        <v>20</v>
      </c>
      <c r="I3954" s="5" t="s">
        <v>8742</v>
      </c>
      <c r="J3954" s="12" t="str">
        <f>HYPERLINK("https://www.boe.es/gazeta/dias/1806/10/03/pdfs/GMD-1806-81.pdf#page=5","Abrir facsímil")</f>
        <v>Abrir facsímil</v>
      </c>
      <c r="K3954" s="15" t="s">
        <v>22</v>
      </c>
    </row>
    <row r="3955" spans="1:11" ht="42" customHeight="1">
      <c r="A3955" s="4" t="s">
        <v>8743</v>
      </c>
      <c r="B3955" s="5" t="s">
        <v>8743</v>
      </c>
      <c r="C3955" s="5" t="s">
        <v>31</v>
      </c>
      <c r="D3955" s="5" t="s">
        <v>32</v>
      </c>
      <c r="E3955" s="5" t="s">
        <v>96</v>
      </c>
      <c r="F3955" s="9">
        <v>62</v>
      </c>
      <c r="G3955" s="9">
        <v>648</v>
      </c>
      <c r="H3955" s="5" t="s">
        <v>20</v>
      </c>
      <c r="I3955" s="5" t="s">
        <v>8744</v>
      </c>
      <c r="J3955" s="12" t="str">
        <f>HYPERLINK("https://www.boe.es/gazeta/dias/1806/07/29/pdfs/GMD-1806-62.pdf#page=8","Abrir facsímil")</f>
        <v>Abrir facsímil</v>
      </c>
      <c r="K3955" s="15" t="s">
        <v>22</v>
      </c>
    </row>
    <row r="3956" spans="1:11" ht="42" customHeight="1">
      <c r="A3956" s="4" t="s">
        <v>8745</v>
      </c>
      <c r="B3956" s="5" t="s">
        <v>8745</v>
      </c>
      <c r="C3956" s="5" t="s">
        <v>31</v>
      </c>
      <c r="D3956" s="5" t="s">
        <v>32</v>
      </c>
      <c r="E3956" s="5" t="s">
        <v>96</v>
      </c>
      <c r="F3956" s="9">
        <v>62</v>
      </c>
      <c r="G3956" s="9">
        <v>648</v>
      </c>
      <c r="H3956" s="5" t="s">
        <v>20</v>
      </c>
      <c r="I3956" s="5" t="s">
        <v>8746</v>
      </c>
      <c r="J3956" s="12" t="str">
        <f>HYPERLINK("https://www.boe.es/gazeta/dias/1806/07/29/pdfs/GMD-1806-62.pdf#page=8","Abrir facsímil")</f>
        <v>Abrir facsímil</v>
      </c>
      <c r="K3956" s="15" t="s">
        <v>22</v>
      </c>
    </row>
    <row r="3957" spans="1:11" ht="42" customHeight="1">
      <c r="A3957" s="4" t="s">
        <v>8747</v>
      </c>
      <c r="B3957" s="5" t="s">
        <v>8747</v>
      </c>
      <c r="C3957" s="5" t="s">
        <v>31</v>
      </c>
      <c r="D3957" s="5" t="s">
        <v>32</v>
      </c>
      <c r="E3957" s="5" t="s">
        <v>185</v>
      </c>
      <c r="F3957" s="9">
        <v>46</v>
      </c>
      <c r="G3957" s="9">
        <v>469</v>
      </c>
      <c r="H3957" s="5" t="s">
        <v>20</v>
      </c>
      <c r="I3957" s="5" t="s">
        <v>8748</v>
      </c>
      <c r="J3957" s="12" t="str">
        <f>HYPERLINK("https://www.boe.es/gazeta/dias/1806/06/03/pdfs/GMD-1806-46.pdf#page=9","Abrir facsímil")</f>
        <v>Abrir facsímil</v>
      </c>
      <c r="K3957" s="15" t="s">
        <v>22</v>
      </c>
    </row>
    <row r="3958" spans="1:11" ht="42" customHeight="1">
      <c r="A3958" s="4" t="s">
        <v>8749</v>
      </c>
      <c r="B3958" s="5" t="s">
        <v>8749</v>
      </c>
      <c r="C3958" s="5" t="s">
        <v>17</v>
      </c>
      <c r="D3958" s="5" t="s">
        <v>18</v>
      </c>
      <c r="E3958" s="5" t="s">
        <v>430</v>
      </c>
      <c r="F3958" s="9">
        <v>12</v>
      </c>
      <c r="G3958" s="9">
        <v>108</v>
      </c>
      <c r="H3958" s="5" t="s">
        <v>20</v>
      </c>
      <c r="I3958" s="5" t="s">
        <v>8750</v>
      </c>
      <c r="J3958" s="12" t="str">
        <f>HYPERLINK("https://www.boe.es/gazeta/dias/1806/02/04/pdfs/GMD-1806-12.pdf#page=8","Abrir facsímil")</f>
        <v>Abrir facsímil</v>
      </c>
      <c r="K3958" s="15" t="s">
        <v>22</v>
      </c>
    </row>
    <row r="3959" spans="1:11" ht="42" customHeight="1">
      <c r="A3959" s="4" t="s">
        <v>8751</v>
      </c>
      <c r="B3959" s="5" t="s">
        <v>8751</v>
      </c>
      <c r="C3959" s="5" t="s">
        <v>75</v>
      </c>
      <c r="D3959" s="5" t="s">
        <v>43</v>
      </c>
      <c r="E3959" s="5" t="s">
        <v>38</v>
      </c>
      <c r="F3959" s="9">
        <v>92</v>
      </c>
      <c r="G3959" s="9">
        <v>963</v>
      </c>
      <c r="H3959" s="5" t="s">
        <v>20</v>
      </c>
      <c r="I3959" s="5" t="s">
        <v>8752</v>
      </c>
      <c r="J3959" s="12" t="str">
        <f>HYPERLINK("https://www.boe.es/gazeta/dias/1806/11/11/pdfs/GMD-1806-92.pdf#page=15","Abrir facsímil")</f>
        <v>Abrir facsímil</v>
      </c>
      <c r="K3959" s="15" t="s">
        <v>22</v>
      </c>
    </row>
    <row r="3960" spans="1:11" ht="42" customHeight="1">
      <c r="A3960" s="4" t="s">
        <v>8753</v>
      </c>
      <c r="B3960" s="5" t="s">
        <v>8754</v>
      </c>
      <c r="C3960" s="5" t="s">
        <v>31</v>
      </c>
      <c r="D3960" s="5" t="s">
        <v>32</v>
      </c>
      <c r="E3960" s="5" t="s">
        <v>837</v>
      </c>
      <c r="F3960" s="9">
        <v>26</v>
      </c>
      <c r="G3960" s="9">
        <v>257</v>
      </c>
      <c r="H3960" s="5" t="s">
        <v>20</v>
      </c>
      <c r="I3960" s="5" t="s">
        <v>8755</v>
      </c>
      <c r="J3960" s="12" t="str">
        <f>HYPERLINK("https://www.boe.es/gazeta/dias/1806/03/25/pdfs/GMD-1806-26.pdf#page=9","Abrir facsímil")</f>
        <v>Abrir facsímil</v>
      </c>
      <c r="K3960" s="15" t="s">
        <v>22</v>
      </c>
    </row>
    <row r="3961" spans="1:11" ht="42" customHeight="1">
      <c r="A3961" s="4" t="s">
        <v>8756</v>
      </c>
      <c r="B3961" s="5" t="s">
        <v>8757</v>
      </c>
      <c r="C3961" s="5" t="s">
        <v>42</v>
      </c>
      <c r="D3961" s="5" t="s">
        <v>43</v>
      </c>
      <c r="E3961" s="5" t="s">
        <v>48</v>
      </c>
      <c r="F3961" s="9">
        <v>67</v>
      </c>
      <c r="G3961" s="9">
        <v>702</v>
      </c>
      <c r="H3961" s="5" t="s">
        <v>20</v>
      </c>
      <c r="I3961" s="5" t="s">
        <v>8758</v>
      </c>
      <c r="J3961" s="12" t="str">
        <f>HYPERLINK("https://www.boe.es/gazeta/dias/1806/08/15/pdfs/GMD-1806-67.pdf#page=10","Abrir facsímil")</f>
        <v>Abrir facsímil</v>
      </c>
      <c r="K3961" s="15" t="s">
        <v>22</v>
      </c>
    </row>
    <row r="3962" spans="1:11" ht="42" customHeight="1">
      <c r="A3962" s="4" t="s">
        <v>8759</v>
      </c>
      <c r="B3962" s="5" t="s">
        <v>8760</v>
      </c>
      <c r="C3962" s="5" t="s">
        <v>42</v>
      </c>
      <c r="D3962" s="5" t="s">
        <v>43</v>
      </c>
      <c r="E3962" s="5" t="s">
        <v>44</v>
      </c>
      <c r="F3962" s="9">
        <v>42</v>
      </c>
      <c r="G3962" s="9">
        <v>421</v>
      </c>
      <c r="H3962" s="5" t="s">
        <v>20</v>
      </c>
      <c r="I3962" s="5" t="s">
        <v>8761</v>
      </c>
      <c r="J3962" s="12" t="str">
        <f>HYPERLINK("https://www.boe.es/gazeta/dias/1806/05/20/pdfs/GMD-1806-42.pdf#page=9","Abrir facsímil")</f>
        <v>Abrir facsímil</v>
      </c>
      <c r="K3962" s="15" t="s">
        <v>22</v>
      </c>
    </row>
    <row r="3963" spans="1:11" ht="42" customHeight="1">
      <c r="A3963" s="4" t="s">
        <v>8762</v>
      </c>
      <c r="B3963" s="5" t="s">
        <v>8763</v>
      </c>
      <c r="C3963" s="5" t="s">
        <v>17</v>
      </c>
      <c r="D3963" s="5" t="s">
        <v>18</v>
      </c>
      <c r="E3963" s="5" t="s">
        <v>76</v>
      </c>
      <c r="F3963" s="9">
        <v>98</v>
      </c>
      <c r="G3963" s="9">
        <v>1033</v>
      </c>
      <c r="H3963" s="5" t="s">
        <v>20</v>
      </c>
      <c r="I3963" s="5" t="s">
        <v>8764</v>
      </c>
      <c r="J3963" s="12" t="str">
        <f>HYPERLINK("https://www.boe.es/gazeta/dias/1806/12/02/pdfs/GMD-1806-98.pdf#page=1","Abrir facsímil")</f>
        <v>Abrir facsímil</v>
      </c>
      <c r="K3963" s="15" t="s">
        <v>22</v>
      </c>
    </row>
    <row r="3964" spans="1:11" ht="42" customHeight="1">
      <c r="A3964" s="4" t="s">
        <v>8765</v>
      </c>
      <c r="B3964" s="5" t="s">
        <v>8766</v>
      </c>
      <c r="C3964" s="5" t="s">
        <v>706</v>
      </c>
      <c r="D3964" s="5" t="s">
        <v>707</v>
      </c>
      <c r="E3964" s="5" t="s">
        <v>195</v>
      </c>
      <c r="F3964" s="9" t="s">
        <v>708</v>
      </c>
      <c r="G3964" s="9">
        <v>41</v>
      </c>
      <c r="H3964" s="5" t="s">
        <v>20</v>
      </c>
      <c r="I3964" s="5" t="s">
        <v>8767</v>
      </c>
      <c r="J3964" s="12" t="str">
        <f>HYPERLINK("https://www.boe.es/gazeta/dias/1806/01/14/pdfs/GMD-1806-5E.pdf#page=1","Abrir facsímil")</f>
        <v>Abrir facsímil</v>
      </c>
      <c r="K3964" s="15" t="s">
        <v>22</v>
      </c>
    </row>
    <row r="3965" spans="1:11" ht="42" customHeight="1">
      <c r="A3965" s="4" t="s">
        <v>8768</v>
      </c>
      <c r="B3965" s="5" t="s">
        <v>8769</v>
      </c>
      <c r="C3965" s="5" t="s">
        <v>706</v>
      </c>
      <c r="D3965" s="5" t="s">
        <v>707</v>
      </c>
      <c r="E3965" s="5" t="s">
        <v>195</v>
      </c>
      <c r="F3965" s="9" t="s">
        <v>708</v>
      </c>
      <c r="G3965" s="9">
        <v>42</v>
      </c>
      <c r="H3965" s="5" t="s">
        <v>20</v>
      </c>
      <c r="I3965" s="5" t="s">
        <v>8770</v>
      </c>
      <c r="J3965" s="12" t="str">
        <f>HYPERLINK("https://www.boe.es/gazeta/dias/1806/01/14/pdfs/GMD-1806-5E.pdf#page=2","Abrir facsímil")</f>
        <v>Abrir facsímil</v>
      </c>
      <c r="K3965" s="15" t="s">
        <v>22</v>
      </c>
    </row>
    <row r="3966" spans="1:11" ht="42" customHeight="1">
      <c r="A3966" s="4" t="s">
        <v>8768</v>
      </c>
      <c r="B3966" s="5" t="s">
        <v>8769</v>
      </c>
      <c r="C3966" s="5" t="s">
        <v>69</v>
      </c>
      <c r="D3966" s="5" t="s">
        <v>70</v>
      </c>
      <c r="E3966" s="5" t="s">
        <v>227</v>
      </c>
      <c r="F3966" s="9">
        <v>27</v>
      </c>
      <c r="G3966" s="9">
        <v>267</v>
      </c>
      <c r="H3966" s="5" t="s">
        <v>20</v>
      </c>
      <c r="I3966" s="5" t="s">
        <v>8771</v>
      </c>
      <c r="J3966" s="12" t="str">
        <f>HYPERLINK("https://www.boe.es/gazeta/dias/1806/03/28/pdfs/GMD-1806-27.pdf#page=7","Abrir facsímil")</f>
        <v>Abrir facsímil</v>
      </c>
      <c r="K3966" s="15" t="s">
        <v>22</v>
      </c>
    </row>
    <row r="3967" spans="1:11" ht="42" customHeight="1">
      <c r="A3967" s="4" t="s">
        <v>8768</v>
      </c>
      <c r="B3967" s="5" t="s">
        <v>8769</v>
      </c>
      <c r="C3967" s="5" t="s">
        <v>69</v>
      </c>
      <c r="D3967" s="5" t="s">
        <v>70</v>
      </c>
      <c r="E3967" s="5" t="s">
        <v>93</v>
      </c>
      <c r="F3967" s="9">
        <v>72</v>
      </c>
      <c r="G3967" s="9">
        <v>744</v>
      </c>
      <c r="H3967" s="5" t="s">
        <v>20</v>
      </c>
      <c r="I3967" s="5" t="s">
        <v>8772</v>
      </c>
      <c r="J3967" s="12" t="str">
        <f>HYPERLINK("https://www.boe.es/gazeta/dias/1806/09/02/pdfs/GMD-1806-72.pdf#page=4","Abrir facsímil")</f>
        <v>Abrir facsímil</v>
      </c>
      <c r="K3967" s="15" t="s">
        <v>22</v>
      </c>
    </row>
    <row r="3968" spans="1:11" ht="42" customHeight="1">
      <c r="A3968" s="4" t="s">
        <v>8768</v>
      </c>
      <c r="B3968" s="5" t="s">
        <v>8769</v>
      </c>
      <c r="C3968" s="5" t="s">
        <v>31</v>
      </c>
      <c r="D3968" s="5" t="s">
        <v>32</v>
      </c>
      <c r="E3968" s="5" t="s">
        <v>76</v>
      </c>
      <c r="F3968" s="9">
        <v>98</v>
      </c>
      <c r="G3968" s="9">
        <v>1038</v>
      </c>
      <c r="H3968" s="5" t="s">
        <v>20</v>
      </c>
      <c r="I3968" s="5" t="s">
        <v>8773</v>
      </c>
      <c r="J3968" s="12" t="str">
        <f>HYPERLINK("https://www.boe.es/gazeta/dias/1806/12/02/pdfs/GMD-1806-98.pdf#page=6","Abrir facsímil")</f>
        <v>Abrir facsímil</v>
      </c>
      <c r="K3968" s="15" t="s">
        <v>22</v>
      </c>
    </row>
    <row r="3969" spans="1:11" ht="42" customHeight="1">
      <c r="A3969" s="4" t="s">
        <v>8768</v>
      </c>
      <c r="B3969" s="5" t="s">
        <v>8769</v>
      </c>
      <c r="C3969" s="5" t="s">
        <v>17</v>
      </c>
      <c r="D3969" s="5" t="s">
        <v>18</v>
      </c>
      <c r="E3969" s="5" t="s">
        <v>76</v>
      </c>
      <c r="F3969" s="9">
        <v>98</v>
      </c>
      <c r="G3969" s="9">
        <v>1040</v>
      </c>
      <c r="H3969" s="5" t="s">
        <v>20</v>
      </c>
      <c r="I3969" s="5" t="s">
        <v>8774</v>
      </c>
      <c r="J3969" s="12" t="str">
        <f>HYPERLINK("https://www.boe.es/gazeta/dias/1806/12/02/pdfs/GMD-1806-98.pdf#page=8","Abrir facsímil")</f>
        <v>Abrir facsímil</v>
      </c>
      <c r="K3969" s="15" t="s">
        <v>22</v>
      </c>
    </row>
    <row r="3970" spans="1:11" ht="42" customHeight="1">
      <c r="A3970" s="4" t="s">
        <v>8768</v>
      </c>
      <c r="B3970" s="5" t="s">
        <v>8769</v>
      </c>
      <c r="C3970" s="5" t="s">
        <v>69</v>
      </c>
      <c r="D3970" s="5" t="s">
        <v>70</v>
      </c>
      <c r="E3970" s="5" t="s">
        <v>181</v>
      </c>
      <c r="F3970" s="9">
        <v>99</v>
      </c>
      <c r="G3970" s="9">
        <v>1050</v>
      </c>
      <c r="H3970" s="5" t="s">
        <v>20</v>
      </c>
      <c r="I3970" s="5" t="s">
        <v>8775</v>
      </c>
      <c r="J3970" s="12" t="str">
        <f>HYPERLINK("https://www.boe.es/gazeta/dias/1806/12/05/pdfs/GMD-1806-99.pdf#page=6","Abrir facsímil")</f>
        <v>Abrir facsímil</v>
      </c>
      <c r="K3970" s="15" t="s">
        <v>22</v>
      </c>
    </row>
    <row r="3971" spans="1:11" ht="42" customHeight="1">
      <c r="A3971" s="4" t="s">
        <v>8776</v>
      </c>
      <c r="B3971" s="5" t="s">
        <v>8777</v>
      </c>
      <c r="C3971" s="5" t="s">
        <v>31</v>
      </c>
      <c r="D3971" s="5" t="s">
        <v>32</v>
      </c>
      <c r="E3971" s="5" t="s">
        <v>140</v>
      </c>
      <c r="F3971" s="9">
        <v>83</v>
      </c>
      <c r="G3971" s="9">
        <v>859</v>
      </c>
      <c r="H3971" s="5" t="s">
        <v>20</v>
      </c>
      <c r="I3971" s="5" t="s">
        <v>8778</v>
      </c>
      <c r="J3971" s="12" t="str">
        <f>HYPERLINK("https://www.boe.es/gazeta/dias/1806/10/10/pdfs/GMD-1806-83.pdf#page=7","Abrir facsímil")</f>
        <v>Abrir facsímil</v>
      </c>
      <c r="K3971" s="15" t="s">
        <v>22</v>
      </c>
    </row>
    <row r="3972" spans="1:11" ht="42" customHeight="1">
      <c r="A3972" s="4" t="s">
        <v>8779</v>
      </c>
      <c r="B3972" s="5" t="s">
        <v>8780</v>
      </c>
      <c r="C3972" s="5" t="s">
        <v>17</v>
      </c>
      <c r="D3972" s="5" t="s">
        <v>18</v>
      </c>
      <c r="E3972" s="5" t="s">
        <v>205</v>
      </c>
      <c r="F3972" s="9">
        <v>57</v>
      </c>
      <c r="G3972" s="9">
        <v>595</v>
      </c>
      <c r="H3972" s="5" t="s">
        <v>20</v>
      </c>
      <c r="I3972" s="5" t="s">
        <v>8781</v>
      </c>
      <c r="J3972" s="12" t="str">
        <f>HYPERLINK("https://www.boe.es/gazeta/dias/1806/07/11/pdfs/GMD-1806-57.pdf#page=7","Abrir facsímil")</f>
        <v>Abrir facsímil</v>
      </c>
      <c r="K3972" s="15" t="s">
        <v>22</v>
      </c>
    </row>
    <row r="3973" spans="1:11" ht="42" customHeight="1">
      <c r="A3973" s="4" t="s">
        <v>8782</v>
      </c>
      <c r="B3973" s="5" t="s">
        <v>8783</v>
      </c>
      <c r="C3973" s="5" t="s">
        <v>31</v>
      </c>
      <c r="D3973" s="5" t="s">
        <v>32</v>
      </c>
      <c r="E3973" s="5" t="s">
        <v>661</v>
      </c>
      <c r="F3973" s="9">
        <v>38</v>
      </c>
      <c r="G3973" s="9">
        <v>373</v>
      </c>
      <c r="H3973" s="5" t="s">
        <v>20</v>
      </c>
      <c r="I3973" s="5" t="s">
        <v>8784</v>
      </c>
      <c r="J3973" s="12" t="str">
        <f>HYPERLINK("https://www.boe.es/gazeta/dias/1806/05/06/pdfs/GMD-1806-38.pdf#page=9","Abrir facsímil")</f>
        <v>Abrir facsímil</v>
      </c>
      <c r="K3973" s="15" t="s">
        <v>22</v>
      </c>
    </row>
    <row r="3974" spans="1:11" ht="42" customHeight="1">
      <c r="A3974" s="4" t="s">
        <v>8785</v>
      </c>
      <c r="B3974" s="5" t="s">
        <v>8786</v>
      </c>
      <c r="C3974" s="5" t="s">
        <v>17</v>
      </c>
      <c r="D3974" s="5" t="s">
        <v>18</v>
      </c>
      <c r="E3974" s="5" t="s">
        <v>213</v>
      </c>
      <c r="F3974" s="9">
        <v>73</v>
      </c>
      <c r="G3974" s="9">
        <v>759</v>
      </c>
      <c r="H3974" s="5" t="s">
        <v>20</v>
      </c>
      <c r="I3974" s="5" t="s">
        <v>8787</v>
      </c>
      <c r="J3974" s="12" t="str">
        <f>HYPERLINK("https://www.boe.es/gazeta/dias/1806/09/05/pdfs/GMD-1806-73.pdf#page=7","Abrir facsímil")</f>
        <v>Abrir facsímil</v>
      </c>
      <c r="K3974" s="15" t="s">
        <v>22</v>
      </c>
    </row>
    <row r="3975" spans="1:11" ht="42" customHeight="1">
      <c r="A3975" s="4" t="s">
        <v>8788</v>
      </c>
      <c r="B3975" s="5" t="s">
        <v>8789</v>
      </c>
      <c r="C3975" s="5" t="s">
        <v>31</v>
      </c>
      <c r="D3975" s="5" t="s">
        <v>32</v>
      </c>
      <c r="E3975" s="5" t="s">
        <v>178</v>
      </c>
      <c r="F3975" s="9">
        <v>36</v>
      </c>
      <c r="G3975" s="9">
        <v>350</v>
      </c>
      <c r="H3975" s="5" t="s">
        <v>20</v>
      </c>
      <c r="I3975" s="5" t="s">
        <v>8790</v>
      </c>
      <c r="J3975" s="12" t="str">
        <f>HYPERLINK("https://www.boe.es/gazeta/dias/1806/04/29/pdfs/GMD-1806-36.pdf#page=6","Abrir facsímil")</f>
        <v>Abrir facsímil</v>
      </c>
      <c r="K3975" s="15" t="s">
        <v>22</v>
      </c>
    </row>
    <row r="3976" spans="1:11" ht="42" customHeight="1">
      <c r="A3976" s="4" t="s">
        <v>8791</v>
      </c>
      <c r="B3976" s="5" t="s">
        <v>8792</v>
      </c>
      <c r="C3976" s="5" t="s">
        <v>31</v>
      </c>
      <c r="D3976" s="5" t="s">
        <v>32</v>
      </c>
      <c r="E3976" s="5" t="s">
        <v>148</v>
      </c>
      <c r="F3976" s="9">
        <v>78</v>
      </c>
      <c r="G3976" s="9">
        <v>803</v>
      </c>
      <c r="H3976" s="5" t="s">
        <v>20</v>
      </c>
      <c r="I3976" s="5" t="s">
        <v>8793</v>
      </c>
      <c r="J3976" s="12" t="str">
        <f>HYPERLINK("https://www.boe.es/gazeta/dias/1806/09/23/pdfs/GMD-1806-78.pdf#page=7","Abrir facsímil")</f>
        <v>Abrir facsímil</v>
      </c>
      <c r="K3976" s="15" t="s">
        <v>22</v>
      </c>
    </row>
    <row r="3977" spans="1:11" ht="42" customHeight="1">
      <c r="A3977" s="4" t="s">
        <v>8794</v>
      </c>
      <c r="B3977" s="5" t="s">
        <v>8795</v>
      </c>
      <c r="C3977" s="5" t="s">
        <v>42</v>
      </c>
      <c r="D3977" s="5" t="s">
        <v>43</v>
      </c>
      <c r="E3977" s="5" t="s">
        <v>383</v>
      </c>
      <c r="F3977" s="9">
        <v>54</v>
      </c>
      <c r="G3977" s="9">
        <v>562</v>
      </c>
      <c r="H3977" s="5" t="s">
        <v>20</v>
      </c>
      <c r="I3977" s="5" t="s">
        <v>8796</v>
      </c>
      <c r="J3977" s="12" t="str">
        <f>HYPERLINK("https://www.boe.es/gazeta/dias/1806/07/01/pdfs/GMD-1806-54.pdf#page=6","Abrir facsímil")</f>
        <v>Abrir facsímil</v>
      </c>
      <c r="K3977" s="15" t="s">
        <v>22</v>
      </c>
    </row>
    <row r="3978" spans="1:11" ht="42" customHeight="1">
      <c r="A3978" s="4" t="s">
        <v>8797</v>
      </c>
      <c r="B3978" s="5" t="s">
        <v>8798</v>
      </c>
      <c r="C3978" s="5" t="s">
        <v>31</v>
      </c>
      <c r="D3978" s="5" t="s">
        <v>32</v>
      </c>
      <c r="E3978" s="5" t="s">
        <v>181</v>
      </c>
      <c r="F3978" s="9">
        <v>99</v>
      </c>
      <c r="G3978" s="9">
        <v>1053</v>
      </c>
      <c r="H3978" s="5" t="s">
        <v>20</v>
      </c>
      <c r="I3978" s="5" t="s">
        <v>8799</v>
      </c>
      <c r="J3978" s="12" t="str">
        <f>HYPERLINK("https://www.boe.es/gazeta/dias/1806/12/05/pdfs/GMD-1806-99.pdf#page=9","Abrir facsímil")</f>
        <v>Abrir facsímil</v>
      </c>
      <c r="K3978" s="15" t="s">
        <v>22</v>
      </c>
    </row>
    <row r="3979" spans="1:11" ht="42" customHeight="1">
      <c r="A3979" s="4" t="s">
        <v>8800</v>
      </c>
      <c r="B3979" s="5" t="s">
        <v>8800</v>
      </c>
      <c r="C3979" s="5" t="s">
        <v>17</v>
      </c>
      <c r="D3979" s="5" t="s">
        <v>18</v>
      </c>
      <c r="E3979" s="5" t="s">
        <v>220</v>
      </c>
      <c r="F3979" s="9">
        <v>24</v>
      </c>
      <c r="G3979" s="9">
        <v>234</v>
      </c>
      <c r="H3979" s="5" t="s">
        <v>20</v>
      </c>
      <c r="I3979" s="5" t="s">
        <v>8801</v>
      </c>
      <c r="J3979" s="12" t="str">
        <f>HYPERLINK("https://www.boe.es/gazeta/dias/1806/03/18/pdfs/GMD-1806-24.pdf#page=10","Abrir facsímil")</f>
        <v>Abrir facsímil</v>
      </c>
      <c r="K3979" s="15" t="s">
        <v>22</v>
      </c>
    </row>
    <row r="3980" spans="1:11" ht="42" customHeight="1">
      <c r="A3980" s="4" t="s">
        <v>8802</v>
      </c>
      <c r="B3980" s="5" t="s">
        <v>8803</v>
      </c>
      <c r="C3980" s="5" t="s">
        <v>42</v>
      </c>
      <c r="D3980" s="5" t="s">
        <v>43</v>
      </c>
      <c r="E3980" s="5" t="s">
        <v>1005</v>
      </c>
      <c r="F3980" s="9">
        <v>76</v>
      </c>
      <c r="G3980" s="9">
        <v>787</v>
      </c>
      <c r="H3980" s="5" t="s">
        <v>20</v>
      </c>
      <c r="I3980" s="5" t="s">
        <v>8804</v>
      </c>
      <c r="J3980" s="12" t="str">
        <f>HYPERLINK("https://www.boe.es/gazeta/dias/1806/09/16/pdfs/GMD-1806-76.pdf#page=7","Abrir facsímil")</f>
        <v>Abrir facsímil</v>
      </c>
      <c r="K3980" s="15" t="s">
        <v>22</v>
      </c>
    </row>
    <row r="3981" spans="1:11" ht="42" customHeight="1">
      <c r="A3981" s="4" t="s">
        <v>8805</v>
      </c>
      <c r="B3981" s="5" t="s">
        <v>8806</v>
      </c>
      <c r="C3981" s="5" t="s">
        <v>75</v>
      </c>
      <c r="D3981" s="5" t="s">
        <v>43</v>
      </c>
      <c r="E3981" s="5" t="s">
        <v>90</v>
      </c>
      <c r="F3981" s="9">
        <v>60</v>
      </c>
      <c r="G3981" s="9">
        <v>625</v>
      </c>
      <c r="H3981" s="5" t="s">
        <v>20</v>
      </c>
      <c r="I3981" s="5" t="s">
        <v>8807</v>
      </c>
      <c r="J3981" s="12" t="str">
        <f>HYPERLINK("https://www.boe.es/gazeta/dias/1806/07/22/pdfs/GMD-1806-60.pdf#page=9","Abrir facsímil")</f>
        <v>Abrir facsímil</v>
      </c>
      <c r="K3981" s="15" t="s">
        <v>22</v>
      </c>
    </row>
    <row r="3982" spans="1:11" ht="42" customHeight="1">
      <c r="A3982" s="4" t="s">
        <v>8808</v>
      </c>
      <c r="B3982" s="5" t="s">
        <v>8809</v>
      </c>
      <c r="C3982" s="5" t="s">
        <v>75</v>
      </c>
      <c r="D3982" s="5" t="s">
        <v>43</v>
      </c>
      <c r="E3982" s="5" t="s">
        <v>209</v>
      </c>
      <c r="F3982" s="9">
        <v>95</v>
      </c>
      <c r="G3982" s="9">
        <v>1007</v>
      </c>
      <c r="H3982" s="5" t="s">
        <v>20</v>
      </c>
      <c r="I3982" s="5" t="s">
        <v>8810</v>
      </c>
      <c r="J3982" s="12" t="str">
        <f>HYPERLINK("https://www.boe.es/gazeta/dias/1806/11/21/pdfs/GMD-1806-95.pdf#page=15","Abrir facsímil")</f>
        <v>Abrir facsímil</v>
      </c>
      <c r="K3982" s="15" t="s">
        <v>22</v>
      </c>
    </row>
    <row r="3983" spans="1:11" ht="42" customHeight="1">
      <c r="A3983" s="4" t="s">
        <v>8811</v>
      </c>
      <c r="B3983" s="5" t="s">
        <v>8812</v>
      </c>
      <c r="C3983" s="5" t="s">
        <v>31</v>
      </c>
      <c r="D3983" s="5" t="s">
        <v>32</v>
      </c>
      <c r="E3983" s="5" t="s">
        <v>301</v>
      </c>
      <c r="F3983" s="9">
        <v>75</v>
      </c>
      <c r="G3983" s="9">
        <v>777</v>
      </c>
      <c r="H3983" s="5" t="s">
        <v>20</v>
      </c>
      <c r="I3983" s="5" t="s">
        <v>8813</v>
      </c>
      <c r="J3983" s="12" t="str">
        <f>HYPERLINK("https://www.boe.es/gazeta/dias/1806/09/12/pdfs/GMD-1806-75.pdf#page=9","Abrir facsímil")</f>
        <v>Abrir facsímil</v>
      </c>
      <c r="K3983" s="15" t="s">
        <v>22</v>
      </c>
    </row>
    <row r="3984" spans="1:11" ht="42" customHeight="1">
      <c r="A3984" s="4" t="s">
        <v>8814</v>
      </c>
      <c r="B3984" s="5" t="s">
        <v>8815</v>
      </c>
      <c r="C3984" s="5" t="s">
        <v>17</v>
      </c>
      <c r="D3984" s="5" t="s">
        <v>18</v>
      </c>
      <c r="E3984" s="5" t="s">
        <v>220</v>
      </c>
      <c r="F3984" s="9">
        <v>24</v>
      </c>
      <c r="G3984" s="9">
        <v>232</v>
      </c>
      <c r="H3984" s="5" t="s">
        <v>20</v>
      </c>
      <c r="I3984" s="5" t="s">
        <v>8816</v>
      </c>
      <c r="J3984" s="12" t="str">
        <f>HYPERLINK("https://www.boe.es/gazeta/dias/1806/03/18/pdfs/GMD-1806-24.pdf#page=8","Abrir facsímil")</f>
        <v>Abrir facsímil</v>
      </c>
      <c r="K3984" s="15" t="s">
        <v>22</v>
      </c>
    </row>
    <row r="3985" spans="1:11" ht="42" customHeight="1">
      <c r="A3985" s="4" t="s">
        <v>8817</v>
      </c>
      <c r="B3985" s="5" t="s">
        <v>8818</v>
      </c>
      <c r="C3985" s="5" t="s">
        <v>75</v>
      </c>
      <c r="D3985" s="5" t="s">
        <v>43</v>
      </c>
      <c r="E3985" s="5" t="s">
        <v>290</v>
      </c>
      <c r="F3985" s="9">
        <v>1</v>
      </c>
      <c r="G3985" s="9">
        <v>8</v>
      </c>
      <c r="H3985" s="5" t="s">
        <v>20</v>
      </c>
      <c r="I3985" s="5" t="s">
        <v>8819</v>
      </c>
      <c r="J3985" s="12" t="str">
        <f>HYPERLINK("https://www.boe.es/gazeta/dias/1806/01/03/pdfs/GMD-1806-1.pdf#page=8","Abrir facsímil")</f>
        <v>Abrir facsímil</v>
      </c>
      <c r="K3985" s="15" t="s">
        <v>22</v>
      </c>
    </row>
    <row r="3986" spans="1:11" ht="42" customHeight="1">
      <c r="A3986" s="4" t="s">
        <v>8820</v>
      </c>
      <c r="B3986" s="5" t="s">
        <v>8821</v>
      </c>
      <c r="C3986" s="5" t="s">
        <v>17</v>
      </c>
      <c r="D3986" s="5" t="s">
        <v>18</v>
      </c>
      <c r="E3986" s="5" t="s">
        <v>121</v>
      </c>
      <c r="F3986" s="9">
        <v>19</v>
      </c>
      <c r="G3986" s="9">
        <v>174</v>
      </c>
      <c r="H3986" s="5" t="s">
        <v>20</v>
      </c>
      <c r="I3986" s="5" t="s">
        <v>8822</v>
      </c>
      <c r="J3986" s="12" t="str">
        <f>HYPERLINK("https://www.boe.es/gazeta/dias/1806/02/28/pdfs/GMD-1806-19.pdf#page=10","Abrir facsímil")</f>
        <v>Abrir facsímil</v>
      </c>
      <c r="K3986" s="15" t="s">
        <v>22</v>
      </c>
    </row>
    <row r="3987" spans="1:11" ht="42" customHeight="1">
      <c r="A3987" s="4" t="s">
        <v>8823</v>
      </c>
      <c r="B3987" s="5" t="s">
        <v>8824</v>
      </c>
      <c r="C3987" s="5" t="s">
        <v>42</v>
      </c>
      <c r="D3987" s="5" t="s">
        <v>43</v>
      </c>
      <c r="E3987" s="5" t="s">
        <v>367</v>
      </c>
      <c r="F3987" s="9">
        <v>87</v>
      </c>
      <c r="G3987" s="9">
        <v>901</v>
      </c>
      <c r="H3987" s="5" t="s">
        <v>20</v>
      </c>
      <c r="I3987" s="5" t="s">
        <v>8825</v>
      </c>
      <c r="J3987" s="12" t="str">
        <f>HYPERLINK("https://www.boe.es/gazeta/dias/1806/10/24/pdfs/GMD-1806-87.pdf#page=9","Abrir facsímil")</f>
        <v>Abrir facsímil</v>
      </c>
      <c r="K3987" s="15" t="s">
        <v>22</v>
      </c>
    </row>
    <row r="3988" spans="1:11" ht="42" customHeight="1">
      <c r="A3988" s="4" t="s">
        <v>8826</v>
      </c>
      <c r="B3988" s="5" t="s">
        <v>8827</v>
      </c>
      <c r="C3988" s="5" t="s">
        <v>31</v>
      </c>
      <c r="D3988" s="5" t="s">
        <v>32</v>
      </c>
      <c r="E3988" s="5" t="s">
        <v>110</v>
      </c>
      <c r="F3988" s="9">
        <v>55</v>
      </c>
      <c r="G3988" s="9">
        <v>574</v>
      </c>
      <c r="H3988" s="5" t="s">
        <v>20</v>
      </c>
      <c r="I3988" s="5" t="s">
        <v>8828</v>
      </c>
      <c r="J3988" s="12" t="str">
        <f>HYPERLINK("https://www.boe.es/gazeta/dias/1806/07/04/pdfs/GMD-1806-55.pdf#page=10","Abrir facsímil")</f>
        <v>Abrir facsímil</v>
      </c>
      <c r="K3988" s="15" t="s">
        <v>22</v>
      </c>
    </row>
    <row r="3989" spans="1:11" ht="42" customHeight="1">
      <c r="A3989" s="4" t="s">
        <v>8829</v>
      </c>
      <c r="B3989" s="5" t="s">
        <v>8830</v>
      </c>
      <c r="C3989" s="5" t="s">
        <v>17</v>
      </c>
      <c r="D3989" s="5" t="s">
        <v>18</v>
      </c>
      <c r="E3989" s="5" t="s">
        <v>911</v>
      </c>
      <c r="F3989" s="9">
        <v>64</v>
      </c>
      <c r="G3989" s="9">
        <v>671</v>
      </c>
      <c r="H3989" s="5" t="s">
        <v>20</v>
      </c>
      <c r="I3989" s="5" t="s">
        <v>8831</v>
      </c>
      <c r="J3989" s="12" t="str">
        <f>HYPERLINK("https://www.boe.es/gazeta/dias/1806/08/05/pdfs/GMD-1806-64.pdf#page=7","Abrir facsímil")</f>
        <v>Abrir facsímil</v>
      </c>
      <c r="K3989" s="15" t="s">
        <v>22</v>
      </c>
    </row>
    <row r="3990" spans="1:11" ht="42" customHeight="1">
      <c r="A3990" s="4" t="s">
        <v>8832</v>
      </c>
      <c r="B3990" s="5" t="s">
        <v>8833</v>
      </c>
      <c r="C3990" s="5" t="s">
        <v>75</v>
      </c>
      <c r="D3990" s="5" t="s">
        <v>43</v>
      </c>
      <c r="E3990" s="5" t="s">
        <v>657</v>
      </c>
      <c r="F3990" s="9">
        <v>96</v>
      </c>
      <c r="G3990" s="9">
        <v>1018</v>
      </c>
      <c r="H3990" s="5" t="s">
        <v>20</v>
      </c>
      <c r="I3990" s="5" t="s">
        <v>8834</v>
      </c>
      <c r="J3990" s="12" t="str">
        <f>HYPERLINK("https://www.boe.es/gazeta/dias/1806/11/25/pdfs/GMD-1806-96.pdf#page=10","Abrir facsímil")</f>
        <v>Abrir facsímil</v>
      </c>
      <c r="K3990" s="15" t="s">
        <v>22</v>
      </c>
    </row>
    <row r="3991" spans="1:11" ht="42" customHeight="1">
      <c r="A3991" s="4" t="s">
        <v>8835</v>
      </c>
      <c r="B3991" s="5" t="s">
        <v>8836</v>
      </c>
      <c r="C3991" s="5" t="s">
        <v>17</v>
      </c>
      <c r="D3991" s="5" t="s">
        <v>18</v>
      </c>
      <c r="E3991" s="5" t="s">
        <v>312</v>
      </c>
      <c r="F3991" s="9">
        <v>100</v>
      </c>
      <c r="G3991" s="9">
        <v>1065</v>
      </c>
      <c r="H3991" s="5" t="s">
        <v>20</v>
      </c>
      <c r="I3991" s="5" t="s">
        <v>8837</v>
      </c>
      <c r="J3991" s="12" t="str">
        <f>HYPERLINK("https://www.boe.es/gazeta/dias/1806/12/09/pdfs/GMD-1806-100.pdf#page=9","Abrir facsímil")</f>
        <v>Abrir facsímil</v>
      </c>
      <c r="K3991" s="15" t="s">
        <v>22</v>
      </c>
    </row>
    <row r="3992" spans="1:11" ht="42" customHeight="1">
      <c r="A3992" s="4" t="s">
        <v>8838</v>
      </c>
      <c r="B3992" s="5" t="s">
        <v>8839</v>
      </c>
      <c r="C3992" s="5" t="s">
        <v>31</v>
      </c>
      <c r="D3992" s="5" t="s">
        <v>32</v>
      </c>
      <c r="E3992" s="5" t="s">
        <v>28</v>
      </c>
      <c r="F3992" s="9">
        <v>102</v>
      </c>
      <c r="G3992" s="9">
        <v>1085</v>
      </c>
      <c r="H3992" s="5" t="s">
        <v>20</v>
      </c>
      <c r="I3992" s="5" t="s">
        <v>8840</v>
      </c>
      <c r="J3992" s="12" t="str">
        <f>HYPERLINK("https://www.boe.es/gazeta/dias/1806/12/16/pdfs/GMD-1806-102.pdf#page=9","Abrir facsímil")</f>
        <v>Abrir facsímil</v>
      </c>
      <c r="K3992" s="15" t="s">
        <v>22</v>
      </c>
    </row>
    <row r="3993" spans="1:11" ht="42" customHeight="1">
      <c r="A3993" s="4" t="s">
        <v>8841</v>
      </c>
      <c r="B3993" s="5" t="s">
        <v>8842</v>
      </c>
      <c r="C3993" s="5" t="s">
        <v>31</v>
      </c>
      <c r="D3993" s="5" t="s">
        <v>32</v>
      </c>
      <c r="E3993" s="5" t="s">
        <v>161</v>
      </c>
      <c r="F3993" s="9">
        <v>11</v>
      </c>
      <c r="G3993" s="9">
        <v>98</v>
      </c>
      <c r="H3993" s="5" t="s">
        <v>20</v>
      </c>
      <c r="I3993" s="5" t="s">
        <v>8843</v>
      </c>
      <c r="J3993" s="12" t="str">
        <f>HYPERLINK("https://www.boe.es/gazeta/dias/1806/01/31/pdfs/GMD-1806-11.pdf#page=6","Abrir facsímil")</f>
        <v>Abrir facsímil</v>
      </c>
      <c r="K3993" s="15" t="s">
        <v>22</v>
      </c>
    </row>
    <row r="3994" spans="1:11" ht="42" customHeight="1">
      <c r="A3994" s="4" t="s">
        <v>8844</v>
      </c>
      <c r="B3994" s="5" t="s">
        <v>8845</v>
      </c>
      <c r="C3994" s="5" t="s">
        <v>31</v>
      </c>
      <c r="D3994" s="5" t="s">
        <v>32</v>
      </c>
      <c r="E3994" s="5" t="s">
        <v>178</v>
      </c>
      <c r="F3994" s="9">
        <v>36</v>
      </c>
      <c r="G3994" s="9">
        <v>350</v>
      </c>
      <c r="H3994" s="5" t="s">
        <v>20</v>
      </c>
      <c r="I3994" s="5" t="s">
        <v>8846</v>
      </c>
      <c r="J3994" s="12" t="str">
        <f>HYPERLINK("https://www.boe.es/gazeta/dias/1806/04/29/pdfs/GMD-1806-36.pdf#page=6","Abrir facsímil")</f>
        <v>Abrir facsímil</v>
      </c>
      <c r="K3994" s="15" t="s">
        <v>22</v>
      </c>
    </row>
    <row r="3995" spans="1:11" ht="42" customHeight="1">
      <c r="A3995" s="4" t="s">
        <v>8847</v>
      </c>
      <c r="B3995" s="5" t="s">
        <v>8848</v>
      </c>
      <c r="C3995" s="5" t="s">
        <v>17</v>
      </c>
      <c r="D3995" s="5" t="s">
        <v>18</v>
      </c>
      <c r="E3995" s="5" t="s">
        <v>689</v>
      </c>
      <c r="F3995" s="9">
        <v>37</v>
      </c>
      <c r="G3995" s="9">
        <v>362</v>
      </c>
      <c r="H3995" s="5" t="s">
        <v>20</v>
      </c>
      <c r="I3995" s="5" t="s">
        <v>8849</v>
      </c>
      <c r="J3995" s="12" t="str">
        <f>HYPERLINK("https://www.boe.es/gazeta/dias/1806/05/02/pdfs/GMD-1806-37.pdf#page=10","Abrir facsímil")</f>
        <v>Abrir facsímil</v>
      </c>
      <c r="K3995" s="15" t="s">
        <v>22</v>
      </c>
    </row>
    <row r="3996" spans="1:11" ht="42" customHeight="1">
      <c r="A3996" s="4" t="s">
        <v>8850</v>
      </c>
      <c r="B3996" s="5" t="s">
        <v>8851</v>
      </c>
      <c r="C3996" s="5" t="s">
        <v>31</v>
      </c>
      <c r="D3996" s="5" t="s">
        <v>32</v>
      </c>
      <c r="E3996" s="5" t="s">
        <v>185</v>
      </c>
      <c r="F3996" s="9">
        <v>46</v>
      </c>
      <c r="G3996" s="9">
        <v>469</v>
      </c>
      <c r="H3996" s="5" t="s">
        <v>20</v>
      </c>
      <c r="I3996" s="5" t="s">
        <v>8852</v>
      </c>
      <c r="J3996" s="12" t="str">
        <f>HYPERLINK("https://www.boe.es/gazeta/dias/1806/06/03/pdfs/GMD-1806-46.pdf#page=9","Abrir facsímil")</f>
        <v>Abrir facsímil</v>
      </c>
      <c r="K3996" s="15" t="s">
        <v>22</v>
      </c>
    </row>
    <row r="3997" spans="1:11" ht="42" customHeight="1">
      <c r="A3997" s="4" t="s">
        <v>8850</v>
      </c>
      <c r="B3997" s="5" t="s">
        <v>8851</v>
      </c>
      <c r="C3997" s="5" t="s">
        <v>31</v>
      </c>
      <c r="D3997" s="5" t="s">
        <v>32</v>
      </c>
      <c r="E3997" s="5" t="s">
        <v>297</v>
      </c>
      <c r="F3997" s="9">
        <v>94</v>
      </c>
      <c r="G3997" s="9">
        <v>989</v>
      </c>
      <c r="H3997" s="5" t="s">
        <v>20</v>
      </c>
      <c r="I3997" s="5" t="s">
        <v>8853</v>
      </c>
      <c r="J3997" s="12" t="str">
        <f>HYPERLINK("https://www.boe.es/gazeta/dias/1806/11/18/pdfs/GMD-1806-94.pdf#page=9","Abrir facsímil")</f>
        <v>Abrir facsímil</v>
      </c>
      <c r="K3997" s="15" t="s">
        <v>22</v>
      </c>
    </row>
    <row r="3998" spans="1:11" ht="42" customHeight="1">
      <c r="A3998" s="4" t="s">
        <v>8854</v>
      </c>
      <c r="B3998" s="5" t="s">
        <v>8855</v>
      </c>
      <c r="C3998" s="5" t="s">
        <v>31</v>
      </c>
      <c r="D3998" s="5" t="s">
        <v>32</v>
      </c>
      <c r="E3998" s="5" t="s">
        <v>301</v>
      </c>
      <c r="F3998" s="9">
        <v>75</v>
      </c>
      <c r="G3998" s="9">
        <v>777</v>
      </c>
      <c r="H3998" s="5" t="s">
        <v>20</v>
      </c>
      <c r="I3998" s="5" t="s">
        <v>8856</v>
      </c>
      <c r="J3998" s="12" t="str">
        <f>HYPERLINK("https://www.boe.es/gazeta/dias/1806/09/12/pdfs/GMD-1806-75.pdf#page=9","Abrir facsímil")</f>
        <v>Abrir facsímil</v>
      </c>
      <c r="K3998" s="15" t="s">
        <v>22</v>
      </c>
    </row>
    <row r="3999" spans="1:11" ht="42" customHeight="1">
      <c r="A3999" s="4" t="s">
        <v>8857</v>
      </c>
      <c r="B3999" s="5" t="s">
        <v>8858</v>
      </c>
      <c r="C3999" s="5" t="s">
        <v>31</v>
      </c>
      <c r="D3999" s="5" t="s">
        <v>32</v>
      </c>
      <c r="E3999" s="5" t="s">
        <v>82</v>
      </c>
      <c r="F3999" s="9">
        <v>48</v>
      </c>
      <c r="G3999" s="9">
        <v>496</v>
      </c>
      <c r="H3999" s="5" t="s">
        <v>20</v>
      </c>
      <c r="I3999" s="5" t="s">
        <v>8859</v>
      </c>
      <c r="J3999" s="12" t="str">
        <f>HYPERLINK("https://www.boe.es/gazeta/dias/1806/06/10/pdfs/GMD-1806-48.pdf#page=8","Abrir facsímil")</f>
        <v>Abrir facsímil</v>
      </c>
      <c r="K3999" s="15" t="s">
        <v>22</v>
      </c>
    </row>
    <row r="4000" spans="1:11" ht="42" customHeight="1">
      <c r="A4000" s="4" t="s">
        <v>8860</v>
      </c>
      <c r="B4000" s="5" t="s">
        <v>8861</v>
      </c>
      <c r="C4000" s="5" t="s">
        <v>31</v>
      </c>
      <c r="D4000" s="5" t="s">
        <v>32</v>
      </c>
      <c r="E4000" s="5" t="s">
        <v>580</v>
      </c>
      <c r="F4000" s="9">
        <v>23</v>
      </c>
      <c r="G4000" s="9">
        <v>221</v>
      </c>
      <c r="H4000" s="5" t="s">
        <v>20</v>
      </c>
      <c r="I4000" s="5" t="s">
        <v>8862</v>
      </c>
      <c r="J4000" s="12" t="str">
        <f>HYPERLINK("https://www.boe.es/gazeta/dias/1806/03/14/pdfs/GMD-1806-23.pdf#page=9","Abrir facsímil")</f>
        <v>Abrir facsímil</v>
      </c>
      <c r="K4000" s="15" t="s">
        <v>22</v>
      </c>
    </row>
    <row r="4001" spans="1:11" ht="42" customHeight="1">
      <c r="A4001" s="4" t="s">
        <v>8863</v>
      </c>
      <c r="B4001" s="5" t="s">
        <v>8864</v>
      </c>
      <c r="C4001" s="5" t="s">
        <v>17</v>
      </c>
      <c r="D4001" s="5" t="s">
        <v>18</v>
      </c>
      <c r="E4001" s="5" t="s">
        <v>438</v>
      </c>
      <c r="F4001" s="9">
        <v>70</v>
      </c>
      <c r="G4001" s="9">
        <v>729</v>
      </c>
      <c r="H4001" s="5" t="s">
        <v>20</v>
      </c>
      <c r="I4001" s="5" t="s">
        <v>8865</v>
      </c>
      <c r="J4001" s="12" t="str">
        <f>HYPERLINK("https://www.boe.es/gazeta/dias/1806/08/26/pdfs/GMD-1806-70.pdf#page=5","Abrir facsímil")</f>
        <v>Abrir facsímil</v>
      </c>
      <c r="K4001" s="15" t="s">
        <v>22</v>
      </c>
    </row>
    <row r="4002" spans="1:11" ht="42" customHeight="1">
      <c r="A4002" s="4" t="s">
        <v>8866</v>
      </c>
      <c r="B4002" s="5" t="s">
        <v>8867</v>
      </c>
      <c r="C4002" s="5" t="s">
        <v>17</v>
      </c>
      <c r="D4002" s="5" t="s">
        <v>18</v>
      </c>
      <c r="E4002" s="5" t="s">
        <v>438</v>
      </c>
      <c r="F4002" s="9">
        <v>70</v>
      </c>
      <c r="G4002" s="9">
        <v>728</v>
      </c>
      <c r="H4002" s="5" t="s">
        <v>20</v>
      </c>
      <c r="I4002" s="5" t="s">
        <v>8868</v>
      </c>
      <c r="J4002" s="12" t="str">
        <f>HYPERLINK("https://www.boe.es/gazeta/dias/1806/08/26/pdfs/GMD-1806-70.pdf#page=4","Abrir facsímil")</f>
        <v>Abrir facsímil</v>
      </c>
      <c r="K4002" s="15" t="s">
        <v>22</v>
      </c>
    </row>
    <row r="4003" spans="1:11" ht="42" customHeight="1">
      <c r="A4003" s="4" t="s">
        <v>8869</v>
      </c>
      <c r="B4003" s="5" t="s">
        <v>8870</v>
      </c>
      <c r="C4003" s="5" t="s">
        <v>31</v>
      </c>
      <c r="D4003" s="5" t="s">
        <v>32</v>
      </c>
      <c r="E4003" s="5" t="s">
        <v>348</v>
      </c>
      <c r="F4003" s="9">
        <v>88</v>
      </c>
      <c r="G4003" s="9">
        <v>910</v>
      </c>
      <c r="H4003" s="5" t="s">
        <v>20</v>
      </c>
      <c r="I4003" s="5" t="s">
        <v>8871</v>
      </c>
      <c r="J4003" s="12" t="str">
        <f>HYPERLINK("https://www.boe.es/gazeta/dias/1806/10/28/pdfs/GMD-1806-88.pdf#page=6","Abrir facsímil")</f>
        <v>Abrir facsímil</v>
      </c>
      <c r="K4003" s="15" t="s">
        <v>22</v>
      </c>
    </row>
    <row r="4004" spans="1:11" ht="42" customHeight="1">
      <c r="A4004" s="4" t="s">
        <v>8872</v>
      </c>
      <c r="B4004" s="5" t="s">
        <v>8873</v>
      </c>
      <c r="C4004" s="5" t="s">
        <v>31</v>
      </c>
      <c r="D4004" s="5" t="s">
        <v>32</v>
      </c>
      <c r="E4004" s="5" t="s">
        <v>82</v>
      </c>
      <c r="F4004" s="9">
        <v>48</v>
      </c>
      <c r="G4004" s="9">
        <v>496</v>
      </c>
      <c r="H4004" s="5" t="s">
        <v>20</v>
      </c>
      <c r="I4004" s="5" t="s">
        <v>8874</v>
      </c>
      <c r="J4004" s="12" t="str">
        <f>HYPERLINK("https://www.boe.es/gazeta/dias/1806/06/10/pdfs/GMD-1806-48.pdf#page=8","Abrir facsímil")</f>
        <v>Abrir facsímil</v>
      </c>
      <c r="K4004" s="15" t="s">
        <v>22</v>
      </c>
    </row>
    <row r="4005" spans="1:11" ht="42" customHeight="1">
      <c r="A4005" s="4" t="s">
        <v>8875</v>
      </c>
      <c r="B4005" s="5" t="s">
        <v>8876</v>
      </c>
      <c r="C4005" s="5" t="s">
        <v>31</v>
      </c>
      <c r="D4005" s="5" t="s">
        <v>32</v>
      </c>
      <c r="E4005" s="5" t="s">
        <v>1031</v>
      </c>
      <c r="F4005" s="9">
        <v>107</v>
      </c>
      <c r="G4005" s="9">
        <v>1132</v>
      </c>
      <c r="H4005" s="5" t="s">
        <v>20</v>
      </c>
      <c r="I4005" s="5" t="s">
        <v>8877</v>
      </c>
      <c r="J4005" s="12" t="str">
        <f>HYPERLINK("https://www.boe.es/gazeta/dias/1806/12/30/pdfs/GMD-1806-107.pdf#page=8","Abrir facsímil")</f>
        <v>Abrir facsímil</v>
      </c>
      <c r="K4005" s="15" t="s">
        <v>22</v>
      </c>
    </row>
    <row r="4006" spans="1:11" ht="42" customHeight="1">
      <c r="A4006" s="4" t="s">
        <v>8878</v>
      </c>
      <c r="B4006" s="5" t="s">
        <v>8879</v>
      </c>
      <c r="C4006" s="5" t="s">
        <v>31</v>
      </c>
      <c r="D4006" s="5" t="s">
        <v>32</v>
      </c>
      <c r="E4006" s="5" t="s">
        <v>24</v>
      </c>
      <c r="F4006" s="9">
        <v>32</v>
      </c>
      <c r="G4006" s="9">
        <v>315</v>
      </c>
      <c r="H4006" s="5" t="s">
        <v>20</v>
      </c>
      <c r="I4006" s="5" t="s">
        <v>8880</v>
      </c>
      <c r="J4006" s="12" t="str">
        <f>HYPERLINK("https://www.boe.es/gazeta/dias/1806/04/15/pdfs/GMD-1806-32.pdf#page=7","Abrir facsímil")</f>
        <v>Abrir facsímil</v>
      </c>
      <c r="K4006" s="15" t="s">
        <v>22</v>
      </c>
    </row>
    <row r="4007" spans="1:11" ht="42" customHeight="1">
      <c r="A4007" s="4" t="s">
        <v>8881</v>
      </c>
      <c r="B4007" s="5" t="s">
        <v>8882</v>
      </c>
      <c r="C4007" s="5" t="s">
        <v>17</v>
      </c>
      <c r="D4007" s="5" t="s">
        <v>18</v>
      </c>
      <c r="E4007" s="5" t="s">
        <v>188</v>
      </c>
      <c r="F4007" s="9">
        <v>2</v>
      </c>
      <c r="G4007" s="9">
        <v>19</v>
      </c>
      <c r="H4007" s="5" t="s">
        <v>20</v>
      </c>
      <c r="I4007" s="5" t="s">
        <v>8883</v>
      </c>
      <c r="J4007" s="12" t="str">
        <f>HYPERLINK("https://www.boe.es/gazeta/dias/1806/01/07/pdfs/GMD-1806-2.pdf#page=7","Abrir facsímil")</f>
        <v>Abrir facsímil</v>
      </c>
      <c r="K4007" s="15" t="s">
        <v>22</v>
      </c>
    </row>
    <row r="4008" spans="1:11" ht="42" customHeight="1">
      <c r="A4008" s="4" t="s">
        <v>8881</v>
      </c>
      <c r="B4008" s="5" t="s">
        <v>8882</v>
      </c>
      <c r="C4008" s="5" t="s">
        <v>31</v>
      </c>
      <c r="D4008" s="5" t="s">
        <v>32</v>
      </c>
      <c r="E4008" s="5" t="s">
        <v>205</v>
      </c>
      <c r="F4008" s="9">
        <v>57</v>
      </c>
      <c r="G4008" s="9">
        <v>594</v>
      </c>
      <c r="H4008" s="5" t="s">
        <v>20</v>
      </c>
      <c r="I4008" s="5" t="s">
        <v>8884</v>
      </c>
      <c r="J4008" s="12" t="str">
        <f>HYPERLINK("https://www.boe.es/gazeta/dias/1806/07/11/pdfs/GMD-1806-57.pdf#page=6","Abrir facsímil")</f>
        <v>Abrir facsímil</v>
      </c>
      <c r="K4008" s="15" t="s">
        <v>22</v>
      </c>
    </row>
    <row r="4009" spans="1:11" ht="42" customHeight="1">
      <c r="A4009" s="4" t="s">
        <v>8885</v>
      </c>
      <c r="B4009" s="5" t="s">
        <v>8886</v>
      </c>
      <c r="C4009" s="5" t="s">
        <v>17</v>
      </c>
      <c r="D4009" s="5" t="s">
        <v>18</v>
      </c>
      <c r="E4009" s="5" t="s">
        <v>220</v>
      </c>
      <c r="F4009" s="9">
        <v>24</v>
      </c>
      <c r="G4009" s="9">
        <v>231</v>
      </c>
      <c r="H4009" s="5" t="s">
        <v>20</v>
      </c>
      <c r="I4009" s="5" t="s">
        <v>8887</v>
      </c>
      <c r="J4009" s="12" t="str">
        <f>HYPERLINK("https://www.boe.es/gazeta/dias/1806/03/18/pdfs/GMD-1806-24.pdf#page=7","Abrir facsímil")</f>
        <v>Abrir facsímil</v>
      </c>
      <c r="K4009" s="15" t="s">
        <v>22</v>
      </c>
    </row>
    <row r="4010" spans="1:11" ht="42" customHeight="1">
      <c r="A4010" s="4" t="s">
        <v>8888</v>
      </c>
      <c r="B4010" s="5" t="s">
        <v>8889</v>
      </c>
      <c r="C4010" s="5" t="s">
        <v>31</v>
      </c>
      <c r="D4010" s="5" t="s">
        <v>32</v>
      </c>
      <c r="E4010" s="5" t="s">
        <v>367</v>
      </c>
      <c r="F4010" s="9">
        <v>87</v>
      </c>
      <c r="G4010" s="9">
        <v>901</v>
      </c>
      <c r="H4010" s="5" t="s">
        <v>20</v>
      </c>
      <c r="I4010" s="5" t="s">
        <v>8890</v>
      </c>
      <c r="J4010" s="12" t="str">
        <f>HYPERLINK("https://www.boe.es/gazeta/dias/1806/10/24/pdfs/GMD-1806-87.pdf#page=9","Abrir facsímil")</f>
        <v>Abrir facsímil</v>
      </c>
      <c r="K4010" s="15" t="s">
        <v>22</v>
      </c>
    </row>
    <row r="4011" spans="1:11" ht="42" customHeight="1">
      <c r="A4011" s="4" t="s">
        <v>8891</v>
      </c>
      <c r="B4011" s="5" t="s">
        <v>8892</v>
      </c>
      <c r="C4011" s="5" t="s">
        <v>17</v>
      </c>
      <c r="D4011" s="5" t="s">
        <v>18</v>
      </c>
      <c r="E4011" s="5" t="s">
        <v>290</v>
      </c>
      <c r="F4011" s="9">
        <v>1</v>
      </c>
      <c r="G4011" s="9">
        <v>7</v>
      </c>
      <c r="H4011" s="5" t="s">
        <v>20</v>
      </c>
      <c r="I4011" s="5" t="s">
        <v>8893</v>
      </c>
      <c r="J4011" s="12" t="str">
        <f>HYPERLINK("https://www.boe.es/gazeta/dias/1806/01/03/pdfs/GMD-1806-1.pdf#page=7","Abrir facsímil")</f>
        <v>Abrir facsímil</v>
      </c>
      <c r="K4011" s="15" t="s">
        <v>22</v>
      </c>
    </row>
    <row r="4012" spans="1:11" ht="42" customHeight="1">
      <c r="A4012" s="4" t="s">
        <v>8894</v>
      </c>
      <c r="B4012" s="5" t="s">
        <v>8895</v>
      </c>
      <c r="C4012" s="5" t="s">
        <v>69</v>
      </c>
      <c r="D4012" s="5" t="s">
        <v>70</v>
      </c>
      <c r="E4012" s="5" t="s">
        <v>1778</v>
      </c>
      <c r="F4012" s="9">
        <v>16</v>
      </c>
      <c r="G4012" s="9">
        <v>142</v>
      </c>
      <c r="H4012" s="5" t="s">
        <v>20</v>
      </c>
      <c r="I4012" s="5" t="s">
        <v>8896</v>
      </c>
      <c r="J4012" s="12" t="str">
        <f>HYPERLINK("https://www.boe.es/gazeta/dias/1806/02/18/pdfs/GMD-1806-16.pdf#page=6","Abrir facsímil")</f>
        <v>Abrir facsímil</v>
      </c>
      <c r="K4012" s="15" t="s">
        <v>22</v>
      </c>
    </row>
    <row r="4013" spans="1:11" ht="42" customHeight="1">
      <c r="A4013" s="4" t="s">
        <v>8897</v>
      </c>
      <c r="B4013" s="5" t="s">
        <v>8898</v>
      </c>
      <c r="C4013" s="5" t="s">
        <v>706</v>
      </c>
      <c r="D4013" s="5" t="s">
        <v>707</v>
      </c>
      <c r="E4013" s="5" t="s">
        <v>195</v>
      </c>
      <c r="F4013" s="9" t="s">
        <v>708</v>
      </c>
      <c r="G4013" s="9">
        <v>41</v>
      </c>
      <c r="H4013" s="5" t="s">
        <v>20</v>
      </c>
      <c r="I4013" s="5" t="s">
        <v>8899</v>
      </c>
      <c r="J4013" s="12" t="str">
        <f>HYPERLINK("https://www.boe.es/gazeta/dias/1806/01/14/pdfs/GMD-1806-5E.pdf#page=1","Abrir facsímil")</f>
        <v>Abrir facsímil</v>
      </c>
      <c r="K4013" s="15" t="s">
        <v>22</v>
      </c>
    </row>
    <row r="4014" spans="1:11" ht="42" customHeight="1">
      <c r="A4014" s="4" t="s">
        <v>8900</v>
      </c>
      <c r="B4014" s="5" t="s">
        <v>8901</v>
      </c>
      <c r="C4014" s="5" t="s">
        <v>706</v>
      </c>
      <c r="D4014" s="5" t="s">
        <v>707</v>
      </c>
      <c r="E4014" s="5" t="s">
        <v>195</v>
      </c>
      <c r="F4014" s="9" t="s">
        <v>708</v>
      </c>
      <c r="G4014" s="9">
        <v>41</v>
      </c>
      <c r="H4014" s="5" t="s">
        <v>20</v>
      </c>
      <c r="I4014" s="5" t="s">
        <v>8902</v>
      </c>
      <c r="J4014" s="12" t="str">
        <f>HYPERLINK("https://www.boe.es/gazeta/dias/1806/01/14/pdfs/GMD-1806-5E.pdf#page=1","Abrir facsímil")</f>
        <v>Abrir facsímil</v>
      </c>
      <c r="K4014" s="15" t="s">
        <v>22</v>
      </c>
    </row>
    <row r="4015" spans="1:11" ht="42" customHeight="1">
      <c r="A4015" s="4" t="s">
        <v>8900</v>
      </c>
      <c r="B4015" s="5" t="s">
        <v>8901</v>
      </c>
      <c r="C4015" s="5" t="s">
        <v>69</v>
      </c>
      <c r="D4015" s="5" t="s">
        <v>70</v>
      </c>
      <c r="E4015" s="5" t="s">
        <v>172</v>
      </c>
      <c r="F4015" s="9">
        <v>17</v>
      </c>
      <c r="G4015" s="9">
        <v>150</v>
      </c>
      <c r="H4015" s="5" t="s">
        <v>20</v>
      </c>
      <c r="I4015" s="5" t="s">
        <v>8903</v>
      </c>
      <c r="J4015" s="12" t="str">
        <f>HYPERLINK("https://www.boe.es/gazeta/dias/1806/02/21/pdfs/GMD-1806-17.pdf#page=6","Abrir facsímil")</f>
        <v>Abrir facsímil</v>
      </c>
      <c r="K4015" s="15" t="s">
        <v>22</v>
      </c>
    </row>
    <row r="4016" spans="1:11" ht="42" customHeight="1">
      <c r="A4016" s="4" t="s">
        <v>8900</v>
      </c>
      <c r="B4016" s="5" t="s">
        <v>8901</v>
      </c>
      <c r="C4016" s="5" t="s">
        <v>31</v>
      </c>
      <c r="D4016" s="5" t="s">
        <v>32</v>
      </c>
      <c r="E4016" s="5" t="s">
        <v>238</v>
      </c>
      <c r="F4016" s="9">
        <v>18</v>
      </c>
      <c r="G4016" s="9">
        <v>159</v>
      </c>
      <c r="H4016" s="5" t="s">
        <v>20</v>
      </c>
      <c r="I4016" s="5" t="s">
        <v>8904</v>
      </c>
      <c r="J4016" s="12" t="str">
        <f>HYPERLINK("https://www.boe.es/gazeta/dias/1806/02/25/pdfs/GMD-1806-18.pdf#page=7","Abrir facsímil")</f>
        <v>Abrir facsímil</v>
      </c>
      <c r="K4016" s="15" t="s">
        <v>22</v>
      </c>
    </row>
    <row r="4017" spans="1:11" ht="42" customHeight="1">
      <c r="A4017" s="4" t="s">
        <v>8900</v>
      </c>
      <c r="B4017" s="5" t="s">
        <v>8901</v>
      </c>
      <c r="C4017" s="5" t="s">
        <v>69</v>
      </c>
      <c r="D4017" s="5" t="s">
        <v>70</v>
      </c>
      <c r="E4017" s="5" t="s">
        <v>55</v>
      </c>
      <c r="F4017" s="9">
        <v>20</v>
      </c>
      <c r="G4017" s="9">
        <v>182</v>
      </c>
      <c r="H4017" s="5" t="s">
        <v>20</v>
      </c>
      <c r="I4017" s="5" t="s">
        <v>8905</v>
      </c>
      <c r="J4017" s="12" t="str">
        <f>HYPERLINK("https://www.boe.es/gazeta/dias/1806/03/04/pdfs/GMD-1806-20.pdf#page=6","Abrir facsímil")</f>
        <v>Abrir facsímil</v>
      </c>
      <c r="K4017" s="15" t="s">
        <v>22</v>
      </c>
    </row>
    <row r="4018" spans="1:11" ht="42" customHeight="1">
      <c r="A4018" s="4" t="s">
        <v>8900</v>
      </c>
      <c r="B4018" s="5" t="s">
        <v>8901</v>
      </c>
      <c r="C4018" s="5" t="s">
        <v>69</v>
      </c>
      <c r="D4018" s="5" t="s">
        <v>70</v>
      </c>
      <c r="E4018" s="5" t="s">
        <v>501</v>
      </c>
      <c r="F4018" s="9">
        <v>39</v>
      </c>
      <c r="G4018" s="9">
        <v>381</v>
      </c>
      <c r="H4018" s="5" t="s">
        <v>20</v>
      </c>
      <c r="I4018" s="5" t="s">
        <v>8906</v>
      </c>
      <c r="J4018" s="12" t="str">
        <f>HYPERLINK("https://www.boe.es/gazeta/dias/1806/05/09/pdfs/GMD-1806-39.pdf#page=5","Abrir facsímil")</f>
        <v>Abrir facsímil</v>
      </c>
      <c r="K4018" s="15" t="s">
        <v>22</v>
      </c>
    </row>
    <row r="4019" spans="1:11" ht="42" customHeight="1">
      <c r="A4019" s="4" t="s">
        <v>8900</v>
      </c>
      <c r="B4019" s="5" t="s">
        <v>8901</v>
      </c>
      <c r="C4019" s="5" t="s">
        <v>17</v>
      </c>
      <c r="D4019" s="5" t="s">
        <v>18</v>
      </c>
      <c r="E4019" s="5" t="s">
        <v>76</v>
      </c>
      <c r="F4019" s="9">
        <v>98</v>
      </c>
      <c r="G4019" s="9">
        <v>1037</v>
      </c>
      <c r="H4019" s="5" t="s">
        <v>20</v>
      </c>
      <c r="I4019" s="5" t="s">
        <v>8907</v>
      </c>
      <c r="J4019" s="12" t="str">
        <f>HYPERLINK("https://www.boe.es/gazeta/dias/1806/12/02/pdfs/GMD-1806-98.pdf#page=5","Abrir facsímil")</f>
        <v>Abrir facsímil</v>
      </c>
      <c r="K4019" s="15" t="s">
        <v>22</v>
      </c>
    </row>
    <row r="4020" spans="1:11" ht="42" customHeight="1">
      <c r="A4020" s="4" t="s">
        <v>8900</v>
      </c>
      <c r="B4020" s="5" t="s">
        <v>8901</v>
      </c>
      <c r="C4020" s="5" t="s">
        <v>17</v>
      </c>
      <c r="D4020" s="5" t="s">
        <v>18</v>
      </c>
      <c r="E4020" s="5" t="s">
        <v>76</v>
      </c>
      <c r="F4020" s="9">
        <v>98</v>
      </c>
      <c r="G4020" s="9">
        <v>1039</v>
      </c>
      <c r="H4020" s="5" t="s">
        <v>20</v>
      </c>
      <c r="I4020" s="5" t="s">
        <v>8908</v>
      </c>
      <c r="J4020" s="12" t="str">
        <f>HYPERLINK("https://www.boe.es/gazeta/dias/1806/12/02/pdfs/GMD-1806-98.pdf#page=7","Abrir facsímil")</f>
        <v>Abrir facsímil</v>
      </c>
      <c r="K4020" s="15" t="s">
        <v>22</v>
      </c>
    </row>
    <row r="4021" spans="1:11" ht="42" customHeight="1">
      <c r="A4021" s="4" t="s">
        <v>8900</v>
      </c>
      <c r="B4021" s="5" t="s">
        <v>8901</v>
      </c>
      <c r="C4021" s="5" t="s">
        <v>17</v>
      </c>
      <c r="D4021" s="5" t="s">
        <v>18</v>
      </c>
      <c r="E4021" s="5" t="s">
        <v>76</v>
      </c>
      <c r="F4021" s="9">
        <v>98</v>
      </c>
      <c r="G4021" s="9">
        <v>1040</v>
      </c>
      <c r="H4021" s="5" t="s">
        <v>20</v>
      </c>
      <c r="I4021" s="5" t="s">
        <v>8909</v>
      </c>
      <c r="J4021" s="12" t="str">
        <f>HYPERLINK("https://www.boe.es/gazeta/dias/1806/12/02/pdfs/GMD-1806-98.pdf#page=8","Abrir facsímil")</f>
        <v>Abrir facsímil</v>
      </c>
      <c r="K4021" s="15" t="s">
        <v>22</v>
      </c>
    </row>
    <row r="4022" spans="1:11" ht="42" customHeight="1">
      <c r="A4022" s="4" t="s">
        <v>8910</v>
      </c>
      <c r="B4022" s="5" t="s">
        <v>8911</v>
      </c>
      <c r="C4022" s="5" t="s">
        <v>31</v>
      </c>
      <c r="D4022" s="5" t="s">
        <v>32</v>
      </c>
      <c r="E4022" s="5" t="s">
        <v>82</v>
      </c>
      <c r="F4022" s="9">
        <v>48</v>
      </c>
      <c r="G4022" s="9">
        <v>496</v>
      </c>
      <c r="H4022" s="5" t="s">
        <v>20</v>
      </c>
      <c r="I4022" s="5" t="s">
        <v>8912</v>
      </c>
      <c r="J4022" s="12" t="str">
        <f>HYPERLINK("https://www.boe.es/gazeta/dias/1806/06/10/pdfs/GMD-1806-48.pdf#page=8","Abrir facsímil")</f>
        <v>Abrir facsímil</v>
      </c>
      <c r="K4022" s="15" t="s">
        <v>22</v>
      </c>
    </row>
    <row r="4023" spans="1:11" ht="42" customHeight="1">
      <c r="A4023" s="4" t="s">
        <v>8913</v>
      </c>
      <c r="B4023" s="5" t="s">
        <v>8914</v>
      </c>
      <c r="C4023" s="5" t="s">
        <v>36</v>
      </c>
      <c r="D4023" s="5" t="s">
        <v>37</v>
      </c>
      <c r="E4023" s="5" t="s">
        <v>540</v>
      </c>
      <c r="F4023" s="9">
        <v>51</v>
      </c>
      <c r="G4023" s="9">
        <v>530</v>
      </c>
      <c r="H4023" s="5" t="s">
        <v>20</v>
      </c>
      <c r="I4023" s="5" t="s">
        <v>8915</v>
      </c>
      <c r="J4023" s="12" t="str">
        <f>HYPERLINK("https://www.boe.es/gazeta/dias/1806/06/20/pdfs/GMD-1806-51.pdf#page=10","Abrir facsímil")</f>
        <v>Abrir facsímil</v>
      </c>
      <c r="K4023" s="15" t="s">
        <v>22</v>
      </c>
    </row>
    <row r="4024" spans="1:11" ht="42" customHeight="1">
      <c r="A4024" s="4" t="s">
        <v>8916</v>
      </c>
      <c r="B4024" s="5" t="s">
        <v>8917</v>
      </c>
      <c r="C4024" s="5" t="s">
        <v>69</v>
      </c>
      <c r="D4024" s="5" t="s">
        <v>70</v>
      </c>
      <c r="E4024" s="5" t="s">
        <v>271</v>
      </c>
      <c r="F4024" s="9">
        <v>6</v>
      </c>
      <c r="G4024" s="9">
        <v>46</v>
      </c>
      <c r="H4024" s="5" t="s">
        <v>20</v>
      </c>
      <c r="I4024" s="5" t="s">
        <v>8918</v>
      </c>
      <c r="J4024" s="12" t="str">
        <f>HYPERLINK("https://www.boe.es/gazeta/dias/1806/01/17/pdfs/GMD-1806-6.pdf#page=2","Abrir facsímil")</f>
        <v>Abrir facsímil</v>
      </c>
      <c r="K4024" s="15" t="s">
        <v>22</v>
      </c>
    </row>
    <row r="4025" spans="1:11" ht="42" customHeight="1">
      <c r="A4025" s="4" t="s">
        <v>8919</v>
      </c>
      <c r="B4025" s="5" t="s">
        <v>8920</v>
      </c>
      <c r="C4025" s="5" t="s">
        <v>75</v>
      </c>
      <c r="D4025" s="5" t="s">
        <v>43</v>
      </c>
      <c r="E4025" s="5" t="s">
        <v>780</v>
      </c>
      <c r="F4025" s="9">
        <v>33</v>
      </c>
      <c r="G4025" s="9">
        <v>325</v>
      </c>
      <c r="H4025" s="5" t="s">
        <v>20</v>
      </c>
      <c r="I4025" s="5" t="s">
        <v>8921</v>
      </c>
      <c r="J4025" s="12" t="str">
        <f>HYPERLINK("https://www.boe.es/gazeta/dias/1806/04/18/pdfs/GMD-1806-33.pdf#page=5","Abrir facsímil")</f>
        <v>Abrir facsímil</v>
      </c>
      <c r="K4025" s="15" t="s">
        <v>22</v>
      </c>
    </row>
    <row r="4026" spans="1:11" ht="42" customHeight="1">
      <c r="A4026" s="4" t="s">
        <v>8922</v>
      </c>
      <c r="B4026" s="5" t="s">
        <v>8922</v>
      </c>
      <c r="C4026" s="5" t="s">
        <v>31</v>
      </c>
      <c r="D4026" s="5" t="s">
        <v>32</v>
      </c>
      <c r="E4026" s="5" t="s">
        <v>304</v>
      </c>
      <c r="F4026" s="9">
        <v>47</v>
      </c>
      <c r="G4026" s="9">
        <v>484</v>
      </c>
      <c r="H4026" s="5" t="s">
        <v>20</v>
      </c>
      <c r="I4026" s="5" t="s">
        <v>8923</v>
      </c>
      <c r="J4026" s="12" t="str">
        <f>HYPERLINK("https://www.boe.es/gazeta/dias/1806/06/06/pdfs/GMD-C-1806-47.pdf#page=4","Abrir facsímil")</f>
        <v>Abrir facsímil</v>
      </c>
      <c r="K4026" s="15" t="s">
        <v>22</v>
      </c>
    </row>
    <row r="4027" spans="1:11" ht="42" customHeight="1">
      <c r="A4027" s="4" t="s">
        <v>8924</v>
      </c>
      <c r="B4027" s="5" t="s">
        <v>8925</v>
      </c>
      <c r="C4027" s="5" t="s">
        <v>31</v>
      </c>
      <c r="D4027" s="5" t="s">
        <v>32</v>
      </c>
      <c r="E4027" s="5" t="s">
        <v>185</v>
      </c>
      <c r="F4027" s="9">
        <v>46</v>
      </c>
      <c r="G4027" s="9">
        <v>469</v>
      </c>
      <c r="H4027" s="5" t="s">
        <v>20</v>
      </c>
      <c r="I4027" s="5" t="s">
        <v>8926</v>
      </c>
      <c r="J4027" s="12" t="str">
        <f>HYPERLINK("https://www.boe.es/gazeta/dias/1806/06/03/pdfs/GMD-1806-46.pdf#page=9","Abrir facsímil")</f>
        <v>Abrir facsímil</v>
      </c>
      <c r="K4027" s="15" t="s">
        <v>22</v>
      </c>
    </row>
    <row r="4028" spans="1:11" ht="42" customHeight="1">
      <c r="A4028" s="4" t="s">
        <v>8927</v>
      </c>
      <c r="B4028" s="5" t="s">
        <v>8928</v>
      </c>
      <c r="C4028" s="5" t="s">
        <v>31</v>
      </c>
      <c r="D4028" s="5" t="s">
        <v>32</v>
      </c>
      <c r="E4028" s="5" t="s">
        <v>140</v>
      </c>
      <c r="F4028" s="9">
        <v>83</v>
      </c>
      <c r="G4028" s="9">
        <v>858</v>
      </c>
      <c r="H4028" s="5" t="s">
        <v>20</v>
      </c>
      <c r="I4028" s="5" t="s">
        <v>8929</v>
      </c>
      <c r="J4028" s="12" t="str">
        <f>HYPERLINK("https://www.boe.es/gazeta/dias/1806/10/10/pdfs/GMD-1806-83.pdf#page=6","Abrir facsímil")</f>
        <v>Abrir facsímil</v>
      </c>
      <c r="K4028" s="15" t="s">
        <v>22</v>
      </c>
    </row>
    <row r="4029" spans="1:11" ht="42" customHeight="1">
      <c r="A4029" s="4" t="s">
        <v>8930</v>
      </c>
      <c r="B4029" s="5" t="s">
        <v>8930</v>
      </c>
      <c r="C4029" s="5" t="s">
        <v>75</v>
      </c>
      <c r="D4029" s="5" t="s">
        <v>43</v>
      </c>
      <c r="E4029" s="5" t="s">
        <v>290</v>
      </c>
      <c r="F4029" s="9">
        <v>1</v>
      </c>
      <c r="G4029" s="9">
        <v>10</v>
      </c>
      <c r="H4029" s="5" t="s">
        <v>20</v>
      </c>
      <c r="I4029" s="5" t="s">
        <v>8931</v>
      </c>
      <c r="J4029" s="12" t="str">
        <f>HYPERLINK("https://www.boe.es/gazeta/dias/1806/01/03/pdfs/GMD-1806-1.pdf#page=10","Abrir facsímil")</f>
        <v>Abrir facsímil</v>
      </c>
      <c r="K4029" s="15" t="s">
        <v>22</v>
      </c>
    </row>
    <row r="4030" spans="1:11" ht="42" customHeight="1">
      <c r="A4030" s="4" t="s">
        <v>8930</v>
      </c>
      <c r="B4030" s="5" t="s">
        <v>8930</v>
      </c>
      <c r="C4030" s="5" t="s">
        <v>75</v>
      </c>
      <c r="D4030" s="5" t="s">
        <v>43</v>
      </c>
      <c r="E4030" s="5" t="s">
        <v>19</v>
      </c>
      <c r="F4030" s="9">
        <v>3</v>
      </c>
      <c r="G4030" s="9">
        <v>28</v>
      </c>
      <c r="H4030" s="5" t="s">
        <v>20</v>
      </c>
      <c r="I4030" s="5" t="s">
        <v>8932</v>
      </c>
      <c r="J4030" s="12" t="str">
        <f>HYPERLINK("https://www.boe.es/gazeta/dias/1806/01/10/pdfs/GMD-1806-3.pdf#page=8","Abrir facsímil")</f>
        <v>Abrir facsímil</v>
      </c>
      <c r="K4030" s="15" t="s">
        <v>22</v>
      </c>
    </row>
    <row r="4031" spans="1:11" ht="42" customHeight="1">
      <c r="A4031" s="4" t="s">
        <v>8930</v>
      </c>
      <c r="B4031" s="5" t="s">
        <v>8930</v>
      </c>
      <c r="C4031" s="5" t="s">
        <v>31</v>
      </c>
      <c r="D4031" s="5" t="s">
        <v>32</v>
      </c>
      <c r="E4031" s="5" t="s">
        <v>100</v>
      </c>
      <c r="F4031" s="9">
        <v>7</v>
      </c>
      <c r="G4031" s="9">
        <v>66</v>
      </c>
      <c r="H4031" s="5" t="s">
        <v>20</v>
      </c>
      <c r="I4031" s="5" t="s">
        <v>8933</v>
      </c>
      <c r="J4031" s="12" t="str">
        <f>HYPERLINK("https://www.boe.es/gazeta/dias/1806/01/21/pdfs/GMD-1806-7.pdf#page=10","Abrir facsímil")</f>
        <v>Abrir facsímil</v>
      </c>
      <c r="K4031" s="15" t="s">
        <v>22</v>
      </c>
    </row>
    <row r="4032" spans="1:11" ht="42" customHeight="1">
      <c r="A4032" s="4" t="s">
        <v>8934</v>
      </c>
      <c r="B4032" s="5" t="s">
        <v>8934</v>
      </c>
      <c r="C4032" s="5" t="s">
        <v>42</v>
      </c>
      <c r="D4032" s="5" t="s">
        <v>43</v>
      </c>
      <c r="E4032" s="5" t="s">
        <v>285</v>
      </c>
      <c r="F4032" s="9">
        <v>13</v>
      </c>
      <c r="G4032" s="9">
        <v>116</v>
      </c>
      <c r="H4032" s="5" t="s">
        <v>20</v>
      </c>
      <c r="I4032" s="5" t="s">
        <v>8935</v>
      </c>
      <c r="J4032" s="12" t="str">
        <f>HYPERLINK("https://www.boe.es/gazeta/dias/1806/02/07/pdfs/GMD-1806-13.pdf#page=8","Abrir facsímil")</f>
        <v>Abrir facsímil</v>
      </c>
      <c r="K4032" s="15" t="s">
        <v>22</v>
      </c>
    </row>
    <row r="4033" spans="1:11" ht="42" customHeight="1">
      <c r="A4033" s="4" t="s">
        <v>8930</v>
      </c>
      <c r="B4033" s="5" t="s">
        <v>8930</v>
      </c>
      <c r="C4033" s="5" t="s">
        <v>36</v>
      </c>
      <c r="D4033" s="5" t="s">
        <v>37</v>
      </c>
      <c r="E4033" s="5" t="s">
        <v>118</v>
      </c>
      <c r="F4033" s="9">
        <v>15</v>
      </c>
      <c r="G4033" s="9">
        <v>135</v>
      </c>
      <c r="H4033" s="5" t="s">
        <v>20</v>
      </c>
      <c r="I4033" s="5" t="s">
        <v>8936</v>
      </c>
      <c r="J4033" s="12" t="str">
        <f>HYPERLINK("https://www.boe.es/gazeta/dias/1806/02/14/pdfs/GMD-1806-15.pdf#page=11","Abrir facsímil")</f>
        <v>Abrir facsímil</v>
      </c>
      <c r="K4033" s="15" t="s">
        <v>22</v>
      </c>
    </row>
    <row r="4034" spans="1:11" ht="42" customHeight="1">
      <c r="A4034" s="4" t="s">
        <v>8930</v>
      </c>
      <c r="B4034" s="5" t="s">
        <v>8930</v>
      </c>
      <c r="C4034" s="5" t="s">
        <v>75</v>
      </c>
      <c r="D4034" s="5" t="s">
        <v>43</v>
      </c>
      <c r="E4034" s="5" t="s">
        <v>400</v>
      </c>
      <c r="F4034" s="9">
        <v>22</v>
      </c>
      <c r="G4034" s="9">
        <v>210</v>
      </c>
      <c r="H4034" s="5" t="s">
        <v>20</v>
      </c>
      <c r="I4034" s="5" t="s">
        <v>8937</v>
      </c>
      <c r="J4034" s="12" t="str">
        <f>HYPERLINK("https://www.boe.es/gazeta/dias/1806/03/11/pdfs/GMD-1806-22.pdf#page=10","Abrir facsímil")</f>
        <v>Abrir facsímil</v>
      </c>
      <c r="K4034" s="15" t="s">
        <v>22</v>
      </c>
    </row>
    <row r="4035" spans="1:11" ht="42" customHeight="1">
      <c r="A4035" s="4" t="s">
        <v>8930</v>
      </c>
      <c r="B4035" s="5" t="s">
        <v>8930</v>
      </c>
      <c r="C4035" s="5" t="s">
        <v>75</v>
      </c>
      <c r="D4035" s="5" t="s">
        <v>43</v>
      </c>
      <c r="E4035" s="5" t="s">
        <v>71</v>
      </c>
      <c r="F4035" s="9">
        <v>29</v>
      </c>
      <c r="G4035" s="9">
        <v>288</v>
      </c>
      <c r="H4035" s="5" t="s">
        <v>20</v>
      </c>
      <c r="I4035" s="5" t="s">
        <v>8938</v>
      </c>
      <c r="J4035" s="12" t="str">
        <f>HYPERLINK("https://www.boe.es/gazeta/dias/1806/04/04/pdfs/GMD-1806-29.pdf#page=8","Abrir facsímil")</f>
        <v>Abrir facsímil</v>
      </c>
      <c r="K4035" s="15" t="s">
        <v>22</v>
      </c>
    </row>
    <row r="4036" spans="1:11" ht="42" customHeight="1">
      <c r="A4036" s="4" t="s">
        <v>8930</v>
      </c>
      <c r="B4036" s="5" t="s">
        <v>8930</v>
      </c>
      <c r="C4036" s="5" t="s">
        <v>36</v>
      </c>
      <c r="D4036" s="5" t="s">
        <v>37</v>
      </c>
      <c r="E4036" s="5" t="s">
        <v>202</v>
      </c>
      <c r="F4036" s="9">
        <v>30</v>
      </c>
      <c r="G4036" s="9">
        <v>296</v>
      </c>
      <c r="H4036" s="5" t="s">
        <v>20</v>
      </c>
      <c r="I4036" s="5" t="s">
        <v>8939</v>
      </c>
      <c r="J4036" s="12" t="str">
        <f>HYPERLINK("https://www.boe.es/gazeta/dias/1806/04/08/pdfs/GMD-1806-30.pdf#page=8","Abrir facsímil")</f>
        <v>Abrir facsímil</v>
      </c>
      <c r="K4036" s="15" t="s">
        <v>22</v>
      </c>
    </row>
    <row r="4037" spans="1:11" ht="42" customHeight="1">
      <c r="A4037" s="4" t="s">
        <v>8930</v>
      </c>
      <c r="B4037" s="5" t="s">
        <v>8930</v>
      </c>
      <c r="C4037" s="5" t="s">
        <v>75</v>
      </c>
      <c r="D4037" s="5" t="s">
        <v>43</v>
      </c>
      <c r="E4037" s="5" t="s">
        <v>96</v>
      </c>
      <c r="F4037" s="9">
        <v>62</v>
      </c>
      <c r="G4037" s="9">
        <v>650</v>
      </c>
      <c r="H4037" s="5" t="s">
        <v>20</v>
      </c>
      <c r="I4037" s="5" t="s">
        <v>8940</v>
      </c>
      <c r="J4037" s="12" t="str">
        <f>HYPERLINK("https://www.boe.es/gazeta/dias/1806/07/29/pdfs/GMD-1806-62.pdf#page=10","Abrir facsímil")</f>
        <v>Abrir facsímil</v>
      </c>
      <c r="K4037" s="15" t="s">
        <v>22</v>
      </c>
    </row>
    <row r="4038" spans="1:11" ht="42" customHeight="1">
      <c r="A4038" s="4" t="s">
        <v>8930</v>
      </c>
      <c r="B4038" s="5" t="s">
        <v>8930</v>
      </c>
      <c r="C4038" s="5" t="s">
        <v>75</v>
      </c>
      <c r="D4038" s="5" t="s">
        <v>43</v>
      </c>
      <c r="E4038" s="5" t="s">
        <v>130</v>
      </c>
      <c r="F4038" s="9">
        <v>66</v>
      </c>
      <c r="G4038" s="9">
        <v>691</v>
      </c>
      <c r="H4038" s="5" t="s">
        <v>20</v>
      </c>
      <c r="I4038" s="5" t="s">
        <v>8941</v>
      </c>
      <c r="J4038" s="12" t="str">
        <f>HYPERLINK("https://www.boe.es/gazeta/dias/1806/08/12/pdfs/GMD-1806-66.pdf#page=7","Abrir facsímil")</f>
        <v>Abrir facsímil</v>
      </c>
      <c r="K4038" s="15" t="s">
        <v>22</v>
      </c>
    </row>
    <row r="4039" spans="1:11" ht="42" customHeight="1">
      <c r="A4039" s="4" t="s">
        <v>8942</v>
      </c>
      <c r="B4039" s="5" t="s">
        <v>8942</v>
      </c>
      <c r="C4039" s="5" t="s">
        <v>31</v>
      </c>
      <c r="D4039" s="5" t="s">
        <v>32</v>
      </c>
      <c r="E4039" s="5" t="s">
        <v>689</v>
      </c>
      <c r="F4039" s="9">
        <v>37</v>
      </c>
      <c r="G4039" s="9">
        <v>361</v>
      </c>
      <c r="H4039" s="5" t="s">
        <v>20</v>
      </c>
      <c r="I4039" s="5" t="s">
        <v>8943</v>
      </c>
      <c r="J4039" s="12" t="str">
        <f>HYPERLINK("https://www.boe.es/gazeta/dias/1806/05/02/pdfs/GMD-1806-37.pdf#page=9","Abrir facsímil")</f>
        <v>Abrir facsímil</v>
      </c>
      <c r="K4039" s="15" t="s">
        <v>22</v>
      </c>
    </row>
    <row r="4040" spans="1:11" ht="42" customHeight="1">
      <c r="A4040" s="4" t="s">
        <v>8944</v>
      </c>
      <c r="B4040" s="5" t="s">
        <v>8945</v>
      </c>
      <c r="C4040" s="5" t="s">
        <v>36</v>
      </c>
      <c r="D4040" s="5" t="s">
        <v>37</v>
      </c>
      <c r="E4040" s="5" t="s">
        <v>209</v>
      </c>
      <c r="F4040" s="9">
        <v>95</v>
      </c>
      <c r="G4040" s="9">
        <v>1008</v>
      </c>
      <c r="H4040" s="5" t="s">
        <v>20</v>
      </c>
      <c r="I4040" s="5" t="s">
        <v>8946</v>
      </c>
      <c r="J4040" s="12" t="str">
        <f>HYPERLINK("https://www.boe.es/gazeta/dias/1806/11/21/pdfs/GMD-1806-95.pdf#page=16","Abrir facsímil")</f>
        <v>Abrir facsímil</v>
      </c>
      <c r="K4040" s="15" t="s">
        <v>22</v>
      </c>
    </row>
    <row r="4041" spans="1:11" ht="42" customHeight="1">
      <c r="A4041" s="4" t="s">
        <v>8947</v>
      </c>
      <c r="B4041" s="5" t="s">
        <v>8948</v>
      </c>
      <c r="C4041" s="5" t="s">
        <v>17</v>
      </c>
      <c r="D4041" s="5" t="s">
        <v>18</v>
      </c>
      <c r="E4041" s="5" t="s">
        <v>304</v>
      </c>
      <c r="F4041" s="9">
        <v>47</v>
      </c>
      <c r="G4041" s="9">
        <v>477</v>
      </c>
      <c r="H4041" s="5" t="s">
        <v>20</v>
      </c>
      <c r="I4041" s="5" t="s">
        <v>8949</v>
      </c>
      <c r="J4041" s="12" t="str">
        <f>HYPERLINK("https://www.boe.es/gazeta/dias/1806/06/06/pdfs/GMD-1806-47.pdf#page=5","Abrir facsímil")</f>
        <v>Abrir facsímil</v>
      </c>
      <c r="K4041" s="15" t="s">
        <v>22</v>
      </c>
    </row>
    <row r="4042" spans="1:11" ht="42" customHeight="1">
      <c r="A4042" s="4" t="s">
        <v>8950</v>
      </c>
      <c r="B4042" s="5" t="s">
        <v>8951</v>
      </c>
      <c r="C4042" s="5" t="s">
        <v>31</v>
      </c>
      <c r="D4042" s="5" t="s">
        <v>32</v>
      </c>
      <c r="E4042" s="5" t="s">
        <v>82</v>
      </c>
      <c r="F4042" s="9">
        <v>48</v>
      </c>
      <c r="G4042" s="9">
        <v>495</v>
      </c>
      <c r="H4042" s="5" t="s">
        <v>20</v>
      </c>
      <c r="I4042" s="5" t="s">
        <v>8952</v>
      </c>
      <c r="J4042" s="12" t="str">
        <f>HYPERLINK("https://www.boe.es/gazeta/dias/1806/06/10/pdfs/GMD-1806-48.pdf#page=7","Abrir facsímil")</f>
        <v>Abrir facsímil</v>
      </c>
      <c r="K4042" s="15" t="s">
        <v>22</v>
      </c>
    </row>
    <row r="4043" spans="1:11" ht="42" customHeight="1">
      <c r="A4043" s="4" t="s">
        <v>8950</v>
      </c>
      <c r="B4043" s="5" t="s">
        <v>8951</v>
      </c>
      <c r="C4043" s="5" t="s">
        <v>69</v>
      </c>
      <c r="D4043" s="5" t="s">
        <v>70</v>
      </c>
      <c r="E4043" s="5" t="s">
        <v>657</v>
      </c>
      <c r="F4043" s="9">
        <v>96</v>
      </c>
      <c r="G4043" s="9">
        <v>1015</v>
      </c>
      <c r="H4043" s="5" t="s">
        <v>20</v>
      </c>
      <c r="I4043" s="5" t="s">
        <v>8953</v>
      </c>
      <c r="J4043" s="12" t="str">
        <f>HYPERLINK("https://www.boe.es/gazeta/dias/1806/11/25/pdfs/GMD-1806-96.pdf#page=7","Abrir facsímil")</f>
        <v>Abrir facsímil</v>
      </c>
      <c r="K4043" s="15" t="s">
        <v>22</v>
      </c>
    </row>
    <row r="4044" spans="1:11" ht="42" customHeight="1">
      <c r="A4044" s="4" t="s">
        <v>8954</v>
      </c>
      <c r="B4044" s="5" t="s">
        <v>8955</v>
      </c>
      <c r="C4044" s="5" t="s">
        <v>36</v>
      </c>
      <c r="D4044" s="5" t="s">
        <v>37</v>
      </c>
      <c r="E4044" s="5" t="s">
        <v>259</v>
      </c>
      <c r="F4044" s="9">
        <v>34</v>
      </c>
      <c r="G4044" s="9">
        <v>336</v>
      </c>
      <c r="H4044" s="5" t="s">
        <v>20</v>
      </c>
      <c r="I4044" s="5" t="s">
        <v>8956</v>
      </c>
      <c r="J4044" s="12" t="str">
        <f>HYPERLINK("https://www.boe.es/gazeta/dias/1806/04/22/pdfs/GMD-1806-34.pdf#page=8","Abrir facsímil")</f>
        <v>Abrir facsímil</v>
      </c>
      <c r="K4044" s="15" t="s">
        <v>22</v>
      </c>
    </row>
    <row r="4045" spans="1:11" ht="42" customHeight="1">
      <c r="A4045" s="4" t="s">
        <v>8957</v>
      </c>
      <c r="B4045" s="5" t="s">
        <v>8958</v>
      </c>
      <c r="C4045" s="5" t="s">
        <v>69</v>
      </c>
      <c r="D4045" s="5" t="s">
        <v>70</v>
      </c>
      <c r="E4045" s="5" t="s">
        <v>185</v>
      </c>
      <c r="F4045" s="9">
        <v>46</v>
      </c>
      <c r="G4045" s="9">
        <v>464</v>
      </c>
      <c r="H4045" s="5" t="s">
        <v>20</v>
      </c>
      <c r="I4045" s="5" t="s">
        <v>8959</v>
      </c>
      <c r="J4045" s="12" t="str">
        <f>HYPERLINK("https://www.boe.es/gazeta/dias/1806/06/03/pdfs/GMD-1806-46.pdf#page=4","Abrir facsímil")</f>
        <v>Abrir facsímil</v>
      </c>
      <c r="K4045" s="15" t="s">
        <v>22</v>
      </c>
    </row>
    <row r="4046" spans="1:11" ht="42" customHeight="1">
      <c r="A4046" s="4" t="s">
        <v>8960</v>
      </c>
      <c r="B4046" s="5" t="s">
        <v>8961</v>
      </c>
      <c r="C4046" s="5" t="s">
        <v>69</v>
      </c>
      <c r="D4046" s="5" t="s">
        <v>70</v>
      </c>
      <c r="E4046" s="5" t="s">
        <v>185</v>
      </c>
      <c r="F4046" s="9">
        <v>46</v>
      </c>
      <c r="G4046" s="9">
        <v>463</v>
      </c>
      <c r="H4046" s="5" t="s">
        <v>20</v>
      </c>
      <c r="I4046" s="5" t="s">
        <v>8962</v>
      </c>
      <c r="J4046" s="12" t="str">
        <f>HYPERLINK("https://www.boe.es/gazeta/dias/1806/06/03/pdfs/GMD-1806-46.pdf#page=3","Abrir facsímil")</f>
        <v>Abrir facsímil</v>
      </c>
      <c r="K4046" s="15" t="s">
        <v>22</v>
      </c>
    </row>
    <row r="4047" spans="1:11" ht="42" customHeight="1">
      <c r="A4047" s="4" t="s">
        <v>8963</v>
      </c>
      <c r="B4047" s="5" t="s">
        <v>8964</v>
      </c>
      <c r="C4047" s="5" t="s">
        <v>17</v>
      </c>
      <c r="D4047" s="5" t="s">
        <v>18</v>
      </c>
      <c r="E4047" s="5" t="s">
        <v>90</v>
      </c>
      <c r="F4047" s="9">
        <v>60</v>
      </c>
      <c r="G4047" s="9">
        <v>625</v>
      </c>
      <c r="H4047" s="5" t="s">
        <v>20</v>
      </c>
      <c r="I4047" s="5" t="s">
        <v>8965</v>
      </c>
      <c r="J4047" s="12" t="str">
        <f>HYPERLINK("https://www.boe.es/gazeta/dias/1806/07/22/pdfs/GMD-1806-60.pdf#page=9","Abrir facsímil")</f>
        <v>Abrir facsímil</v>
      </c>
      <c r="K4047" s="15" t="s">
        <v>22</v>
      </c>
    </row>
    <row r="4048" spans="1:11" ht="42" customHeight="1">
      <c r="A4048" s="4" t="s">
        <v>8963</v>
      </c>
      <c r="B4048" s="5" t="s">
        <v>8964</v>
      </c>
      <c r="C4048" s="5" t="s">
        <v>17</v>
      </c>
      <c r="D4048" s="5" t="s">
        <v>18</v>
      </c>
      <c r="E4048" s="5" t="s">
        <v>209</v>
      </c>
      <c r="F4048" s="9">
        <v>95</v>
      </c>
      <c r="G4048" s="9">
        <v>1007</v>
      </c>
      <c r="H4048" s="5" t="s">
        <v>20</v>
      </c>
      <c r="I4048" s="5" t="s">
        <v>8966</v>
      </c>
      <c r="J4048" s="12" t="str">
        <f>HYPERLINK("https://www.boe.es/gazeta/dias/1806/11/21/pdfs/GMD-1806-95.pdf#page=15","Abrir facsímil")</f>
        <v>Abrir facsímil</v>
      </c>
      <c r="K4048" s="15" t="s">
        <v>22</v>
      </c>
    </row>
    <row r="4049" spans="1:11" ht="42" customHeight="1">
      <c r="A4049" s="4" t="s">
        <v>8967</v>
      </c>
      <c r="B4049" s="5" t="s">
        <v>8968</v>
      </c>
      <c r="C4049" s="5" t="s">
        <v>31</v>
      </c>
      <c r="D4049" s="5" t="s">
        <v>32</v>
      </c>
      <c r="E4049" s="5" t="s">
        <v>140</v>
      </c>
      <c r="F4049" s="9">
        <v>83</v>
      </c>
      <c r="G4049" s="9">
        <v>860</v>
      </c>
      <c r="H4049" s="5" t="s">
        <v>20</v>
      </c>
      <c r="I4049" s="5" t="s">
        <v>8969</v>
      </c>
      <c r="J4049" s="12" t="str">
        <f>HYPERLINK("https://www.boe.es/gazeta/dias/1806/10/10/pdfs/GMD-1806-83.pdf#page=8","Abrir facsímil")</f>
        <v>Abrir facsímil</v>
      </c>
      <c r="K4049" s="15" t="s">
        <v>22</v>
      </c>
    </row>
    <row r="4050" spans="1:11" ht="42" customHeight="1">
      <c r="A4050" s="4" t="s">
        <v>8970</v>
      </c>
      <c r="B4050" s="5" t="s">
        <v>8971</v>
      </c>
      <c r="C4050" s="5" t="s">
        <v>17</v>
      </c>
      <c r="D4050" s="5" t="s">
        <v>18</v>
      </c>
      <c r="E4050" s="5" t="s">
        <v>55</v>
      </c>
      <c r="F4050" s="9">
        <v>20</v>
      </c>
      <c r="G4050" s="9">
        <v>183</v>
      </c>
      <c r="H4050" s="5" t="s">
        <v>20</v>
      </c>
      <c r="I4050" s="5" t="s">
        <v>8972</v>
      </c>
      <c r="J4050" s="12" t="str">
        <f>HYPERLINK("https://www.boe.es/gazeta/dias/1806/03/04/pdfs/GMD-1806-20.pdf#page=7","Abrir facsímil")</f>
        <v>Abrir facsímil</v>
      </c>
      <c r="K4050" s="15" t="s">
        <v>22</v>
      </c>
    </row>
    <row r="4051" spans="1:11" ht="42" customHeight="1">
      <c r="A4051" s="4" t="s">
        <v>8970</v>
      </c>
      <c r="B4051" s="5" t="s">
        <v>8971</v>
      </c>
      <c r="C4051" s="5" t="s">
        <v>17</v>
      </c>
      <c r="D4051" s="5" t="s">
        <v>18</v>
      </c>
      <c r="E4051" s="5" t="s">
        <v>213</v>
      </c>
      <c r="F4051" s="9">
        <v>73</v>
      </c>
      <c r="G4051" s="9">
        <v>757</v>
      </c>
      <c r="H4051" s="5" t="s">
        <v>20</v>
      </c>
      <c r="I4051" s="5" t="s">
        <v>8973</v>
      </c>
      <c r="J4051" s="12" t="str">
        <f>HYPERLINK("https://www.boe.es/gazeta/dias/1806/09/05/pdfs/GMD-1806-73.pdf#page=5","Abrir facsímil")</f>
        <v>Abrir facsímil</v>
      </c>
      <c r="K4051" s="15" t="s">
        <v>22</v>
      </c>
    </row>
    <row r="4052" spans="1:11" ht="42" customHeight="1">
      <c r="A4052" s="4" t="s">
        <v>8974</v>
      </c>
      <c r="B4052" s="5" t="s">
        <v>8975</v>
      </c>
      <c r="C4052" s="5" t="s">
        <v>17</v>
      </c>
      <c r="D4052" s="5" t="s">
        <v>18</v>
      </c>
      <c r="E4052" s="5" t="s">
        <v>55</v>
      </c>
      <c r="F4052" s="9">
        <v>20</v>
      </c>
      <c r="G4052" s="9">
        <v>183</v>
      </c>
      <c r="H4052" s="5" t="s">
        <v>20</v>
      </c>
      <c r="I4052" s="5" t="s">
        <v>8976</v>
      </c>
      <c r="J4052" s="12" t="str">
        <f>HYPERLINK("https://www.boe.es/gazeta/dias/1806/03/04/pdfs/GMD-1806-20.pdf#page=7","Abrir facsímil")</f>
        <v>Abrir facsímil</v>
      </c>
      <c r="K4052" s="15" t="s">
        <v>22</v>
      </c>
    </row>
    <row r="4053" spans="1:11" ht="42" customHeight="1">
      <c r="A4053" s="4" t="s">
        <v>8974</v>
      </c>
      <c r="B4053" s="5" t="s">
        <v>8975</v>
      </c>
      <c r="C4053" s="5" t="s">
        <v>17</v>
      </c>
      <c r="D4053" s="5" t="s">
        <v>18</v>
      </c>
      <c r="E4053" s="5" t="s">
        <v>213</v>
      </c>
      <c r="F4053" s="9">
        <v>73</v>
      </c>
      <c r="G4053" s="9">
        <v>757</v>
      </c>
      <c r="H4053" s="5" t="s">
        <v>20</v>
      </c>
      <c r="I4053" s="5" t="s">
        <v>8977</v>
      </c>
      <c r="J4053" s="12" t="str">
        <f>HYPERLINK("https://www.boe.es/gazeta/dias/1806/09/05/pdfs/GMD-1806-73.pdf#page=5","Abrir facsímil")</f>
        <v>Abrir facsímil</v>
      </c>
      <c r="K4053" s="15" t="s">
        <v>22</v>
      </c>
    </row>
    <row r="4054" spans="1:11" ht="42" customHeight="1">
      <c r="A4054" s="4" t="s">
        <v>8978</v>
      </c>
      <c r="B4054" s="5" t="s">
        <v>8979</v>
      </c>
      <c r="C4054" s="5" t="s">
        <v>69</v>
      </c>
      <c r="D4054" s="5" t="s">
        <v>70</v>
      </c>
      <c r="E4054" s="5" t="s">
        <v>870</v>
      </c>
      <c r="F4054" s="9">
        <v>35</v>
      </c>
      <c r="G4054" s="9">
        <v>338</v>
      </c>
      <c r="H4054" s="5" t="s">
        <v>20</v>
      </c>
      <c r="I4054" s="5" t="s">
        <v>8980</v>
      </c>
      <c r="J4054" s="12" t="str">
        <f>HYPERLINK("https://www.boe.es/gazeta/dias/1806/04/25/pdfs/GMD-1806-35.pdf#page=2","Abrir facsímil")</f>
        <v>Abrir facsímil</v>
      </c>
      <c r="K4054" s="15" t="s">
        <v>22</v>
      </c>
    </row>
    <row r="4055" spans="1:11" ht="42" customHeight="1">
      <c r="A4055" s="4" t="s">
        <v>8981</v>
      </c>
      <c r="B4055" s="5" t="s">
        <v>8981</v>
      </c>
      <c r="C4055" s="5" t="s">
        <v>36</v>
      </c>
      <c r="D4055" s="5" t="s">
        <v>37</v>
      </c>
      <c r="E4055" s="5" t="s">
        <v>455</v>
      </c>
      <c r="F4055" s="9">
        <v>85</v>
      </c>
      <c r="G4055" s="9">
        <v>883</v>
      </c>
      <c r="H4055" s="5" t="s">
        <v>20</v>
      </c>
      <c r="I4055" s="5" t="s">
        <v>8982</v>
      </c>
      <c r="J4055" s="12" t="str">
        <f>HYPERLINK("https://www.boe.es/gazeta/dias/1806/10/17/pdfs/GMD-1806-85.pdf#page=11","Abrir facsímil")</f>
        <v>Abrir facsímil</v>
      </c>
      <c r="K4055" s="15" t="s">
        <v>22</v>
      </c>
    </row>
    <row r="4056" spans="1:11" ht="42" customHeight="1">
      <c r="A4056" s="4" t="s">
        <v>8983</v>
      </c>
      <c r="B4056" s="5" t="s">
        <v>8984</v>
      </c>
      <c r="C4056" s="5" t="s">
        <v>17</v>
      </c>
      <c r="D4056" s="5" t="s">
        <v>18</v>
      </c>
      <c r="E4056" s="5" t="s">
        <v>455</v>
      </c>
      <c r="F4056" s="9">
        <v>85</v>
      </c>
      <c r="G4056" s="9">
        <v>883</v>
      </c>
      <c r="H4056" s="5" t="s">
        <v>20</v>
      </c>
      <c r="I4056" s="5" t="s">
        <v>8985</v>
      </c>
      <c r="J4056" s="12" t="str">
        <f>HYPERLINK("https://www.boe.es/gazeta/dias/1806/10/17/pdfs/GMD-1806-85.pdf#page=11","Abrir facsímil")</f>
        <v>Abrir facsímil</v>
      </c>
      <c r="K4056" s="15" t="s">
        <v>22</v>
      </c>
    </row>
    <row r="4057" spans="1:11" ht="42" customHeight="1">
      <c r="A4057" s="4" t="s">
        <v>8986</v>
      </c>
      <c r="B4057" s="5" t="s">
        <v>8986</v>
      </c>
      <c r="C4057" s="5" t="s">
        <v>17</v>
      </c>
      <c r="D4057" s="5" t="s">
        <v>18</v>
      </c>
      <c r="E4057" s="5" t="s">
        <v>127</v>
      </c>
      <c r="F4057" s="9">
        <v>81</v>
      </c>
      <c r="G4057" s="9">
        <v>839</v>
      </c>
      <c r="H4057" s="5" t="s">
        <v>20</v>
      </c>
      <c r="I4057" s="5" t="s">
        <v>8987</v>
      </c>
      <c r="J4057" s="12" t="str">
        <f>HYPERLINK("https://www.boe.es/gazeta/dias/1806/10/03/pdfs/GMD-1806-81.pdf#page=7","Abrir facsímil")</f>
        <v>Abrir facsímil</v>
      </c>
      <c r="K4057" s="15" t="s">
        <v>22</v>
      </c>
    </row>
    <row r="4058" spans="1:11" ht="42" customHeight="1">
      <c r="A4058" s="4" t="s">
        <v>8988</v>
      </c>
      <c r="B4058" s="5" t="s">
        <v>8988</v>
      </c>
      <c r="C4058" s="5" t="s">
        <v>42</v>
      </c>
      <c r="D4058" s="5" t="s">
        <v>43</v>
      </c>
      <c r="E4058" s="5" t="s">
        <v>816</v>
      </c>
      <c r="F4058" s="9">
        <v>86</v>
      </c>
      <c r="G4058" s="9">
        <v>891</v>
      </c>
      <c r="H4058" s="5" t="s">
        <v>20</v>
      </c>
      <c r="I4058" s="5" t="s">
        <v>8989</v>
      </c>
      <c r="J4058" s="12" t="str">
        <f>HYPERLINK("https://www.boe.es/gazeta/dias/1806/10/21/pdfs/GMD-1806-86.pdf#page=7","Abrir facsímil")</f>
        <v>Abrir facsímil</v>
      </c>
      <c r="K4058" s="15" t="s">
        <v>22</v>
      </c>
    </row>
    <row r="4059" spans="1:11" ht="42" customHeight="1">
      <c r="A4059" s="4" t="s">
        <v>8990</v>
      </c>
      <c r="B4059" s="5" t="s">
        <v>8991</v>
      </c>
      <c r="C4059" s="5" t="s">
        <v>31</v>
      </c>
      <c r="D4059" s="5" t="s">
        <v>32</v>
      </c>
      <c r="E4059" s="5" t="s">
        <v>181</v>
      </c>
      <c r="F4059" s="9">
        <v>99</v>
      </c>
      <c r="G4059" s="9">
        <v>1053</v>
      </c>
      <c r="H4059" s="5" t="s">
        <v>20</v>
      </c>
      <c r="I4059" s="5" t="s">
        <v>8992</v>
      </c>
      <c r="J4059" s="12" t="str">
        <f>HYPERLINK("https://www.boe.es/gazeta/dias/1806/12/05/pdfs/GMD-1806-99.pdf#page=9","Abrir facsímil")</f>
        <v>Abrir facsímil</v>
      </c>
      <c r="K4059" s="15" t="s">
        <v>22</v>
      </c>
    </row>
    <row r="4060" spans="1:11" ht="42" customHeight="1">
      <c r="A4060" s="4" t="s">
        <v>8993</v>
      </c>
      <c r="B4060" s="5" t="s">
        <v>8994</v>
      </c>
      <c r="C4060" s="5" t="s">
        <v>31</v>
      </c>
      <c r="D4060" s="5" t="s">
        <v>32</v>
      </c>
      <c r="E4060" s="5" t="s">
        <v>55</v>
      </c>
      <c r="F4060" s="9">
        <v>20</v>
      </c>
      <c r="G4060" s="9">
        <v>184</v>
      </c>
      <c r="H4060" s="5" t="s">
        <v>20</v>
      </c>
      <c r="I4060" s="5" t="s">
        <v>8995</v>
      </c>
      <c r="J4060" s="12" t="str">
        <f>HYPERLINK("https://www.boe.es/gazeta/dias/1806/03/04/pdfs/GMD-1806-20.pdf#page=8","Abrir facsímil")</f>
        <v>Abrir facsímil</v>
      </c>
      <c r="K4060" s="15" t="s">
        <v>22</v>
      </c>
    </row>
    <row r="4061" spans="1:11" ht="42" customHeight="1">
      <c r="A4061" s="4" t="s">
        <v>8996</v>
      </c>
      <c r="B4061" s="5" t="s">
        <v>8997</v>
      </c>
      <c r="C4061" s="5" t="s">
        <v>69</v>
      </c>
      <c r="D4061" s="5" t="s">
        <v>70</v>
      </c>
      <c r="E4061" s="5" t="s">
        <v>136</v>
      </c>
      <c r="F4061" s="9">
        <v>50</v>
      </c>
      <c r="G4061" s="9">
        <v>510</v>
      </c>
      <c r="H4061" s="5" t="s">
        <v>20</v>
      </c>
      <c r="I4061" s="5" t="s">
        <v>8998</v>
      </c>
      <c r="J4061" s="12" t="str">
        <f>HYPERLINK("https://www.boe.es/gazeta/dias/1806/06/17/pdfs/GMD-1806-50.pdf#page=2","Abrir facsímil")</f>
        <v>Abrir facsímil</v>
      </c>
      <c r="K4061" s="15" t="s">
        <v>22</v>
      </c>
    </row>
    <row r="4062" spans="1:11" ht="42" customHeight="1">
      <c r="A4062" s="4" t="s">
        <v>8999</v>
      </c>
      <c r="B4062" s="5" t="s">
        <v>9000</v>
      </c>
      <c r="C4062" s="5" t="s">
        <v>69</v>
      </c>
      <c r="D4062" s="5" t="s">
        <v>70</v>
      </c>
      <c r="E4062" s="5" t="s">
        <v>279</v>
      </c>
      <c r="F4062" s="9">
        <v>52</v>
      </c>
      <c r="G4062" s="9">
        <v>536</v>
      </c>
      <c r="H4062" s="5" t="s">
        <v>20</v>
      </c>
      <c r="I4062" s="5" t="s">
        <v>9001</v>
      </c>
      <c r="J4062" s="12" t="str">
        <f>HYPERLINK("https://www.boe.es/gazeta/dias/1806/06/24/pdfs/GMD-1806-52.pdf#page=4","Abrir facsímil")</f>
        <v>Abrir facsímil</v>
      </c>
      <c r="K4062" s="15" t="s">
        <v>22</v>
      </c>
    </row>
    <row r="4063" spans="1:11" ht="42" customHeight="1">
      <c r="A4063" s="4" t="s">
        <v>9002</v>
      </c>
      <c r="B4063" s="5" t="s">
        <v>9003</v>
      </c>
      <c r="C4063" s="5" t="s">
        <v>69</v>
      </c>
      <c r="D4063" s="5" t="s">
        <v>70</v>
      </c>
      <c r="E4063" s="5" t="s">
        <v>716</v>
      </c>
      <c r="F4063" s="9">
        <v>56</v>
      </c>
      <c r="G4063" s="9">
        <v>581</v>
      </c>
      <c r="H4063" s="5" t="s">
        <v>20</v>
      </c>
      <c r="I4063" s="5" t="s">
        <v>9004</v>
      </c>
      <c r="J4063" s="12" t="str">
        <f>HYPERLINK("https://www.boe.es/gazeta/dias/1806/07/08/pdfs/GMD-1806-56.pdf#page=5","Abrir facsímil")</f>
        <v>Abrir facsímil</v>
      </c>
      <c r="K4063" s="15" t="s">
        <v>22</v>
      </c>
    </row>
    <row r="4064" spans="1:11" ht="42" customHeight="1">
      <c r="A4064" s="4" t="s">
        <v>9002</v>
      </c>
      <c r="B4064" s="5" t="s">
        <v>9003</v>
      </c>
      <c r="C4064" s="5" t="s">
        <v>69</v>
      </c>
      <c r="D4064" s="5" t="s">
        <v>70</v>
      </c>
      <c r="E4064" s="5" t="s">
        <v>911</v>
      </c>
      <c r="F4064" s="9">
        <v>64</v>
      </c>
      <c r="G4064" s="9">
        <v>668</v>
      </c>
      <c r="H4064" s="5" t="s">
        <v>20</v>
      </c>
      <c r="I4064" s="5" t="s">
        <v>9005</v>
      </c>
      <c r="J4064" s="12" t="str">
        <f>HYPERLINK("https://www.boe.es/gazeta/dias/1806/08/05/pdfs/GMD-1806-64.pdf#page=4","Abrir facsímil")</f>
        <v>Abrir facsímil</v>
      </c>
      <c r="K4064" s="15" t="s">
        <v>22</v>
      </c>
    </row>
    <row r="4065" spans="1:11" ht="42" customHeight="1">
      <c r="A4065" s="4" t="s">
        <v>9006</v>
      </c>
      <c r="B4065" s="5" t="s">
        <v>9006</v>
      </c>
      <c r="C4065" s="5" t="s">
        <v>42</v>
      </c>
      <c r="D4065" s="5" t="s">
        <v>43</v>
      </c>
      <c r="E4065" s="5" t="s">
        <v>136</v>
      </c>
      <c r="F4065" s="9">
        <v>50</v>
      </c>
      <c r="G4065" s="9">
        <v>515</v>
      </c>
      <c r="H4065" s="5" t="s">
        <v>20</v>
      </c>
      <c r="I4065" s="5" t="s">
        <v>9007</v>
      </c>
      <c r="J4065" s="12" t="str">
        <f>HYPERLINK("https://www.boe.es/gazeta/dias/1806/06/17/pdfs/GMD-1806-50.pdf#page=7","Abrir facsímil")</f>
        <v>Abrir facsímil</v>
      </c>
      <c r="K4065" s="15" t="s">
        <v>22</v>
      </c>
    </row>
    <row r="4066" spans="1:11" ht="42" customHeight="1">
      <c r="A4066" s="4" t="s">
        <v>9008</v>
      </c>
      <c r="B4066" s="5" t="s">
        <v>9009</v>
      </c>
      <c r="C4066" s="5" t="s">
        <v>31</v>
      </c>
      <c r="D4066" s="5" t="s">
        <v>32</v>
      </c>
      <c r="E4066" s="5" t="s">
        <v>438</v>
      </c>
      <c r="F4066" s="9">
        <v>70</v>
      </c>
      <c r="G4066" s="9">
        <v>730</v>
      </c>
      <c r="H4066" s="5" t="s">
        <v>20</v>
      </c>
      <c r="I4066" s="5" t="s">
        <v>9010</v>
      </c>
      <c r="J4066" s="12" t="str">
        <f>HYPERLINK("https://www.boe.es/gazeta/dias/1806/08/26/pdfs/GMD-1806-70.pdf#page=6","Abrir facsímil")</f>
        <v>Abrir facsímil</v>
      </c>
      <c r="K4066" s="15" t="s">
        <v>22</v>
      </c>
    </row>
    <row r="4067" spans="1:11" ht="42" customHeight="1">
      <c r="A4067" s="4" t="s">
        <v>9011</v>
      </c>
      <c r="B4067" s="5" t="s">
        <v>9012</v>
      </c>
      <c r="C4067" s="5" t="s">
        <v>42</v>
      </c>
      <c r="D4067" s="5" t="s">
        <v>43</v>
      </c>
      <c r="E4067" s="5" t="s">
        <v>657</v>
      </c>
      <c r="F4067" s="9">
        <v>96</v>
      </c>
      <c r="G4067" s="9">
        <v>1018</v>
      </c>
      <c r="H4067" s="5" t="s">
        <v>20</v>
      </c>
      <c r="I4067" s="5" t="s">
        <v>9013</v>
      </c>
      <c r="J4067" s="12" t="str">
        <f>HYPERLINK("https://www.boe.es/gazeta/dias/1806/11/25/pdfs/GMD-1806-96.pdf#page=10","Abrir facsímil")</f>
        <v>Abrir facsímil</v>
      </c>
      <c r="K4067" s="15" t="s">
        <v>22</v>
      </c>
    </row>
    <row r="4068" spans="1:11" ht="42" customHeight="1">
      <c r="A4068" s="4" t="s">
        <v>9014</v>
      </c>
      <c r="B4068" s="5" t="s">
        <v>9015</v>
      </c>
      <c r="C4068" s="5" t="s">
        <v>69</v>
      </c>
      <c r="D4068" s="5" t="s">
        <v>70</v>
      </c>
      <c r="E4068" s="5" t="s">
        <v>62</v>
      </c>
      <c r="F4068" s="9">
        <v>45</v>
      </c>
      <c r="G4068" s="9">
        <v>453</v>
      </c>
      <c r="H4068" s="5" t="s">
        <v>20</v>
      </c>
      <c r="I4068" s="5" t="s">
        <v>9016</v>
      </c>
      <c r="J4068" s="12" t="str">
        <f>HYPERLINK("https://www.boe.es/gazeta/dias/1806/05/30/pdfs/GMD-1806-45.pdf#page=5","Abrir facsímil")</f>
        <v>Abrir facsímil</v>
      </c>
      <c r="K4068" s="15" t="s">
        <v>22</v>
      </c>
    </row>
    <row r="4069" spans="1:11" ht="42" customHeight="1">
      <c r="A4069" s="4" t="s">
        <v>9017</v>
      </c>
      <c r="B4069" s="5" t="s">
        <v>9018</v>
      </c>
      <c r="C4069" s="5" t="s">
        <v>31</v>
      </c>
      <c r="D4069" s="5" t="s">
        <v>32</v>
      </c>
      <c r="E4069" s="5" t="s">
        <v>870</v>
      </c>
      <c r="F4069" s="9">
        <v>35</v>
      </c>
      <c r="G4069" s="9">
        <v>338</v>
      </c>
      <c r="H4069" s="5" t="s">
        <v>20</v>
      </c>
      <c r="I4069" s="5" t="s">
        <v>9019</v>
      </c>
      <c r="J4069" s="12" t="str">
        <f>HYPERLINK("https://www.boe.es/gazeta/dias/1806/04/25/pdfs/GMD-1806-35.pdf#page=2","Abrir facsímil")</f>
        <v>Abrir facsímil</v>
      </c>
      <c r="K4069" s="15" t="s">
        <v>22</v>
      </c>
    </row>
    <row r="4070" spans="1:11" ht="42" customHeight="1">
      <c r="A4070" s="4" t="s">
        <v>9020</v>
      </c>
      <c r="B4070" s="5" t="s">
        <v>9021</v>
      </c>
      <c r="C4070" s="5" t="s">
        <v>31</v>
      </c>
      <c r="D4070" s="5" t="s">
        <v>32</v>
      </c>
      <c r="E4070" s="5" t="s">
        <v>209</v>
      </c>
      <c r="F4070" s="9">
        <v>95</v>
      </c>
      <c r="G4070" s="9">
        <v>1005</v>
      </c>
      <c r="H4070" s="5" t="s">
        <v>20</v>
      </c>
      <c r="I4070" s="5" t="s">
        <v>9022</v>
      </c>
      <c r="J4070" s="12" t="str">
        <f>HYPERLINK("https://www.boe.es/gazeta/dias/1806/11/21/pdfs/GMD-1806-95.pdf#page=13","Abrir facsímil")</f>
        <v>Abrir facsímil</v>
      </c>
      <c r="K4070" s="15" t="s">
        <v>22</v>
      </c>
    </row>
    <row r="4071" spans="1:11" ht="42" customHeight="1">
      <c r="A4071" s="4" t="s">
        <v>9023</v>
      </c>
      <c r="B4071" s="5" t="s">
        <v>9024</v>
      </c>
      <c r="C4071" s="5" t="s">
        <v>69</v>
      </c>
      <c r="D4071" s="5" t="s">
        <v>70</v>
      </c>
      <c r="E4071" s="5" t="s">
        <v>62</v>
      </c>
      <c r="F4071" s="9">
        <v>45</v>
      </c>
      <c r="G4071" s="9">
        <v>452</v>
      </c>
      <c r="H4071" s="5" t="s">
        <v>20</v>
      </c>
      <c r="I4071" s="5" t="s">
        <v>9025</v>
      </c>
      <c r="J4071" s="12" t="str">
        <f>HYPERLINK("https://www.boe.es/gazeta/dias/1806/05/30/pdfs/GMD-1806-45.pdf#page=4","Abrir facsímil")</f>
        <v>Abrir facsímil</v>
      </c>
      <c r="K4071" s="15" t="s">
        <v>22</v>
      </c>
    </row>
    <row r="4072" spans="1:11" ht="42" customHeight="1">
      <c r="A4072" s="4" t="s">
        <v>9026</v>
      </c>
      <c r="B4072" s="5" t="s">
        <v>9026</v>
      </c>
      <c r="C4072" s="5" t="s">
        <v>69</v>
      </c>
      <c r="D4072" s="5" t="s">
        <v>70</v>
      </c>
      <c r="E4072" s="5" t="s">
        <v>870</v>
      </c>
      <c r="F4072" s="9">
        <v>35</v>
      </c>
      <c r="G4072" s="9">
        <v>338</v>
      </c>
      <c r="H4072" s="5" t="s">
        <v>20</v>
      </c>
      <c r="I4072" s="5" t="s">
        <v>9027</v>
      </c>
      <c r="J4072" s="12" t="str">
        <f>HYPERLINK("https://www.boe.es/gazeta/dias/1806/04/25/pdfs/GMD-1806-35.pdf#page=2","Abrir facsímil")</f>
        <v>Abrir facsímil</v>
      </c>
      <c r="K4072" s="15" t="s">
        <v>22</v>
      </c>
    </row>
    <row r="4073" spans="1:11" ht="42" customHeight="1">
      <c r="A4073" s="4" t="s">
        <v>9028</v>
      </c>
      <c r="B4073" s="5" t="s">
        <v>9029</v>
      </c>
      <c r="C4073" s="5" t="s">
        <v>69</v>
      </c>
      <c r="D4073" s="5" t="s">
        <v>70</v>
      </c>
      <c r="E4073" s="5" t="s">
        <v>870</v>
      </c>
      <c r="F4073" s="9">
        <v>35</v>
      </c>
      <c r="G4073" s="9">
        <v>338</v>
      </c>
      <c r="H4073" s="5" t="s">
        <v>20</v>
      </c>
      <c r="I4073" s="5" t="s">
        <v>9030</v>
      </c>
      <c r="J4073" s="12" t="str">
        <f>HYPERLINK("https://www.boe.es/gazeta/dias/1806/04/25/pdfs/GMD-1806-35.pdf#page=2","Abrir facsímil")</f>
        <v>Abrir facsímil</v>
      </c>
      <c r="K4073" s="15" t="s">
        <v>22</v>
      </c>
    </row>
    <row r="4074" spans="1:11" ht="42" customHeight="1">
      <c r="A4074" s="4" t="s">
        <v>9028</v>
      </c>
      <c r="B4074" s="5" t="s">
        <v>9029</v>
      </c>
      <c r="C4074" s="5" t="s">
        <v>69</v>
      </c>
      <c r="D4074" s="5" t="s">
        <v>70</v>
      </c>
      <c r="E4074" s="5" t="s">
        <v>870</v>
      </c>
      <c r="F4074" s="9">
        <v>35</v>
      </c>
      <c r="G4074" s="9">
        <v>339</v>
      </c>
      <c r="H4074" s="5" t="s">
        <v>20</v>
      </c>
      <c r="I4074" s="5" t="s">
        <v>9031</v>
      </c>
      <c r="J4074" s="12" t="str">
        <f>HYPERLINK("https://www.boe.es/gazeta/dias/1806/04/25/pdfs/GMD-1806-35.pdf#page=3","Abrir facsímil")</f>
        <v>Abrir facsímil</v>
      </c>
      <c r="K4074" s="15" t="s">
        <v>22</v>
      </c>
    </row>
    <row r="4075" spans="1:11" ht="42" customHeight="1">
      <c r="A4075" s="4" t="s">
        <v>9028</v>
      </c>
      <c r="B4075" s="5" t="s">
        <v>9029</v>
      </c>
      <c r="C4075" s="5" t="s">
        <v>36</v>
      </c>
      <c r="D4075" s="5" t="s">
        <v>37</v>
      </c>
      <c r="E4075" s="5" t="s">
        <v>870</v>
      </c>
      <c r="F4075" s="9">
        <v>35</v>
      </c>
      <c r="G4075" s="9">
        <v>340</v>
      </c>
      <c r="H4075" s="5" t="s">
        <v>20</v>
      </c>
      <c r="I4075" s="5" t="s">
        <v>9032</v>
      </c>
      <c r="J4075" s="12" t="str">
        <f>HYPERLINK("https://www.boe.es/gazeta/dias/1806/04/25/pdfs/GMD-1806-35.pdf#page=4","Abrir facsímil")</f>
        <v>Abrir facsímil</v>
      </c>
      <c r="K4075" s="15" t="s">
        <v>22</v>
      </c>
    </row>
    <row r="4076" spans="1:11" ht="42" customHeight="1">
      <c r="A4076" s="4" t="s">
        <v>9028</v>
      </c>
      <c r="B4076" s="5" t="s">
        <v>9029</v>
      </c>
      <c r="C4076" s="5" t="s">
        <v>69</v>
      </c>
      <c r="D4076" s="5" t="s">
        <v>70</v>
      </c>
      <c r="E4076" s="5" t="s">
        <v>62</v>
      </c>
      <c r="F4076" s="9">
        <v>45</v>
      </c>
      <c r="G4076" s="9">
        <v>453</v>
      </c>
      <c r="H4076" s="5" t="s">
        <v>20</v>
      </c>
      <c r="I4076" s="5" t="s">
        <v>9033</v>
      </c>
      <c r="J4076" s="12" t="str">
        <f>HYPERLINK("https://www.boe.es/gazeta/dias/1806/05/30/pdfs/GMD-1806-45.pdf#page=5","Abrir facsímil")</f>
        <v>Abrir facsímil</v>
      </c>
      <c r="K4076" s="15" t="s">
        <v>22</v>
      </c>
    </row>
    <row r="4077" spans="1:11" ht="42" customHeight="1">
      <c r="A4077" s="4" t="s">
        <v>9028</v>
      </c>
      <c r="B4077" s="5" t="s">
        <v>9029</v>
      </c>
      <c r="C4077" s="5" t="s">
        <v>69</v>
      </c>
      <c r="D4077" s="5" t="s">
        <v>70</v>
      </c>
      <c r="E4077" s="5" t="s">
        <v>62</v>
      </c>
      <c r="F4077" s="9">
        <v>45</v>
      </c>
      <c r="G4077" s="9">
        <v>454</v>
      </c>
      <c r="H4077" s="5" t="s">
        <v>20</v>
      </c>
      <c r="I4077" s="5" t="s">
        <v>9034</v>
      </c>
      <c r="J4077" s="12" t="str">
        <f>HYPERLINK("https://www.boe.es/gazeta/dias/1806/05/30/pdfs/GMD-1806-45.pdf#page=6","Abrir facsímil")</f>
        <v>Abrir facsímil</v>
      </c>
      <c r="K4077" s="15" t="s">
        <v>22</v>
      </c>
    </row>
    <row r="4078" spans="1:11" ht="42" customHeight="1">
      <c r="A4078" s="4" t="s">
        <v>9028</v>
      </c>
      <c r="B4078" s="5" t="s">
        <v>9029</v>
      </c>
      <c r="C4078" s="5" t="s">
        <v>69</v>
      </c>
      <c r="D4078" s="5" t="s">
        <v>70</v>
      </c>
      <c r="E4078" s="5" t="s">
        <v>185</v>
      </c>
      <c r="F4078" s="9">
        <v>46</v>
      </c>
      <c r="G4078" s="9">
        <v>465</v>
      </c>
      <c r="H4078" s="5" t="s">
        <v>20</v>
      </c>
      <c r="I4078" s="5" t="s">
        <v>9035</v>
      </c>
      <c r="J4078" s="12" t="str">
        <f>HYPERLINK("https://www.boe.es/gazeta/dias/1806/06/03/pdfs/GMD-1806-46.pdf#page=5","Abrir facsímil")</f>
        <v>Abrir facsímil</v>
      </c>
      <c r="K4078" s="15" t="s">
        <v>22</v>
      </c>
    </row>
    <row r="4079" spans="1:11" ht="42" customHeight="1">
      <c r="A4079" s="4" t="s">
        <v>9028</v>
      </c>
      <c r="B4079" s="5" t="s">
        <v>9029</v>
      </c>
      <c r="C4079" s="5" t="s">
        <v>69</v>
      </c>
      <c r="D4079" s="5" t="s">
        <v>70</v>
      </c>
      <c r="E4079" s="5" t="s">
        <v>1080</v>
      </c>
      <c r="F4079" s="9">
        <v>49</v>
      </c>
      <c r="G4079" s="9">
        <v>504</v>
      </c>
      <c r="H4079" s="5" t="s">
        <v>20</v>
      </c>
      <c r="I4079" s="5" t="s">
        <v>9036</v>
      </c>
      <c r="J4079" s="12" t="str">
        <f>HYPERLINK("https://www.boe.es/gazeta/dias/1806/06/13/pdfs/GMD-1806-49.pdf#page=4","Abrir facsímil")</f>
        <v>Abrir facsímil</v>
      </c>
      <c r="K4079" s="15" t="s">
        <v>22</v>
      </c>
    </row>
    <row r="4080" spans="1:11" ht="42" customHeight="1">
      <c r="A4080" s="4" t="s">
        <v>9028</v>
      </c>
      <c r="B4080" s="5" t="s">
        <v>9029</v>
      </c>
      <c r="C4080" s="5" t="s">
        <v>69</v>
      </c>
      <c r="D4080" s="5" t="s">
        <v>70</v>
      </c>
      <c r="E4080" s="5" t="s">
        <v>136</v>
      </c>
      <c r="F4080" s="9">
        <v>50</v>
      </c>
      <c r="G4080" s="9">
        <v>512</v>
      </c>
      <c r="H4080" s="5" t="s">
        <v>20</v>
      </c>
      <c r="I4080" s="5" t="s">
        <v>9037</v>
      </c>
      <c r="J4080" s="12" t="str">
        <f>HYPERLINK("https://www.boe.es/gazeta/dias/1806/06/17/pdfs/GMD-1806-50.pdf#page=4","Abrir facsímil")</f>
        <v>Abrir facsímil</v>
      </c>
      <c r="K4080" s="15" t="s">
        <v>22</v>
      </c>
    </row>
    <row r="4081" spans="1:11" ht="42" customHeight="1">
      <c r="A4081" s="4" t="s">
        <v>9038</v>
      </c>
      <c r="B4081" s="5" t="s">
        <v>9039</v>
      </c>
      <c r="C4081" s="5" t="s">
        <v>69</v>
      </c>
      <c r="D4081" s="5" t="s">
        <v>70</v>
      </c>
      <c r="E4081" s="5" t="s">
        <v>911</v>
      </c>
      <c r="F4081" s="9">
        <v>64</v>
      </c>
      <c r="G4081" s="9">
        <v>668</v>
      </c>
      <c r="H4081" s="5" t="s">
        <v>20</v>
      </c>
      <c r="I4081" s="5" t="s">
        <v>9040</v>
      </c>
      <c r="J4081" s="12" t="str">
        <f>HYPERLINK("https://www.boe.es/gazeta/dias/1806/08/05/pdfs/GMD-1806-64.pdf#page=4","Abrir facsímil")</f>
        <v>Abrir facsímil</v>
      </c>
      <c r="K4081" s="15" t="s">
        <v>22</v>
      </c>
    </row>
    <row r="4082" spans="1:11" ht="42" customHeight="1">
      <c r="A4082" s="4" t="s">
        <v>9041</v>
      </c>
      <c r="B4082" s="5" t="s">
        <v>9042</v>
      </c>
      <c r="C4082" s="5" t="s">
        <v>69</v>
      </c>
      <c r="D4082" s="5" t="s">
        <v>70</v>
      </c>
      <c r="E4082" s="5" t="s">
        <v>483</v>
      </c>
      <c r="F4082" s="9">
        <v>58</v>
      </c>
      <c r="G4082" s="9">
        <v>600</v>
      </c>
      <c r="H4082" s="5" t="s">
        <v>20</v>
      </c>
      <c r="I4082" s="5" t="s">
        <v>9043</v>
      </c>
      <c r="J4082" s="12" t="str">
        <f>HYPERLINK("https://www.boe.es/gazeta/dias/1806/07/15/pdfs/GMD-1806-58.pdf#page=4","Abrir facsímil")</f>
        <v>Abrir facsímil</v>
      </c>
      <c r="K4082" s="15" t="s">
        <v>22</v>
      </c>
    </row>
    <row r="4083" spans="1:11" ht="42" customHeight="1">
      <c r="A4083" s="4" t="s">
        <v>9041</v>
      </c>
      <c r="B4083" s="5" t="s">
        <v>9042</v>
      </c>
      <c r="C4083" s="5" t="s">
        <v>31</v>
      </c>
      <c r="D4083" s="5" t="s">
        <v>32</v>
      </c>
      <c r="E4083" s="5" t="s">
        <v>130</v>
      </c>
      <c r="F4083" s="9">
        <v>66</v>
      </c>
      <c r="G4083" s="9">
        <v>687</v>
      </c>
      <c r="H4083" s="5" t="s">
        <v>20</v>
      </c>
      <c r="I4083" s="5" t="s">
        <v>9044</v>
      </c>
      <c r="J4083" s="12" t="str">
        <f>HYPERLINK("https://www.boe.es/gazeta/dias/1806/08/12/pdfs/GMD-1806-66.pdf#page=3","Abrir facsímil")</f>
        <v>Abrir facsímil</v>
      </c>
      <c r="K4083" s="15" t="s">
        <v>22</v>
      </c>
    </row>
    <row r="4084" spans="1:11" ht="42" customHeight="1">
      <c r="A4084" s="4" t="s">
        <v>9045</v>
      </c>
      <c r="B4084" s="5" t="s">
        <v>9046</v>
      </c>
      <c r="C4084" s="5" t="s">
        <v>69</v>
      </c>
      <c r="D4084" s="5" t="s">
        <v>70</v>
      </c>
      <c r="E4084" s="5" t="s">
        <v>1778</v>
      </c>
      <c r="F4084" s="9">
        <v>16</v>
      </c>
      <c r="G4084" s="9">
        <v>139</v>
      </c>
      <c r="H4084" s="5" t="s">
        <v>20</v>
      </c>
      <c r="I4084" s="5" t="s">
        <v>9047</v>
      </c>
      <c r="J4084" s="12" t="str">
        <f>HYPERLINK("https://www.boe.es/gazeta/dias/1806/02/18/pdfs/GMD-1806-16.pdf#page=3","Abrir facsímil")</f>
        <v>Abrir facsímil</v>
      </c>
      <c r="K4084" s="15" t="s">
        <v>22</v>
      </c>
    </row>
    <row r="4085" spans="1:11" ht="42" customHeight="1">
      <c r="A4085" s="4" t="s">
        <v>9045</v>
      </c>
      <c r="B4085" s="5" t="s">
        <v>9046</v>
      </c>
      <c r="C4085" s="5" t="s">
        <v>69</v>
      </c>
      <c r="D4085" s="5" t="s">
        <v>70</v>
      </c>
      <c r="E4085" s="5" t="s">
        <v>227</v>
      </c>
      <c r="F4085" s="9">
        <v>27</v>
      </c>
      <c r="G4085" s="9">
        <v>265</v>
      </c>
      <c r="H4085" s="5" t="s">
        <v>20</v>
      </c>
      <c r="I4085" s="5" t="s">
        <v>9048</v>
      </c>
      <c r="J4085" s="12" t="str">
        <f>HYPERLINK("https://www.boe.es/gazeta/dias/1806/03/28/pdfs/GMD-1806-27.pdf#page=5","Abrir facsímil")</f>
        <v>Abrir facsímil</v>
      </c>
      <c r="K4085" s="15" t="s">
        <v>22</v>
      </c>
    </row>
    <row r="4086" spans="1:11" ht="42" customHeight="1">
      <c r="A4086" s="4" t="s">
        <v>9045</v>
      </c>
      <c r="B4086" s="5" t="s">
        <v>9046</v>
      </c>
      <c r="C4086" s="5" t="s">
        <v>69</v>
      </c>
      <c r="D4086" s="5" t="s">
        <v>70</v>
      </c>
      <c r="E4086" s="5" t="s">
        <v>716</v>
      </c>
      <c r="F4086" s="9">
        <v>56</v>
      </c>
      <c r="G4086" s="9">
        <v>582</v>
      </c>
      <c r="H4086" s="5" t="s">
        <v>20</v>
      </c>
      <c r="I4086" s="5" t="s">
        <v>9049</v>
      </c>
      <c r="J4086" s="12" t="str">
        <f>HYPERLINK("https://www.boe.es/gazeta/dias/1806/07/08/pdfs/GMD-1806-56.pdf#page=6","Abrir facsímil")</f>
        <v>Abrir facsímil</v>
      </c>
      <c r="K4086" s="15" t="s">
        <v>22</v>
      </c>
    </row>
    <row r="4087" spans="1:11" ht="42" customHeight="1">
      <c r="A4087" s="4" t="s">
        <v>9045</v>
      </c>
      <c r="B4087" s="5" t="s">
        <v>9046</v>
      </c>
      <c r="C4087" s="5" t="s">
        <v>31</v>
      </c>
      <c r="D4087" s="5" t="s">
        <v>32</v>
      </c>
      <c r="E4087" s="5" t="s">
        <v>716</v>
      </c>
      <c r="F4087" s="9">
        <v>56</v>
      </c>
      <c r="G4087" s="9">
        <v>583</v>
      </c>
      <c r="H4087" s="5" t="s">
        <v>20</v>
      </c>
      <c r="I4087" s="5" t="s">
        <v>9050</v>
      </c>
      <c r="J4087" s="12" t="str">
        <f>HYPERLINK("https://www.boe.es/gazeta/dias/1806/07/08/pdfs/GMD-1806-56.pdf#page=7","Abrir facsímil")</f>
        <v>Abrir facsímil</v>
      </c>
      <c r="K4087" s="15" t="s">
        <v>22</v>
      </c>
    </row>
    <row r="4088" spans="1:11" ht="42" customHeight="1">
      <c r="A4088" s="4" t="s">
        <v>9045</v>
      </c>
      <c r="B4088" s="5" t="s">
        <v>9046</v>
      </c>
      <c r="C4088" s="5" t="s">
        <v>69</v>
      </c>
      <c r="D4088" s="5" t="s">
        <v>70</v>
      </c>
      <c r="E4088" s="5" t="s">
        <v>205</v>
      </c>
      <c r="F4088" s="9">
        <v>57</v>
      </c>
      <c r="G4088" s="9">
        <v>592</v>
      </c>
      <c r="H4088" s="5" t="s">
        <v>20</v>
      </c>
      <c r="I4088" s="5" t="s">
        <v>9051</v>
      </c>
      <c r="J4088" s="12" t="str">
        <f>HYPERLINK("https://www.boe.es/gazeta/dias/1806/07/11/pdfs/GMD-1806-57.pdf#page=4","Abrir facsímil")</f>
        <v>Abrir facsímil</v>
      </c>
      <c r="K4088" s="15" t="s">
        <v>22</v>
      </c>
    </row>
    <row r="4089" spans="1:11" ht="42" customHeight="1">
      <c r="A4089" s="4" t="s">
        <v>9045</v>
      </c>
      <c r="B4089" s="5" t="s">
        <v>9046</v>
      </c>
      <c r="C4089" s="5" t="s">
        <v>69</v>
      </c>
      <c r="D4089" s="5" t="s">
        <v>70</v>
      </c>
      <c r="E4089" s="5" t="s">
        <v>306</v>
      </c>
      <c r="F4089" s="9">
        <v>59</v>
      </c>
      <c r="G4089" s="9">
        <v>608</v>
      </c>
      <c r="H4089" s="5" t="s">
        <v>20</v>
      </c>
      <c r="I4089" s="5" t="s">
        <v>9052</v>
      </c>
      <c r="J4089" s="12" t="str">
        <f>HYPERLINK("https://www.boe.es/gazeta/dias/1806/07/18/pdfs/GMD-1806-59.pdf#page=4","Abrir facsímil")</f>
        <v>Abrir facsímil</v>
      </c>
      <c r="K4089" s="15" t="s">
        <v>22</v>
      </c>
    </row>
    <row r="4090" spans="1:11" ht="42" customHeight="1">
      <c r="A4090" s="4" t="s">
        <v>9045</v>
      </c>
      <c r="B4090" s="5" t="s">
        <v>9046</v>
      </c>
      <c r="C4090" s="5" t="s">
        <v>17</v>
      </c>
      <c r="D4090" s="5" t="s">
        <v>18</v>
      </c>
      <c r="E4090" s="5" t="s">
        <v>103</v>
      </c>
      <c r="F4090" s="9">
        <v>61</v>
      </c>
      <c r="G4090" s="9">
        <v>632</v>
      </c>
      <c r="H4090" s="5" t="s">
        <v>20</v>
      </c>
      <c r="I4090" s="5" t="s">
        <v>9053</v>
      </c>
      <c r="J4090" s="12" t="str">
        <f>HYPERLINK("https://www.boe.es/gazeta/dias/1806/07/25/pdfs/GMD-1806-61.pdf#page=4","Abrir facsímil")</f>
        <v>Abrir facsímil</v>
      </c>
      <c r="K4090" s="15" t="s">
        <v>22</v>
      </c>
    </row>
    <row r="4091" spans="1:11" ht="42" customHeight="1">
      <c r="A4091" s="4" t="s">
        <v>9045</v>
      </c>
      <c r="B4091" s="5" t="s">
        <v>9046</v>
      </c>
      <c r="C4091" s="5" t="s">
        <v>31</v>
      </c>
      <c r="D4091" s="5" t="s">
        <v>32</v>
      </c>
      <c r="E4091" s="5" t="s">
        <v>96</v>
      </c>
      <c r="F4091" s="9">
        <v>62</v>
      </c>
      <c r="G4091" s="9">
        <v>645</v>
      </c>
      <c r="H4091" s="5" t="s">
        <v>20</v>
      </c>
      <c r="I4091" s="5" t="s">
        <v>9054</v>
      </c>
      <c r="J4091" s="12" t="str">
        <f>HYPERLINK("https://www.boe.es/gazeta/dias/1806/07/29/pdfs/GMD-1806-62.pdf#page=5","Abrir facsímil")</f>
        <v>Abrir facsímil</v>
      </c>
      <c r="K4091" s="15" t="s">
        <v>22</v>
      </c>
    </row>
    <row r="4092" spans="1:11" ht="42" customHeight="1">
      <c r="A4092" s="4" t="s">
        <v>9045</v>
      </c>
      <c r="B4092" s="5" t="s">
        <v>9046</v>
      </c>
      <c r="C4092" s="5" t="s">
        <v>17</v>
      </c>
      <c r="D4092" s="5" t="s">
        <v>18</v>
      </c>
      <c r="E4092" s="5" t="s">
        <v>26</v>
      </c>
      <c r="F4092" s="9">
        <v>65</v>
      </c>
      <c r="G4092" s="9">
        <v>678</v>
      </c>
      <c r="H4092" s="5" t="s">
        <v>20</v>
      </c>
      <c r="I4092" s="5" t="s">
        <v>9055</v>
      </c>
      <c r="J4092" s="12" t="str">
        <f>HYPERLINK("https://www.boe.es/gazeta/dias/1806/08/08/pdfs/GMD-1806-65.pdf#page=6","Abrir facsímil")</f>
        <v>Abrir facsímil</v>
      </c>
      <c r="K4092" s="15" t="s">
        <v>22</v>
      </c>
    </row>
    <row r="4093" spans="1:11" ht="42" customHeight="1">
      <c r="A4093" s="4" t="s">
        <v>9045</v>
      </c>
      <c r="B4093" s="5" t="s">
        <v>9046</v>
      </c>
      <c r="C4093" s="5" t="s">
        <v>69</v>
      </c>
      <c r="D4093" s="5" t="s">
        <v>70</v>
      </c>
      <c r="E4093" s="5" t="s">
        <v>810</v>
      </c>
      <c r="F4093" s="9">
        <v>71</v>
      </c>
      <c r="G4093" s="9">
        <v>737</v>
      </c>
      <c r="H4093" s="5" t="s">
        <v>20</v>
      </c>
      <c r="I4093" s="5" t="s">
        <v>9056</v>
      </c>
      <c r="J4093" s="12" t="str">
        <f>HYPERLINK("https://www.boe.es/gazeta/dias/1806/08/29/pdfs/GMD-1806-71.pdf#page=5","Abrir facsímil")</f>
        <v>Abrir facsímil</v>
      </c>
      <c r="K4093" s="15" t="s">
        <v>22</v>
      </c>
    </row>
    <row r="4094" spans="1:11" ht="42" customHeight="1">
      <c r="A4094" s="4" t="s">
        <v>9057</v>
      </c>
      <c r="B4094" s="5" t="s">
        <v>9058</v>
      </c>
      <c r="C4094" s="5" t="s">
        <v>31</v>
      </c>
      <c r="D4094" s="5" t="s">
        <v>32</v>
      </c>
      <c r="E4094" s="5" t="s">
        <v>702</v>
      </c>
      <c r="F4094" s="9">
        <v>43</v>
      </c>
      <c r="G4094" s="9">
        <v>433</v>
      </c>
      <c r="H4094" s="5" t="s">
        <v>20</v>
      </c>
      <c r="I4094" s="5" t="s">
        <v>9059</v>
      </c>
      <c r="J4094" s="12" t="str">
        <f>HYPERLINK("https://www.boe.es/gazeta/dias/1806/05/23/pdfs/GMD-1806-43.pdf#page=9","Abrir facsímil")</f>
        <v>Abrir facsímil</v>
      </c>
      <c r="K4094" s="15" t="s">
        <v>22</v>
      </c>
    </row>
    <row r="4095" spans="1:11" ht="42" customHeight="1">
      <c r="A4095" s="4" t="s">
        <v>9060</v>
      </c>
      <c r="B4095" s="5" t="s">
        <v>9061</v>
      </c>
      <c r="C4095" s="5" t="s">
        <v>17</v>
      </c>
      <c r="D4095" s="5" t="s">
        <v>18</v>
      </c>
      <c r="E4095" s="5" t="s">
        <v>837</v>
      </c>
      <c r="F4095" s="9">
        <v>26</v>
      </c>
      <c r="G4095" s="9">
        <v>259</v>
      </c>
      <c r="H4095" s="5" t="s">
        <v>20</v>
      </c>
      <c r="I4095" s="5" t="s">
        <v>9062</v>
      </c>
      <c r="J4095" s="12" t="str">
        <f>HYPERLINK("https://www.boe.es/gazeta/dias/1806/03/25/pdfs/GMD-1806-26.pdf#page=11","Abrir facsímil")</f>
        <v>Abrir facsímil</v>
      </c>
      <c r="K4095" s="15" t="s">
        <v>22</v>
      </c>
    </row>
    <row r="4096" spans="1:11" ht="42" customHeight="1">
      <c r="A4096" s="4" t="s">
        <v>9063</v>
      </c>
      <c r="B4096" s="5" t="s">
        <v>9064</v>
      </c>
      <c r="C4096" s="5" t="s">
        <v>75</v>
      </c>
      <c r="D4096" s="5" t="s">
        <v>43</v>
      </c>
      <c r="E4096" s="5" t="s">
        <v>110</v>
      </c>
      <c r="F4096" s="9">
        <v>55</v>
      </c>
      <c r="G4096" s="9">
        <v>575</v>
      </c>
      <c r="H4096" s="5" t="s">
        <v>20</v>
      </c>
      <c r="I4096" s="5" t="s">
        <v>9065</v>
      </c>
      <c r="J4096" s="12" t="str">
        <f>HYPERLINK("https://www.boe.es/gazeta/dias/1806/07/04/pdfs/GMD-1806-55.pdf#page=11","Abrir facsímil")</f>
        <v>Abrir facsímil</v>
      </c>
      <c r="K4096" s="15" t="s">
        <v>22</v>
      </c>
    </row>
    <row r="4097" spans="1:11" ht="42" customHeight="1">
      <c r="A4097" s="4" t="s">
        <v>9066</v>
      </c>
      <c r="B4097" s="5" t="s">
        <v>9067</v>
      </c>
      <c r="C4097" s="5" t="s">
        <v>31</v>
      </c>
      <c r="D4097" s="5" t="s">
        <v>32</v>
      </c>
      <c r="E4097" s="5" t="s">
        <v>71</v>
      </c>
      <c r="F4097" s="9">
        <v>29</v>
      </c>
      <c r="G4097" s="9">
        <v>287</v>
      </c>
      <c r="H4097" s="5" t="s">
        <v>20</v>
      </c>
      <c r="I4097" s="5" t="s">
        <v>9068</v>
      </c>
      <c r="J4097" s="12" t="str">
        <f>HYPERLINK("https://www.boe.es/gazeta/dias/1806/04/04/pdfs/GMD-1806-29.pdf#page=7","Abrir facsímil")</f>
        <v>Abrir facsímil</v>
      </c>
      <c r="K4097" s="15" t="s">
        <v>22</v>
      </c>
    </row>
    <row r="4098" spans="1:11" ht="42" customHeight="1">
      <c r="A4098" s="4" t="s">
        <v>9069</v>
      </c>
      <c r="B4098" s="5" t="s">
        <v>9070</v>
      </c>
      <c r="C4098" s="5" t="s">
        <v>17</v>
      </c>
      <c r="D4098" s="5" t="s">
        <v>18</v>
      </c>
      <c r="E4098" s="5" t="s">
        <v>188</v>
      </c>
      <c r="F4098" s="9">
        <v>2</v>
      </c>
      <c r="G4098" s="9">
        <v>19</v>
      </c>
      <c r="H4098" s="5" t="s">
        <v>20</v>
      </c>
      <c r="I4098" s="5" t="s">
        <v>9071</v>
      </c>
      <c r="J4098" s="12" t="str">
        <f>HYPERLINK("https://www.boe.es/gazeta/dias/1806/01/07/pdfs/GMD-1806-2.pdf#page=7","Abrir facsímil")</f>
        <v>Abrir facsímil</v>
      </c>
      <c r="K4098" s="15" t="s">
        <v>22</v>
      </c>
    </row>
    <row r="4099" spans="1:11" ht="42" customHeight="1">
      <c r="A4099" s="4" t="s">
        <v>9072</v>
      </c>
      <c r="B4099" s="5" t="s">
        <v>9073</v>
      </c>
      <c r="C4099" s="5" t="s">
        <v>31</v>
      </c>
      <c r="D4099" s="5" t="s">
        <v>32</v>
      </c>
      <c r="E4099" s="5" t="s">
        <v>400</v>
      </c>
      <c r="F4099" s="9">
        <v>22</v>
      </c>
      <c r="G4099" s="9">
        <v>208</v>
      </c>
      <c r="H4099" s="5" t="s">
        <v>20</v>
      </c>
      <c r="I4099" s="5" t="s">
        <v>9074</v>
      </c>
      <c r="J4099" s="12" t="str">
        <f>HYPERLINK("https://www.boe.es/gazeta/dias/1806/03/11/pdfs/GMD-1806-22.pdf#page=8","Abrir facsímil")</f>
        <v>Abrir facsímil</v>
      </c>
      <c r="K4099" s="15" t="s">
        <v>22</v>
      </c>
    </row>
    <row r="4100" spans="1:11" ht="42" customHeight="1">
      <c r="A4100" s="4" t="s">
        <v>9075</v>
      </c>
      <c r="B4100" s="5" t="s">
        <v>9076</v>
      </c>
      <c r="C4100" s="5" t="s">
        <v>36</v>
      </c>
      <c r="D4100" s="5" t="s">
        <v>37</v>
      </c>
      <c r="E4100" s="5" t="s">
        <v>859</v>
      </c>
      <c r="F4100" s="9">
        <v>63</v>
      </c>
      <c r="G4100" s="9">
        <v>663</v>
      </c>
      <c r="H4100" s="5" t="s">
        <v>20</v>
      </c>
      <c r="I4100" s="5" t="s">
        <v>9077</v>
      </c>
      <c r="J4100" s="12" t="str">
        <f>HYPERLINK("https://www.boe.es/gazeta/dias/1806/08/01/pdfs/GMD-1806-63.pdf#page=11","Abrir facsímil")</f>
        <v>Abrir facsímil</v>
      </c>
      <c r="K4100" s="15" t="s">
        <v>22</v>
      </c>
    </row>
    <row r="4101" spans="1:11" ht="42" customHeight="1">
      <c r="A4101" s="4" t="s">
        <v>9078</v>
      </c>
      <c r="B4101" s="5" t="s">
        <v>9079</v>
      </c>
      <c r="C4101" s="5" t="s">
        <v>31</v>
      </c>
      <c r="D4101" s="5" t="s">
        <v>32</v>
      </c>
      <c r="E4101" s="5" t="s">
        <v>363</v>
      </c>
      <c r="F4101" s="9">
        <v>8</v>
      </c>
      <c r="G4101" s="9">
        <v>74</v>
      </c>
      <c r="H4101" s="5" t="s">
        <v>20</v>
      </c>
      <c r="I4101" s="5" t="s">
        <v>9080</v>
      </c>
      <c r="J4101" s="12" t="str">
        <f>HYPERLINK("https://www.boe.es/gazeta/dias/1806/01/24/pdfs/GMD-1806-8.pdf#page=6","Abrir facsímil")</f>
        <v>Abrir facsímil</v>
      </c>
      <c r="K4101" s="15" t="s">
        <v>22</v>
      </c>
    </row>
    <row r="4102" spans="1:11" ht="42" customHeight="1">
      <c r="A4102" s="4" t="s">
        <v>9081</v>
      </c>
      <c r="B4102" s="5" t="s">
        <v>9082</v>
      </c>
      <c r="C4102" s="5" t="s">
        <v>31</v>
      </c>
      <c r="D4102" s="5" t="s">
        <v>32</v>
      </c>
      <c r="E4102" s="5" t="s">
        <v>172</v>
      </c>
      <c r="F4102" s="9">
        <v>17</v>
      </c>
      <c r="G4102" s="9">
        <v>151</v>
      </c>
      <c r="H4102" s="5" t="s">
        <v>20</v>
      </c>
      <c r="I4102" s="5" t="s">
        <v>9083</v>
      </c>
      <c r="J4102" s="12" t="str">
        <f>HYPERLINK("https://www.boe.es/gazeta/dias/1806/02/21/pdfs/GMD-1806-17.pdf#page=7","Abrir facsímil")</f>
        <v>Abrir facsímil</v>
      </c>
      <c r="K4102" s="15" t="s">
        <v>22</v>
      </c>
    </row>
    <row r="4103" spans="1:11" ht="42" customHeight="1">
      <c r="A4103" s="4" t="s">
        <v>9084</v>
      </c>
      <c r="B4103" s="5" t="s">
        <v>9085</v>
      </c>
      <c r="C4103" s="5" t="s">
        <v>17</v>
      </c>
      <c r="D4103" s="5" t="s">
        <v>18</v>
      </c>
      <c r="E4103" s="5" t="s">
        <v>191</v>
      </c>
      <c r="F4103" s="9">
        <v>103</v>
      </c>
      <c r="G4103" s="9">
        <v>1098</v>
      </c>
      <c r="H4103" s="5" t="s">
        <v>20</v>
      </c>
      <c r="I4103" s="5" t="s">
        <v>9086</v>
      </c>
      <c r="J4103" s="12" t="str">
        <f>HYPERLINK("https://www.boe.es/gazeta/dias/1806/12/19/pdfs/GMD-1806-103.pdf#page=10","Abrir facsímil")</f>
        <v>Abrir facsímil</v>
      </c>
      <c r="K4103" s="15" t="s">
        <v>22</v>
      </c>
    </row>
    <row r="4104" spans="1:11" ht="42" customHeight="1">
      <c r="A4104" s="4" t="s">
        <v>9087</v>
      </c>
      <c r="B4104" s="5" t="s">
        <v>9088</v>
      </c>
      <c r="C4104" s="5" t="s">
        <v>31</v>
      </c>
      <c r="D4104" s="5" t="s">
        <v>32</v>
      </c>
      <c r="E4104" s="5" t="s">
        <v>297</v>
      </c>
      <c r="F4104" s="9">
        <v>94</v>
      </c>
      <c r="G4104" s="9">
        <v>989</v>
      </c>
      <c r="H4104" s="5" t="s">
        <v>20</v>
      </c>
      <c r="I4104" s="5" t="s">
        <v>9089</v>
      </c>
      <c r="J4104" s="12" t="str">
        <f>HYPERLINK("https://www.boe.es/gazeta/dias/1806/11/18/pdfs/GMD-1806-94.pdf#page=9","Abrir facsímil")</f>
        <v>Abrir facsímil</v>
      </c>
      <c r="K4104" s="15" t="s">
        <v>22</v>
      </c>
    </row>
    <row r="4105" spans="1:11" ht="42" customHeight="1">
      <c r="A4105" s="4" t="s">
        <v>9090</v>
      </c>
      <c r="B4105" s="5" t="s">
        <v>9091</v>
      </c>
      <c r="C4105" s="5" t="s">
        <v>31</v>
      </c>
      <c r="D4105" s="5" t="s">
        <v>32</v>
      </c>
      <c r="E4105" s="5" t="s">
        <v>297</v>
      </c>
      <c r="F4105" s="9">
        <v>94</v>
      </c>
      <c r="G4105" s="9">
        <v>989</v>
      </c>
      <c r="H4105" s="5" t="s">
        <v>20</v>
      </c>
      <c r="I4105" s="5" t="s">
        <v>9092</v>
      </c>
      <c r="J4105" s="12" t="str">
        <f>HYPERLINK("https://www.boe.es/gazeta/dias/1806/11/18/pdfs/GMD-1806-94.pdf#page=9","Abrir facsímil")</f>
        <v>Abrir facsímil</v>
      </c>
      <c r="K4105" s="15" t="s">
        <v>22</v>
      </c>
    </row>
    <row r="4106" spans="1:11" ht="42" customHeight="1">
      <c r="A4106" s="4" t="s">
        <v>9093</v>
      </c>
      <c r="B4106" s="5" t="s">
        <v>9094</v>
      </c>
      <c r="C4106" s="5" t="s">
        <v>69</v>
      </c>
      <c r="D4106" s="5" t="s">
        <v>70</v>
      </c>
      <c r="E4106" s="5" t="s">
        <v>501</v>
      </c>
      <c r="F4106" s="9">
        <v>39</v>
      </c>
      <c r="G4106" s="9">
        <v>381</v>
      </c>
      <c r="H4106" s="5" t="s">
        <v>20</v>
      </c>
      <c r="I4106" s="5" t="s">
        <v>9095</v>
      </c>
      <c r="J4106" s="12" t="str">
        <f>HYPERLINK("https://www.boe.es/gazeta/dias/1806/05/09/pdfs/GMD-1806-39.pdf#page=5","Abrir facsímil")</f>
        <v>Abrir facsímil</v>
      </c>
      <c r="K4106" s="15" t="s">
        <v>22</v>
      </c>
    </row>
    <row r="4107" spans="1:11" ht="42" customHeight="1">
      <c r="A4107" s="4" t="s">
        <v>9093</v>
      </c>
      <c r="B4107" s="5" t="s">
        <v>9094</v>
      </c>
      <c r="C4107" s="5" t="s">
        <v>17</v>
      </c>
      <c r="D4107" s="5" t="s">
        <v>18</v>
      </c>
      <c r="E4107" s="5" t="s">
        <v>185</v>
      </c>
      <c r="F4107" s="9">
        <v>46</v>
      </c>
      <c r="G4107" s="9">
        <v>466</v>
      </c>
      <c r="H4107" s="5" t="s">
        <v>20</v>
      </c>
      <c r="I4107" s="5" t="s">
        <v>9096</v>
      </c>
      <c r="J4107" s="12" t="str">
        <f>HYPERLINK("https://www.boe.es/gazeta/dias/1806/06/03/pdfs/GMD-1806-46.pdf#page=6","Abrir facsímil")</f>
        <v>Abrir facsímil</v>
      </c>
      <c r="K4107" s="15" t="s">
        <v>22</v>
      </c>
    </row>
    <row r="4108" spans="1:11" ht="42" customHeight="1">
      <c r="A4108" s="4" t="s">
        <v>9093</v>
      </c>
      <c r="B4108" s="5" t="s">
        <v>9094</v>
      </c>
      <c r="C4108" s="5" t="s">
        <v>17</v>
      </c>
      <c r="D4108" s="5" t="s">
        <v>18</v>
      </c>
      <c r="E4108" s="5" t="s">
        <v>86</v>
      </c>
      <c r="F4108" s="9">
        <v>53</v>
      </c>
      <c r="G4108" s="9">
        <v>552</v>
      </c>
      <c r="H4108" s="5" t="s">
        <v>20</v>
      </c>
      <c r="I4108" s="5" t="s">
        <v>9097</v>
      </c>
      <c r="J4108" s="12" t="str">
        <f>HYPERLINK("https://www.boe.es/gazeta/dias/1806/06/27/pdfs/GMD-1806-53.pdf#page=8","Abrir facsímil")</f>
        <v>Abrir facsímil</v>
      </c>
      <c r="K4108" s="15" t="s">
        <v>22</v>
      </c>
    </row>
    <row r="4109" spans="1:11" ht="42" customHeight="1">
      <c r="A4109" s="4" t="s">
        <v>9098</v>
      </c>
      <c r="B4109" s="5" t="s">
        <v>9099</v>
      </c>
      <c r="C4109" s="5" t="s">
        <v>17</v>
      </c>
      <c r="D4109" s="5" t="s">
        <v>18</v>
      </c>
      <c r="E4109" s="5" t="s">
        <v>118</v>
      </c>
      <c r="F4109" s="9">
        <v>15</v>
      </c>
      <c r="G4109" s="9">
        <v>134</v>
      </c>
      <c r="H4109" s="5" t="s">
        <v>20</v>
      </c>
      <c r="I4109" s="5" t="s">
        <v>9100</v>
      </c>
      <c r="J4109" s="12" t="str">
        <f>HYPERLINK("https://www.boe.es/gazeta/dias/1806/02/14/pdfs/GMD-1806-15.pdf#page=10","Abrir facsímil")</f>
        <v>Abrir facsímil</v>
      </c>
      <c r="K4109" s="15" t="s">
        <v>22</v>
      </c>
    </row>
    <row r="4110" spans="1:11" ht="42" customHeight="1">
      <c r="A4110" s="4" t="s">
        <v>9101</v>
      </c>
      <c r="B4110" s="5" t="s">
        <v>9102</v>
      </c>
      <c r="C4110" s="5" t="s">
        <v>75</v>
      </c>
      <c r="D4110" s="5" t="s">
        <v>43</v>
      </c>
      <c r="E4110" s="5" t="s">
        <v>306</v>
      </c>
      <c r="F4110" s="9">
        <v>59</v>
      </c>
      <c r="G4110" s="9">
        <v>613</v>
      </c>
      <c r="H4110" s="5" t="s">
        <v>20</v>
      </c>
      <c r="I4110" s="5" t="s">
        <v>9103</v>
      </c>
      <c r="J4110" s="12" t="str">
        <f>HYPERLINK("https://www.boe.es/gazeta/dias/1806/07/18/pdfs/GMD-1806-59.pdf#page=9","Abrir facsímil")</f>
        <v>Abrir facsímil</v>
      </c>
      <c r="K4110" s="15" t="s">
        <v>22</v>
      </c>
    </row>
    <row r="4111" spans="1:11" ht="42" customHeight="1">
      <c r="A4111" s="4" t="s">
        <v>9104</v>
      </c>
      <c r="B4111" s="5" t="s">
        <v>9105</v>
      </c>
      <c r="C4111" s="5" t="s">
        <v>447</v>
      </c>
      <c r="D4111" s="5" t="s">
        <v>448</v>
      </c>
      <c r="E4111" s="5" t="s">
        <v>304</v>
      </c>
      <c r="F4111" s="9">
        <v>47</v>
      </c>
      <c r="G4111" s="9">
        <v>483</v>
      </c>
      <c r="H4111" s="5" t="s">
        <v>20</v>
      </c>
      <c r="I4111" s="5" t="s">
        <v>9106</v>
      </c>
      <c r="J4111" s="12" t="str">
        <f>HYPERLINK("https://www.boe.es/gazeta/dias/1806/06/06/pdfs/GMD-C-1806-47.pdf#page=3","Abrir facsímil")</f>
        <v>Abrir facsímil</v>
      </c>
      <c r="K4111" s="15" t="s">
        <v>22</v>
      </c>
    </row>
    <row r="4112" spans="1:11" ht="42" customHeight="1">
      <c r="A4112" s="4" t="s">
        <v>9107</v>
      </c>
      <c r="B4112" s="5" t="s">
        <v>9108</v>
      </c>
      <c r="C4112" s="5" t="s">
        <v>36</v>
      </c>
      <c r="D4112" s="5" t="s">
        <v>37</v>
      </c>
      <c r="E4112" s="5" t="s">
        <v>165</v>
      </c>
      <c r="F4112" s="9">
        <v>101</v>
      </c>
      <c r="G4112" s="9">
        <v>1075</v>
      </c>
      <c r="H4112" s="5" t="s">
        <v>20</v>
      </c>
      <c r="I4112" s="5" t="s">
        <v>9109</v>
      </c>
      <c r="J4112" s="12" t="str">
        <f>HYPERLINK("https://www.boe.es/gazeta/dias/1806/12/12/pdfs/GMD-1806-101.pdf#page=7","Abrir facsímil")</f>
        <v>Abrir facsímil</v>
      </c>
      <c r="K4112" s="15" t="s">
        <v>22</v>
      </c>
    </row>
    <row r="4113" spans="1:11" ht="42" customHeight="1">
      <c r="A4113" s="4" t="s">
        <v>9110</v>
      </c>
      <c r="B4113" s="5" t="s">
        <v>9110</v>
      </c>
      <c r="C4113" s="5" t="s">
        <v>31</v>
      </c>
      <c r="D4113" s="5" t="s">
        <v>32</v>
      </c>
      <c r="E4113" s="5" t="s">
        <v>285</v>
      </c>
      <c r="F4113" s="9">
        <v>13</v>
      </c>
      <c r="G4113" s="9">
        <v>112</v>
      </c>
      <c r="H4113" s="5" t="s">
        <v>20</v>
      </c>
      <c r="I4113" s="5" t="s">
        <v>9111</v>
      </c>
      <c r="J4113" s="12" t="str">
        <f>HYPERLINK("https://www.boe.es/gazeta/dias/1806/02/07/pdfs/GMD-1806-13.pdf#page=4","Abrir facsímil")</f>
        <v>Abrir facsímil</v>
      </c>
      <c r="K4113" s="15" t="s">
        <v>22</v>
      </c>
    </row>
    <row r="4114" spans="1:11" ht="42" customHeight="1">
      <c r="A4114" s="4" t="s">
        <v>9112</v>
      </c>
      <c r="B4114" s="5" t="s">
        <v>9112</v>
      </c>
      <c r="C4114" s="5" t="s">
        <v>69</v>
      </c>
      <c r="D4114" s="5" t="s">
        <v>70</v>
      </c>
      <c r="E4114" s="5" t="s">
        <v>96</v>
      </c>
      <c r="F4114" s="9">
        <v>62</v>
      </c>
      <c r="G4114" s="9">
        <v>647</v>
      </c>
      <c r="H4114" s="5" t="s">
        <v>20</v>
      </c>
      <c r="I4114" s="5" t="s">
        <v>9113</v>
      </c>
      <c r="J4114" s="12" t="str">
        <f>HYPERLINK("https://www.boe.es/gazeta/dias/1806/07/29/pdfs/GMD-1806-62.pdf#page=7","Abrir facsímil")</f>
        <v>Abrir facsímil</v>
      </c>
      <c r="K4114" s="15" t="s">
        <v>22</v>
      </c>
    </row>
    <row r="4115" spans="1:11" ht="42" customHeight="1">
      <c r="A4115" s="4" t="s">
        <v>9114</v>
      </c>
      <c r="B4115" s="5" t="s">
        <v>9115</v>
      </c>
      <c r="C4115" s="5" t="s">
        <v>31</v>
      </c>
      <c r="D4115" s="5" t="s">
        <v>32</v>
      </c>
      <c r="E4115" s="5" t="s">
        <v>312</v>
      </c>
      <c r="F4115" s="9">
        <v>100</v>
      </c>
      <c r="G4115" s="9">
        <v>1065</v>
      </c>
      <c r="H4115" s="5" t="s">
        <v>20</v>
      </c>
      <c r="I4115" s="5" t="s">
        <v>9116</v>
      </c>
      <c r="J4115" s="12" t="str">
        <f>HYPERLINK("https://www.boe.es/gazeta/dias/1806/12/09/pdfs/GMD-1806-100.pdf#page=9","Abrir facsímil")</f>
        <v>Abrir facsímil</v>
      </c>
      <c r="K4115" s="15" t="s">
        <v>22</v>
      </c>
    </row>
    <row r="4116" spans="1:11" ht="42" customHeight="1">
      <c r="A4116" s="4" t="s">
        <v>9117</v>
      </c>
      <c r="B4116" s="5" t="s">
        <v>9118</v>
      </c>
      <c r="C4116" s="5" t="s">
        <v>31</v>
      </c>
      <c r="D4116" s="5" t="s">
        <v>32</v>
      </c>
      <c r="E4116" s="5" t="s">
        <v>48</v>
      </c>
      <c r="F4116" s="9">
        <v>67</v>
      </c>
      <c r="G4116" s="9">
        <v>699</v>
      </c>
      <c r="H4116" s="5" t="s">
        <v>20</v>
      </c>
      <c r="I4116" s="5" t="s">
        <v>9119</v>
      </c>
      <c r="J4116" s="12" t="str">
        <f>HYPERLINK("https://www.boe.es/gazeta/dias/1806/08/15/pdfs/GMD-1806-67.pdf#page=7","Abrir facsímil")</f>
        <v>Abrir facsímil</v>
      </c>
      <c r="K4116" s="15" t="s">
        <v>22</v>
      </c>
    </row>
    <row r="4117" spans="1:11" ht="42" customHeight="1">
      <c r="A4117" s="4" t="s">
        <v>9120</v>
      </c>
      <c r="B4117" s="5" t="s">
        <v>9121</v>
      </c>
      <c r="C4117" s="5" t="s">
        <v>31</v>
      </c>
      <c r="D4117" s="5" t="s">
        <v>32</v>
      </c>
      <c r="E4117" s="5" t="s">
        <v>118</v>
      </c>
      <c r="F4117" s="9">
        <v>15</v>
      </c>
      <c r="G4117" s="9">
        <v>134</v>
      </c>
      <c r="H4117" s="5" t="s">
        <v>20</v>
      </c>
      <c r="I4117" s="5" t="s">
        <v>9122</v>
      </c>
      <c r="J4117" s="12" t="str">
        <f>HYPERLINK("https://www.boe.es/gazeta/dias/1806/02/14/pdfs/GMD-1806-15.pdf#page=10","Abrir facsímil")</f>
        <v>Abrir facsímil</v>
      </c>
      <c r="K4117" s="15" t="s">
        <v>22</v>
      </c>
    </row>
    <row r="4118" spans="1:11" ht="42" customHeight="1">
      <c r="A4118" s="4" t="s">
        <v>9123</v>
      </c>
      <c r="B4118" s="5" t="s">
        <v>9124</v>
      </c>
      <c r="C4118" s="5" t="s">
        <v>36</v>
      </c>
      <c r="D4118" s="5" t="s">
        <v>37</v>
      </c>
      <c r="E4118" s="5" t="s">
        <v>28</v>
      </c>
      <c r="F4118" s="9">
        <v>102</v>
      </c>
      <c r="G4118" s="9">
        <v>1087</v>
      </c>
      <c r="H4118" s="5" t="s">
        <v>20</v>
      </c>
      <c r="I4118" s="5" t="s">
        <v>9125</v>
      </c>
      <c r="J4118" s="12" t="str">
        <f>HYPERLINK("https://www.boe.es/gazeta/dias/1806/12/16/pdfs/GMD-1806-102.pdf#page=11","Abrir facsímil")</f>
        <v>Abrir facsímil</v>
      </c>
      <c r="K4118" s="15" t="s">
        <v>22</v>
      </c>
    </row>
    <row r="4119" spans="1:11" ht="42" customHeight="1">
      <c r="A4119" s="4" t="s">
        <v>9126</v>
      </c>
      <c r="B4119" s="5" t="s">
        <v>9127</v>
      </c>
      <c r="C4119" s="5" t="s">
        <v>17</v>
      </c>
      <c r="D4119" s="5" t="s">
        <v>18</v>
      </c>
      <c r="E4119" s="5" t="s">
        <v>455</v>
      </c>
      <c r="F4119" s="9">
        <v>85</v>
      </c>
      <c r="G4119" s="9">
        <v>884</v>
      </c>
      <c r="H4119" s="5" t="s">
        <v>20</v>
      </c>
      <c r="I4119" s="5" t="s">
        <v>9128</v>
      </c>
      <c r="J4119" s="12" t="str">
        <f>HYPERLINK("https://www.boe.es/gazeta/dias/1806/10/17/pdfs/GMD-1806-85.pdf#page=12","Abrir facsímil")</f>
        <v>Abrir facsímil</v>
      </c>
      <c r="K4119" s="15" t="s">
        <v>22</v>
      </c>
    </row>
    <row r="4120" spans="1:11" ht="42" customHeight="1">
      <c r="A4120" s="4" t="s">
        <v>9129</v>
      </c>
      <c r="B4120" s="5" t="s">
        <v>9130</v>
      </c>
      <c r="C4120" s="5" t="s">
        <v>69</v>
      </c>
      <c r="D4120" s="5" t="s">
        <v>70</v>
      </c>
      <c r="E4120" s="5" t="s">
        <v>540</v>
      </c>
      <c r="F4120" s="9">
        <v>51</v>
      </c>
      <c r="G4120" s="9">
        <v>524</v>
      </c>
      <c r="H4120" s="5" t="s">
        <v>20</v>
      </c>
      <c r="I4120" s="5" t="s">
        <v>9131</v>
      </c>
      <c r="J4120" s="12" t="str">
        <f>HYPERLINK("https://www.boe.es/gazeta/dias/1806/06/20/pdfs/GMD-1806-51.pdf#page=4","Abrir facsímil")</f>
        <v>Abrir facsímil</v>
      </c>
      <c r="K4120" s="15" t="s">
        <v>22</v>
      </c>
    </row>
    <row r="4121" spans="1:11" ht="42" customHeight="1">
      <c r="A4121" s="4" t="s">
        <v>9132</v>
      </c>
      <c r="B4121" s="5" t="s">
        <v>9133</v>
      </c>
      <c r="C4121" s="5" t="s">
        <v>31</v>
      </c>
      <c r="D4121" s="5" t="s">
        <v>32</v>
      </c>
      <c r="E4121" s="5" t="s">
        <v>367</v>
      </c>
      <c r="F4121" s="9">
        <v>87</v>
      </c>
      <c r="G4121" s="9">
        <v>897</v>
      </c>
      <c r="H4121" s="5" t="s">
        <v>20</v>
      </c>
      <c r="I4121" s="5" t="s">
        <v>9134</v>
      </c>
      <c r="J4121" s="12" t="str">
        <f>HYPERLINK("https://www.boe.es/gazeta/dias/1806/10/24/pdfs/GMD-1806-87.pdf#page=5","Abrir facsímil")</f>
        <v>Abrir facsímil</v>
      </c>
      <c r="K4121" s="15" t="s">
        <v>22</v>
      </c>
    </row>
    <row r="4122" spans="1:11" ht="42" customHeight="1">
      <c r="A4122" s="4" t="s">
        <v>9135</v>
      </c>
      <c r="B4122" s="5" t="s">
        <v>9136</v>
      </c>
      <c r="C4122" s="5" t="s">
        <v>69</v>
      </c>
      <c r="D4122" s="5" t="s">
        <v>70</v>
      </c>
      <c r="E4122" s="5" t="s">
        <v>340</v>
      </c>
      <c r="F4122" s="9">
        <v>31</v>
      </c>
      <c r="G4122" s="9">
        <v>303</v>
      </c>
      <c r="H4122" s="5" t="s">
        <v>20</v>
      </c>
      <c r="I4122" s="5" t="s">
        <v>9137</v>
      </c>
      <c r="J4122" s="12" t="str">
        <f>HYPERLINK("https://www.boe.es/gazeta/dias/1806/04/11/pdfs/GMD-1806-31.pdf#page=7","Abrir facsímil")</f>
        <v>Abrir facsímil</v>
      </c>
      <c r="K4122" s="15" t="s">
        <v>22</v>
      </c>
    </row>
    <row r="4123" spans="1:11" ht="42" customHeight="1">
      <c r="A4123" s="4" t="s">
        <v>9135</v>
      </c>
      <c r="B4123" s="5" t="s">
        <v>9136</v>
      </c>
      <c r="C4123" s="5" t="s">
        <v>69</v>
      </c>
      <c r="D4123" s="5" t="s">
        <v>70</v>
      </c>
      <c r="E4123" s="5" t="s">
        <v>130</v>
      </c>
      <c r="F4123" s="9">
        <v>66</v>
      </c>
      <c r="G4123" s="9">
        <v>688</v>
      </c>
      <c r="H4123" s="5" t="s">
        <v>20</v>
      </c>
      <c r="I4123" s="5" t="s">
        <v>9138</v>
      </c>
      <c r="J4123" s="12" t="str">
        <f>HYPERLINK("https://www.boe.es/gazeta/dias/1806/08/12/pdfs/GMD-1806-66.pdf#page=4","Abrir facsímil")</f>
        <v>Abrir facsímil</v>
      </c>
      <c r="K4123" s="15" t="s">
        <v>22</v>
      </c>
    </row>
    <row r="4124" spans="1:11" ht="42" customHeight="1">
      <c r="A4124" s="4" t="s">
        <v>9135</v>
      </c>
      <c r="B4124" s="5" t="s">
        <v>9136</v>
      </c>
      <c r="C4124" s="5" t="s">
        <v>69</v>
      </c>
      <c r="D4124" s="5" t="s">
        <v>70</v>
      </c>
      <c r="E4124" s="5" t="s">
        <v>79</v>
      </c>
      <c r="F4124" s="9">
        <v>68</v>
      </c>
      <c r="G4124" s="9">
        <v>708</v>
      </c>
      <c r="H4124" s="5" t="s">
        <v>20</v>
      </c>
      <c r="I4124" s="5" t="s">
        <v>9139</v>
      </c>
      <c r="J4124" s="12" t="str">
        <f>HYPERLINK("https://www.boe.es/gazeta/dias/1806/08/19/pdfs/GMD-1806-68.pdf#page=4","Abrir facsímil")</f>
        <v>Abrir facsímil</v>
      </c>
      <c r="K4124" s="15" t="s">
        <v>22</v>
      </c>
    </row>
    <row r="4125" spans="1:11" ht="42" customHeight="1">
      <c r="A4125" s="4" t="s">
        <v>9135</v>
      </c>
      <c r="B4125" s="5" t="s">
        <v>9136</v>
      </c>
      <c r="C4125" s="5" t="s">
        <v>69</v>
      </c>
      <c r="D4125" s="5" t="s">
        <v>70</v>
      </c>
      <c r="E4125" s="5" t="s">
        <v>33</v>
      </c>
      <c r="F4125" s="9">
        <v>82</v>
      </c>
      <c r="G4125" s="9">
        <v>846</v>
      </c>
      <c r="H4125" s="5" t="s">
        <v>20</v>
      </c>
      <c r="I4125" s="5" t="s">
        <v>9140</v>
      </c>
      <c r="J4125" s="12" t="str">
        <f>HYPERLINK("https://www.boe.es/gazeta/dias/1806/10/07/pdfs/GMD-1806-82.pdf#page=6","Abrir facsímil")</f>
        <v>Abrir facsímil</v>
      </c>
      <c r="K4125" s="15" t="s">
        <v>22</v>
      </c>
    </row>
    <row r="4126" spans="1:11" ht="42" customHeight="1">
      <c r="A4126" s="4" t="s">
        <v>9135</v>
      </c>
      <c r="B4126" s="5" t="s">
        <v>9136</v>
      </c>
      <c r="C4126" s="5" t="s">
        <v>69</v>
      </c>
      <c r="D4126" s="5" t="s">
        <v>70</v>
      </c>
      <c r="E4126" s="5" t="s">
        <v>455</v>
      </c>
      <c r="F4126" s="9">
        <v>85</v>
      </c>
      <c r="G4126" s="9">
        <v>879</v>
      </c>
      <c r="H4126" s="5" t="s">
        <v>20</v>
      </c>
      <c r="I4126" s="5" t="s">
        <v>9141</v>
      </c>
      <c r="J4126" s="12" t="str">
        <f>HYPERLINK("https://www.boe.es/gazeta/dias/1806/10/17/pdfs/GMD-1806-85.pdf#page=7","Abrir facsímil")</f>
        <v>Abrir facsímil</v>
      </c>
      <c r="K4126" s="15" t="s">
        <v>22</v>
      </c>
    </row>
    <row r="4127" spans="1:11" ht="42" customHeight="1">
      <c r="A4127" s="4" t="s">
        <v>9135</v>
      </c>
      <c r="B4127" s="5" t="s">
        <v>9136</v>
      </c>
      <c r="C4127" s="5" t="s">
        <v>69</v>
      </c>
      <c r="D4127" s="5" t="s">
        <v>70</v>
      </c>
      <c r="E4127" s="5" t="s">
        <v>554</v>
      </c>
      <c r="F4127" s="9">
        <v>90</v>
      </c>
      <c r="G4127" s="9">
        <v>926</v>
      </c>
      <c r="H4127" s="5" t="s">
        <v>20</v>
      </c>
      <c r="I4127" s="5" t="s">
        <v>9142</v>
      </c>
      <c r="J4127" s="12" t="str">
        <f>HYPERLINK("https://www.boe.es/gazeta/dias/1806/11/04/pdfs/GMD-1806-90.pdf#page=2","Abrir facsímil")</f>
        <v>Abrir facsímil</v>
      </c>
      <c r="K4127" s="15" t="s">
        <v>22</v>
      </c>
    </row>
    <row r="4128" spans="1:11" ht="42" customHeight="1">
      <c r="A4128" s="4" t="s">
        <v>9135</v>
      </c>
      <c r="B4128" s="5" t="s">
        <v>9136</v>
      </c>
      <c r="C4128" s="5" t="s">
        <v>69</v>
      </c>
      <c r="D4128" s="5" t="s">
        <v>70</v>
      </c>
      <c r="E4128" s="5" t="s">
        <v>312</v>
      </c>
      <c r="F4128" s="9">
        <v>100</v>
      </c>
      <c r="G4128" s="9">
        <v>1060</v>
      </c>
      <c r="H4128" s="5" t="s">
        <v>20</v>
      </c>
      <c r="I4128" s="5" t="s">
        <v>9143</v>
      </c>
      <c r="J4128" s="12" t="str">
        <f>HYPERLINK("https://www.boe.es/gazeta/dias/1806/12/09/pdfs/GMD-1806-100.pdf#page=4","Abrir facsímil")</f>
        <v>Abrir facsímil</v>
      </c>
      <c r="K4128" s="15" t="s">
        <v>22</v>
      </c>
    </row>
    <row r="4129" spans="1:11" ht="42" customHeight="1">
      <c r="A4129" s="4" t="s">
        <v>9144</v>
      </c>
      <c r="B4129" s="5" t="s">
        <v>9145</v>
      </c>
      <c r="C4129" s="5" t="s">
        <v>69</v>
      </c>
      <c r="D4129" s="5" t="s">
        <v>70</v>
      </c>
      <c r="E4129" s="5" t="s">
        <v>110</v>
      </c>
      <c r="F4129" s="9">
        <v>55</v>
      </c>
      <c r="G4129" s="9">
        <v>569</v>
      </c>
      <c r="H4129" s="5" t="s">
        <v>20</v>
      </c>
      <c r="I4129" s="5" t="s">
        <v>9146</v>
      </c>
      <c r="J4129" s="12" t="str">
        <f>HYPERLINK("https://www.boe.es/gazeta/dias/1806/07/04/pdfs/GMD-1806-55.pdf#page=5","Abrir facsímil")</f>
        <v>Abrir facsímil</v>
      </c>
      <c r="K4129" s="15" t="s">
        <v>22</v>
      </c>
    </row>
    <row r="4130" spans="1:11" ht="42" customHeight="1">
      <c r="A4130" s="4" t="s">
        <v>9147</v>
      </c>
      <c r="B4130" s="5" t="s">
        <v>9147</v>
      </c>
      <c r="C4130" s="5" t="s">
        <v>31</v>
      </c>
      <c r="D4130" s="5" t="s">
        <v>32</v>
      </c>
      <c r="E4130" s="5" t="s">
        <v>227</v>
      </c>
      <c r="F4130" s="9">
        <v>27</v>
      </c>
      <c r="G4130" s="9">
        <v>270</v>
      </c>
      <c r="H4130" s="5" t="s">
        <v>20</v>
      </c>
      <c r="I4130" s="5" t="s">
        <v>9148</v>
      </c>
      <c r="J4130" s="12" t="str">
        <f>HYPERLINK("https://www.boe.es/gazeta/dias/1806/03/28/pdfs/GMD-1806-27.pdf#page=10","Abrir facsímil")</f>
        <v>Abrir facsímil</v>
      </c>
      <c r="K4130" s="15" t="s">
        <v>22</v>
      </c>
    </row>
    <row r="4131" spans="1:11" ht="42" customHeight="1">
      <c r="A4131" s="4" t="s">
        <v>9149</v>
      </c>
      <c r="B4131" s="5" t="s">
        <v>9149</v>
      </c>
      <c r="C4131" s="5" t="s">
        <v>31</v>
      </c>
      <c r="D4131" s="5" t="s">
        <v>32</v>
      </c>
      <c r="E4131" s="5" t="s">
        <v>205</v>
      </c>
      <c r="F4131" s="9">
        <v>57</v>
      </c>
      <c r="G4131" s="9">
        <v>596</v>
      </c>
      <c r="H4131" s="5" t="s">
        <v>20</v>
      </c>
      <c r="I4131" s="5" t="s">
        <v>9150</v>
      </c>
      <c r="J4131" s="12" t="str">
        <f>HYPERLINK("https://www.boe.es/gazeta/dias/1806/07/11/pdfs/GMD-1806-57.pdf#page=8","Abrir facsímil")</f>
        <v>Abrir facsímil</v>
      </c>
      <c r="K4131" s="15" t="s">
        <v>22</v>
      </c>
    </row>
    <row r="4132" spans="1:11" ht="42" customHeight="1">
      <c r="A4132" s="4" t="s">
        <v>9151</v>
      </c>
      <c r="B4132" s="5" t="s">
        <v>9151</v>
      </c>
      <c r="C4132" s="5" t="s">
        <v>31</v>
      </c>
      <c r="D4132" s="5" t="s">
        <v>32</v>
      </c>
      <c r="E4132" s="5" t="s">
        <v>110</v>
      </c>
      <c r="F4132" s="9">
        <v>55</v>
      </c>
      <c r="G4132" s="9">
        <v>574</v>
      </c>
      <c r="H4132" s="5" t="s">
        <v>20</v>
      </c>
      <c r="I4132" s="5" t="s">
        <v>9152</v>
      </c>
      <c r="J4132" s="12" t="str">
        <f>HYPERLINK("https://www.boe.es/gazeta/dias/1806/07/04/pdfs/GMD-1806-55.pdf#page=10","Abrir facsímil")</f>
        <v>Abrir facsímil</v>
      </c>
      <c r="K4132" s="15" t="s">
        <v>22</v>
      </c>
    </row>
    <row r="4133" spans="1:11" ht="42" customHeight="1">
      <c r="A4133" s="4" t="s">
        <v>9151</v>
      </c>
      <c r="B4133" s="5" t="s">
        <v>9151</v>
      </c>
      <c r="C4133" s="5" t="s">
        <v>31</v>
      </c>
      <c r="D4133" s="5" t="s">
        <v>32</v>
      </c>
      <c r="E4133" s="5" t="s">
        <v>79</v>
      </c>
      <c r="F4133" s="9">
        <v>68</v>
      </c>
      <c r="G4133" s="9">
        <v>711</v>
      </c>
      <c r="H4133" s="5" t="s">
        <v>20</v>
      </c>
      <c r="I4133" s="5" t="s">
        <v>9153</v>
      </c>
      <c r="J4133" s="12" t="str">
        <f>HYPERLINK("https://www.boe.es/gazeta/dias/1806/08/19/pdfs/GMD-1806-68.pdf#page=7","Abrir facsímil")</f>
        <v>Abrir facsímil</v>
      </c>
      <c r="K4133" s="15" t="s">
        <v>22</v>
      </c>
    </row>
    <row r="4134" spans="1:11" ht="42" customHeight="1">
      <c r="A4134" s="4" t="s">
        <v>9151</v>
      </c>
      <c r="B4134" s="5" t="s">
        <v>9151</v>
      </c>
      <c r="C4134" s="5" t="s">
        <v>31</v>
      </c>
      <c r="D4134" s="5" t="s">
        <v>32</v>
      </c>
      <c r="E4134" s="5" t="s">
        <v>148</v>
      </c>
      <c r="F4134" s="9">
        <v>78</v>
      </c>
      <c r="G4134" s="9">
        <v>805</v>
      </c>
      <c r="H4134" s="5" t="s">
        <v>20</v>
      </c>
      <c r="I4134" s="5" t="s">
        <v>9154</v>
      </c>
      <c r="J4134" s="12" t="str">
        <f>HYPERLINK("https://www.boe.es/gazeta/dias/1806/09/23/pdfs/GMD-1806-78.pdf#page=9","Abrir facsímil")</f>
        <v>Abrir facsímil</v>
      </c>
      <c r="K4134" s="15" t="s">
        <v>22</v>
      </c>
    </row>
    <row r="4135" spans="1:11" ht="42" customHeight="1">
      <c r="A4135" s="4" t="s">
        <v>9151</v>
      </c>
      <c r="B4135" s="5" t="s">
        <v>9151</v>
      </c>
      <c r="C4135" s="5" t="s">
        <v>42</v>
      </c>
      <c r="D4135" s="5" t="s">
        <v>43</v>
      </c>
      <c r="E4135" s="5" t="s">
        <v>144</v>
      </c>
      <c r="F4135" s="9">
        <v>79</v>
      </c>
      <c r="G4135" s="9">
        <v>819</v>
      </c>
      <c r="H4135" s="5" t="s">
        <v>20</v>
      </c>
      <c r="I4135" s="5" t="s">
        <v>9155</v>
      </c>
      <c r="J4135" s="12" t="str">
        <f>HYPERLINK("https://www.boe.es/gazeta/dias/1806/09/26/pdfs/GMD-1806-79.pdf#page=11","Abrir facsímil")</f>
        <v>Abrir facsímil</v>
      </c>
      <c r="K4135" s="15" t="s">
        <v>22</v>
      </c>
    </row>
    <row r="4136" spans="1:11" ht="42" customHeight="1">
      <c r="A4136" s="4" t="s">
        <v>9151</v>
      </c>
      <c r="B4136" s="5" t="s">
        <v>9151</v>
      </c>
      <c r="C4136" s="5" t="s">
        <v>31</v>
      </c>
      <c r="D4136" s="5" t="s">
        <v>32</v>
      </c>
      <c r="E4136" s="5" t="s">
        <v>367</v>
      </c>
      <c r="F4136" s="9">
        <v>87</v>
      </c>
      <c r="G4136" s="9">
        <v>902</v>
      </c>
      <c r="H4136" s="5" t="s">
        <v>20</v>
      </c>
      <c r="I4136" s="5" t="s">
        <v>9156</v>
      </c>
      <c r="J4136" s="12" t="str">
        <f>HYPERLINK("https://www.boe.es/gazeta/dias/1806/10/24/pdfs/GMD-1806-87.pdf#page=10","Abrir facsímil")</f>
        <v>Abrir facsímil</v>
      </c>
      <c r="K4136" s="15" t="s">
        <v>22</v>
      </c>
    </row>
    <row r="4137" spans="1:11" ht="42" customHeight="1">
      <c r="A4137" s="4" t="s">
        <v>9157</v>
      </c>
      <c r="B4137" s="5" t="s">
        <v>9158</v>
      </c>
      <c r="C4137" s="5" t="s">
        <v>36</v>
      </c>
      <c r="D4137" s="5" t="s">
        <v>37</v>
      </c>
      <c r="E4137" s="5" t="s">
        <v>716</v>
      </c>
      <c r="F4137" s="9">
        <v>56</v>
      </c>
      <c r="G4137" s="9">
        <v>588</v>
      </c>
      <c r="H4137" s="5" t="s">
        <v>20</v>
      </c>
      <c r="I4137" s="5" t="s">
        <v>9159</v>
      </c>
      <c r="J4137" s="12" t="str">
        <f>HYPERLINK("https://www.boe.es/gazeta/dias/1806/07/08/pdfs/GMD-1806-56.pdf#page=12","Abrir facsímil")</f>
        <v>Abrir facsímil</v>
      </c>
      <c r="K4137" s="15" t="s">
        <v>22</v>
      </c>
    </row>
    <row r="4138" spans="1:11" ht="42" customHeight="1">
      <c r="A4138" s="4" t="s">
        <v>9160</v>
      </c>
      <c r="B4138" s="5" t="s">
        <v>9161</v>
      </c>
      <c r="C4138" s="5" t="s">
        <v>42</v>
      </c>
      <c r="D4138" s="5" t="s">
        <v>43</v>
      </c>
      <c r="E4138" s="5" t="s">
        <v>48</v>
      </c>
      <c r="F4138" s="9">
        <v>67</v>
      </c>
      <c r="G4138" s="9">
        <v>702</v>
      </c>
      <c r="H4138" s="5" t="s">
        <v>20</v>
      </c>
      <c r="I4138" s="5" t="s">
        <v>9162</v>
      </c>
      <c r="J4138" s="12" t="str">
        <f>HYPERLINK("https://www.boe.es/gazeta/dias/1806/08/15/pdfs/GMD-1806-67.pdf#page=10","Abrir facsímil")</f>
        <v>Abrir facsímil</v>
      </c>
      <c r="K4138" s="15" t="s">
        <v>22</v>
      </c>
    </row>
    <row r="4139" spans="1:11" ht="42" customHeight="1">
      <c r="A4139" s="4" t="s">
        <v>9163</v>
      </c>
      <c r="B4139" s="5" t="s">
        <v>9164</v>
      </c>
      <c r="C4139" s="5" t="s">
        <v>69</v>
      </c>
      <c r="D4139" s="5" t="s">
        <v>70</v>
      </c>
      <c r="E4139" s="5" t="s">
        <v>290</v>
      </c>
      <c r="F4139" s="9">
        <v>1</v>
      </c>
      <c r="G4139" s="9">
        <v>2</v>
      </c>
      <c r="H4139" s="5" t="s">
        <v>20</v>
      </c>
      <c r="I4139" s="5" t="s">
        <v>9165</v>
      </c>
      <c r="J4139" s="12" t="str">
        <f>HYPERLINK("https://www.boe.es/gazeta/dias/1806/01/03/pdfs/GMD-1806-1.pdf#page=2","Abrir facsímil")</f>
        <v>Abrir facsímil</v>
      </c>
      <c r="K4139" s="15" t="s">
        <v>22</v>
      </c>
    </row>
    <row r="4140" spans="1:11" ht="42" customHeight="1">
      <c r="A4140" s="4" t="s">
        <v>9166</v>
      </c>
      <c r="B4140" s="5" t="s">
        <v>9167</v>
      </c>
      <c r="C4140" s="5" t="s">
        <v>17</v>
      </c>
      <c r="D4140" s="5" t="s">
        <v>18</v>
      </c>
      <c r="E4140" s="5" t="s">
        <v>438</v>
      </c>
      <c r="F4140" s="9">
        <v>70</v>
      </c>
      <c r="G4140" s="9">
        <v>729</v>
      </c>
      <c r="H4140" s="5" t="s">
        <v>20</v>
      </c>
      <c r="I4140" s="5" t="s">
        <v>9168</v>
      </c>
      <c r="J4140" s="12" t="str">
        <f>HYPERLINK("https://www.boe.es/gazeta/dias/1806/08/26/pdfs/GMD-1806-70.pdf#page=5","Abrir facsímil")</f>
        <v>Abrir facsímil</v>
      </c>
      <c r="K4140" s="15" t="s">
        <v>22</v>
      </c>
    </row>
    <row r="4141" spans="1:11" ht="42" customHeight="1">
      <c r="A4141" s="4" t="s">
        <v>9169</v>
      </c>
      <c r="B4141" s="5" t="s">
        <v>9170</v>
      </c>
      <c r="C4141" s="5" t="s">
        <v>69</v>
      </c>
      <c r="D4141" s="5" t="s">
        <v>70</v>
      </c>
      <c r="E4141" s="5" t="s">
        <v>501</v>
      </c>
      <c r="F4141" s="9">
        <v>39</v>
      </c>
      <c r="G4141" s="9">
        <v>381</v>
      </c>
      <c r="H4141" s="5" t="s">
        <v>20</v>
      </c>
      <c r="I4141" s="5" t="s">
        <v>9171</v>
      </c>
      <c r="J4141" s="12" t="str">
        <f>HYPERLINK("https://www.boe.es/gazeta/dias/1806/05/09/pdfs/GMD-1806-39.pdf#page=5","Abrir facsímil")</f>
        <v>Abrir facsímil</v>
      </c>
      <c r="K4141" s="15" t="s">
        <v>22</v>
      </c>
    </row>
    <row r="4142" spans="1:11" ht="42" customHeight="1">
      <c r="A4142" s="4" t="s">
        <v>9169</v>
      </c>
      <c r="B4142" s="5" t="s">
        <v>9170</v>
      </c>
      <c r="C4142" s="5" t="s">
        <v>69</v>
      </c>
      <c r="D4142" s="5" t="s">
        <v>70</v>
      </c>
      <c r="E4142" s="5" t="s">
        <v>540</v>
      </c>
      <c r="F4142" s="9">
        <v>51</v>
      </c>
      <c r="G4142" s="9">
        <v>524</v>
      </c>
      <c r="H4142" s="5" t="s">
        <v>20</v>
      </c>
      <c r="I4142" s="5" t="s">
        <v>9172</v>
      </c>
      <c r="J4142" s="12" t="str">
        <f>HYPERLINK("https://www.boe.es/gazeta/dias/1806/06/20/pdfs/GMD-1806-51.pdf#page=4","Abrir facsímil")</f>
        <v>Abrir facsímil</v>
      </c>
      <c r="K4142" s="15" t="s">
        <v>22</v>
      </c>
    </row>
    <row r="4143" spans="1:11" ht="42" customHeight="1">
      <c r="A4143" s="4" t="s">
        <v>9169</v>
      </c>
      <c r="B4143" s="5" t="s">
        <v>9170</v>
      </c>
      <c r="C4143" s="5" t="s">
        <v>31</v>
      </c>
      <c r="D4143" s="5" t="s">
        <v>32</v>
      </c>
      <c r="E4143" s="5" t="s">
        <v>209</v>
      </c>
      <c r="F4143" s="9">
        <v>95</v>
      </c>
      <c r="G4143" s="9">
        <v>1000</v>
      </c>
      <c r="H4143" s="5" t="s">
        <v>20</v>
      </c>
      <c r="I4143" s="5" t="s">
        <v>9173</v>
      </c>
      <c r="J4143" s="12" t="str">
        <f>HYPERLINK("https://www.boe.es/gazeta/dias/1806/11/21/pdfs/GMD-1806-95.pdf#page=8","Abrir facsímil")</f>
        <v>Abrir facsímil</v>
      </c>
      <c r="K4143" s="15" t="s">
        <v>22</v>
      </c>
    </row>
    <row r="4144" spans="1:11" ht="42" customHeight="1">
      <c r="A4144" s="4" t="s">
        <v>9169</v>
      </c>
      <c r="B4144" s="5" t="s">
        <v>9170</v>
      </c>
      <c r="C4144" s="5" t="s">
        <v>17</v>
      </c>
      <c r="D4144" s="5" t="s">
        <v>18</v>
      </c>
      <c r="E4144" s="5" t="s">
        <v>209</v>
      </c>
      <c r="F4144" s="9">
        <v>95</v>
      </c>
      <c r="G4144" s="9">
        <v>1001</v>
      </c>
      <c r="H4144" s="5" t="s">
        <v>20</v>
      </c>
      <c r="I4144" s="5" t="s">
        <v>9174</v>
      </c>
      <c r="J4144" s="12" t="str">
        <f>HYPERLINK("https://www.boe.es/gazeta/dias/1806/11/21/pdfs/GMD-1806-95.pdf#page=9","Abrir facsímil")</f>
        <v>Abrir facsímil</v>
      </c>
      <c r="K4144" s="15" t="s">
        <v>22</v>
      </c>
    </row>
    <row r="4145" spans="1:11" ht="42" customHeight="1">
      <c r="A4145" s="4" t="s">
        <v>9169</v>
      </c>
      <c r="B4145" s="5" t="s">
        <v>9170</v>
      </c>
      <c r="C4145" s="5" t="s">
        <v>17</v>
      </c>
      <c r="D4145" s="5" t="s">
        <v>18</v>
      </c>
      <c r="E4145" s="5" t="s">
        <v>209</v>
      </c>
      <c r="F4145" s="9">
        <v>95</v>
      </c>
      <c r="G4145" s="9">
        <v>1002</v>
      </c>
      <c r="H4145" s="5" t="s">
        <v>20</v>
      </c>
      <c r="I4145" s="5" t="s">
        <v>9175</v>
      </c>
      <c r="J4145" s="12" t="str">
        <f>HYPERLINK("https://www.boe.es/gazeta/dias/1806/11/21/pdfs/GMD-1806-95.pdf#page=10","Abrir facsímil")</f>
        <v>Abrir facsímil</v>
      </c>
      <c r="K4145" s="15" t="s">
        <v>22</v>
      </c>
    </row>
    <row r="4146" spans="1:11" ht="42" customHeight="1">
      <c r="A4146" s="4" t="s">
        <v>9169</v>
      </c>
      <c r="B4146" s="5" t="s">
        <v>9170</v>
      </c>
      <c r="C4146" s="5" t="s">
        <v>17</v>
      </c>
      <c r="D4146" s="5" t="s">
        <v>18</v>
      </c>
      <c r="E4146" s="5" t="s">
        <v>209</v>
      </c>
      <c r="F4146" s="9">
        <v>95</v>
      </c>
      <c r="G4146" s="9">
        <v>995</v>
      </c>
      <c r="H4146" s="5" t="s">
        <v>20</v>
      </c>
      <c r="I4146" s="5" t="s">
        <v>9176</v>
      </c>
      <c r="J4146" s="12" t="str">
        <f>HYPERLINK("https://www.boe.es/gazeta/dias/1806/11/21/pdfs/GMD-1806-95.pdf#page=3","Abrir facsímil")</f>
        <v>Abrir facsímil</v>
      </c>
      <c r="K4146" s="15" t="s">
        <v>22</v>
      </c>
    </row>
    <row r="4147" spans="1:11" ht="42" customHeight="1">
      <c r="A4147" s="4" t="s">
        <v>9169</v>
      </c>
      <c r="B4147" s="5" t="s">
        <v>9170</v>
      </c>
      <c r="C4147" s="5" t="s">
        <v>17</v>
      </c>
      <c r="D4147" s="5" t="s">
        <v>18</v>
      </c>
      <c r="E4147" s="5" t="s">
        <v>209</v>
      </c>
      <c r="F4147" s="9">
        <v>95</v>
      </c>
      <c r="G4147" s="9">
        <v>999</v>
      </c>
      <c r="H4147" s="5" t="s">
        <v>20</v>
      </c>
      <c r="I4147" s="5" t="s">
        <v>9177</v>
      </c>
      <c r="J4147" s="12" t="str">
        <f>HYPERLINK("https://www.boe.es/gazeta/dias/1806/11/21/pdfs/GMD-1806-95.pdf#page=7","Abrir facsímil")</f>
        <v>Abrir facsímil</v>
      </c>
      <c r="K4147" s="15" t="s">
        <v>22</v>
      </c>
    </row>
    <row r="4148" spans="1:11" ht="42" customHeight="1">
      <c r="A4148" s="4" t="s">
        <v>9178</v>
      </c>
      <c r="B4148" s="5" t="s">
        <v>9179</v>
      </c>
      <c r="C4148" s="5" t="s">
        <v>69</v>
      </c>
      <c r="D4148" s="5" t="s">
        <v>70</v>
      </c>
      <c r="E4148" s="5" t="s">
        <v>312</v>
      </c>
      <c r="F4148" s="9">
        <v>100</v>
      </c>
      <c r="G4148" s="9">
        <v>1062</v>
      </c>
      <c r="H4148" s="5" t="s">
        <v>20</v>
      </c>
      <c r="I4148" s="5" t="s">
        <v>9180</v>
      </c>
      <c r="J4148" s="12" t="str">
        <f>HYPERLINK("https://www.boe.es/gazeta/dias/1806/12/09/pdfs/GMD-1806-100.pdf#page=6","Abrir facsímil")</f>
        <v>Abrir facsímil</v>
      </c>
      <c r="K4148" s="15" t="s">
        <v>22</v>
      </c>
    </row>
    <row r="4149" spans="1:11" ht="42" customHeight="1">
      <c r="A4149" s="4" t="s">
        <v>9181</v>
      </c>
      <c r="B4149" s="5" t="s">
        <v>9181</v>
      </c>
      <c r="C4149" s="5" t="s">
        <v>17</v>
      </c>
      <c r="D4149" s="5" t="s">
        <v>18</v>
      </c>
      <c r="E4149" s="5" t="s">
        <v>82</v>
      </c>
      <c r="F4149" s="9">
        <v>48</v>
      </c>
      <c r="G4149" s="9">
        <v>499</v>
      </c>
      <c r="H4149" s="5" t="s">
        <v>20</v>
      </c>
      <c r="I4149" s="5" t="s">
        <v>9182</v>
      </c>
      <c r="J4149" s="12" t="str">
        <f>HYPERLINK("https://www.boe.es/gazeta/dias/1806/06/10/pdfs/GMD-1806-48.pdf#page=11","Abrir facsímil")</f>
        <v>Abrir facsímil</v>
      </c>
      <c r="K4149" s="15" t="s">
        <v>22</v>
      </c>
    </row>
    <row r="4150" spans="1:11" ht="42" customHeight="1">
      <c r="A4150" s="4" t="s">
        <v>9183</v>
      </c>
      <c r="B4150" s="5" t="s">
        <v>9184</v>
      </c>
      <c r="C4150" s="5" t="s">
        <v>31</v>
      </c>
      <c r="D4150" s="5" t="s">
        <v>32</v>
      </c>
      <c r="E4150" s="5" t="s">
        <v>911</v>
      </c>
      <c r="F4150" s="9">
        <v>64</v>
      </c>
      <c r="G4150" s="9">
        <v>669</v>
      </c>
      <c r="H4150" s="5" t="s">
        <v>20</v>
      </c>
      <c r="I4150" s="5" t="s">
        <v>9185</v>
      </c>
      <c r="J4150" s="12" t="str">
        <f>HYPERLINK("https://www.boe.es/gazeta/dias/1806/08/05/pdfs/GMD-1806-64.pdf#page=5","Abrir facsímil")</f>
        <v>Abrir facsímil</v>
      </c>
      <c r="K4150" s="15" t="s">
        <v>22</v>
      </c>
    </row>
    <row r="4151" spans="1:11" ht="42" customHeight="1">
      <c r="A4151" s="4" t="s">
        <v>9186</v>
      </c>
      <c r="B4151" s="5" t="s">
        <v>9186</v>
      </c>
      <c r="C4151" s="5" t="s">
        <v>69</v>
      </c>
      <c r="D4151" s="5" t="s">
        <v>70</v>
      </c>
      <c r="E4151" s="5" t="s">
        <v>501</v>
      </c>
      <c r="F4151" s="9">
        <v>39</v>
      </c>
      <c r="G4151" s="9">
        <v>380</v>
      </c>
      <c r="H4151" s="5" t="s">
        <v>20</v>
      </c>
      <c r="I4151" s="5" t="s">
        <v>9187</v>
      </c>
      <c r="J4151" s="12" t="str">
        <f>HYPERLINK("https://www.boe.es/gazeta/dias/1806/05/09/pdfs/GMD-1806-39.pdf#page=4","Abrir facsímil")</f>
        <v>Abrir facsímil</v>
      </c>
      <c r="K4151" s="15" t="s">
        <v>22</v>
      </c>
    </row>
    <row r="4152" spans="1:11" ht="42" customHeight="1">
      <c r="A4152" s="4" t="s">
        <v>9188</v>
      </c>
      <c r="B4152" s="5" t="s">
        <v>9188</v>
      </c>
      <c r="C4152" s="5" t="s">
        <v>17</v>
      </c>
      <c r="D4152" s="5" t="s">
        <v>18</v>
      </c>
      <c r="E4152" s="5" t="s">
        <v>780</v>
      </c>
      <c r="F4152" s="9">
        <v>33</v>
      </c>
      <c r="G4152" s="9">
        <v>324</v>
      </c>
      <c r="H4152" s="5" t="s">
        <v>20</v>
      </c>
      <c r="I4152" s="5" t="s">
        <v>9189</v>
      </c>
      <c r="J4152" s="12" t="str">
        <f>HYPERLINK("https://www.boe.es/gazeta/dias/1806/04/18/pdfs/GMD-1806-33.pdf#page=4","Abrir facsímil")</f>
        <v>Abrir facsímil</v>
      </c>
      <c r="K4152" s="15" t="s">
        <v>22</v>
      </c>
    </row>
    <row r="4153" spans="1:11" ht="42" customHeight="1">
      <c r="A4153" s="4" t="s">
        <v>9188</v>
      </c>
      <c r="B4153" s="5" t="s">
        <v>9188</v>
      </c>
      <c r="C4153" s="5" t="s">
        <v>69</v>
      </c>
      <c r="D4153" s="5" t="s">
        <v>70</v>
      </c>
      <c r="E4153" s="5" t="s">
        <v>501</v>
      </c>
      <c r="F4153" s="9">
        <v>39</v>
      </c>
      <c r="G4153" s="9">
        <v>378</v>
      </c>
      <c r="H4153" s="5" t="s">
        <v>20</v>
      </c>
      <c r="I4153" s="5" t="s">
        <v>9190</v>
      </c>
      <c r="J4153" s="12" t="str">
        <f>HYPERLINK("https://www.boe.es/gazeta/dias/1806/05/09/pdfs/GMD-1806-39.pdf#page=2","Abrir facsímil")</f>
        <v>Abrir facsímil</v>
      </c>
      <c r="K4153" s="15" t="s">
        <v>22</v>
      </c>
    </row>
    <row r="4154" spans="1:11" ht="42" customHeight="1">
      <c r="A4154" s="4" t="s">
        <v>9188</v>
      </c>
      <c r="B4154" s="5" t="s">
        <v>9188</v>
      </c>
      <c r="C4154" s="5" t="s">
        <v>69</v>
      </c>
      <c r="D4154" s="5" t="s">
        <v>70</v>
      </c>
      <c r="E4154" s="5" t="s">
        <v>327</v>
      </c>
      <c r="F4154" s="9">
        <v>104</v>
      </c>
      <c r="G4154" s="9">
        <v>1103</v>
      </c>
      <c r="H4154" s="5" t="s">
        <v>20</v>
      </c>
      <c r="I4154" s="5" t="s">
        <v>9191</v>
      </c>
      <c r="J4154" s="12" t="str">
        <f>HYPERLINK("https://www.boe.es/gazeta/dias/1806/12/23/pdfs/GMD-1806-104.pdf#page=3","Abrir facsímil")</f>
        <v>Abrir facsímil</v>
      </c>
      <c r="K4154" s="15" t="s">
        <v>22</v>
      </c>
    </row>
    <row r="4155" spans="1:11" ht="42" customHeight="1">
      <c r="A4155" s="4" t="s">
        <v>9192</v>
      </c>
      <c r="B4155" s="5" t="s">
        <v>9192</v>
      </c>
      <c r="C4155" s="5" t="s">
        <v>31</v>
      </c>
      <c r="D4155" s="5" t="s">
        <v>32</v>
      </c>
      <c r="E4155" s="5" t="s">
        <v>33</v>
      </c>
      <c r="F4155" s="9">
        <v>82</v>
      </c>
      <c r="G4155" s="9">
        <v>843</v>
      </c>
      <c r="H4155" s="5" t="s">
        <v>20</v>
      </c>
      <c r="I4155" s="5" t="s">
        <v>9193</v>
      </c>
      <c r="J4155" s="12" t="str">
        <f>HYPERLINK("https://www.boe.es/gazeta/dias/1806/10/07/pdfs/GMD-1806-82.pdf#page=3","Abrir facsímil")</f>
        <v>Abrir facsímil</v>
      </c>
      <c r="K4155" s="15" t="s">
        <v>22</v>
      </c>
    </row>
    <row r="4156" spans="1:11" ht="42" customHeight="1">
      <c r="A4156" s="4" t="s">
        <v>9194</v>
      </c>
      <c r="B4156" s="5" t="s">
        <v>9194</v>
      </c>
      <c r="C4156" s="5" t="s">
        <v>69</v>
      </c>
      <c r="D4156" s="5" t="s">
        <v>70</v>
      </c>
      <c r="E4156" s="5" t="s">
        <v>44</v>
      </c>
      <c r="F4156" s="9">
        <v>42</v>
      </c>
      <c r="G4156" s="9">
        <v>414</v>
      </c>
      <c r="H4156" s="5" t="s">
        <v>20</v>
      </c>
      <c r="I4156" s="5" t="s">
        <v>9195</v>
      </c>
      <c r="J4156" s="12" t="str">
        <f>HYPERLINK("https://www.boe.es/gazeta/dias/1806/05/20/pdfs/GMD-1806-42.pdf#page=2","Abrir facsímil")</f>
        <v>Abrir facsímil</v>
      </c>
      <c r="K4156" s="15" t="s">
        <v>22</v>
      </c>
    </row>
    <row r="4157" spans="1:11" ht="42" customHeight="1">
      <c r="A4157" s="4" t="s">
        <v>9196</v>
      </c>
      <c r="B4157" s="5" t="s">
        <v>9196</v>
      </c>
      <c r="C4157" s="5" t="s">
        <v>31</v>
      </c>
      <c r="D4157" s="5" t="s">
        <v>32</v>
      </c>
      <c r="E4157" s="5" t="s">
        <v>90</v>
      </c>
      <c r="F4157" s="9">
        <v>60</v>
      </c>
      <c r="G4157" s="9">
        <v>619</v>
      </c>
      <c r="H4157" s="5" t="s">
        <v>20</v>
      </c>
      <c r="I4157" s="5" t="s">
        <v>9197</v>
      </c>
      <c r="J4157" s="12" t="str">
        <f>HYPERLINK("https://www.boe.es/gazeta/dias/1806/07/22/pdfs/GMD-1806-60.pdf#page=3","Abrir facsímil")</f>
        <v>Abrir facsímil</v>
      </c>
      <c r="K4157" s="15" t="s">
        <v>22</v>
      </c>
    </row>
    <row r="4158" spans="1:11" ht="42" customHeight="1">
      <c r="A4158" s="4" t="s">
        <v>9198</v>
      </c>
      <c r="B4158" s="5" t="s">
        <v>9198</v>
      </c>
      <c r="C4158" s="5" t="s">
        <v>69</v>
      </c>
      <c r="D4158" s="5" t="s">
        <v>70</v>
      </c>
      <c r="E4158" s="5" t="s">
        <v>238</v>
      </c>
      <c r="F4158" s="9">
        <v>18</v>
      </c>
      <c r="G4158" s="9">
        <v>153</v>
      </c>
      <c r="H4158" s="5" t="s">
        <v>20</v>
      </c>
      <c r="I4158" s="5" t="s">
        <v>9199</v>
      </c>
      <c r="J4158" s="12" t="str">
        <f>HYPERLINK("https://www.boe.es/gazeta/dias/1806/02/25/pdfs/GMD-1806-18.pdf#page=1","Abrir facsímil")</f>
        <v>Abrir facsímil</v>
      </c>
      <c r="K4158" s="15" t="s">
        <v>22</v>
      </c>
    </row>
    <row r="4159" spans="1:11" ht="42" customHeight="1">
      <c r="A4159" s="4" t="s">
        <v>9200</v>
      </c>
      <c r="B4159" s="5" t="s">
        <v>9200</v>
      </c>
      <c r="C4159" s="5" t="s">
        <v>42</v>
      </c>
      <c r="D4159" s="5" t="s">
        <v>43</v>
      </c>
      <c r="E4159" s="5" t="s">
        <v>82</v>
      </c>
      <c r="F4159" s="9">
        <v>48</v>
      </c>
      <c r="G4159" s="9">
        <v>490</v>
      </c>
      <c r="H4159" s="5" t="s">
        <v>20</v>
      </c>
      <c r="I4159" s="5" t="s">
        <v>9201</v>
      </c>
      <c r="J4159" s="12" t="str">
        <f>HYPERLINK("https://www.boe.es/gazeta/dias/1806/06/10/pdfs/GMD-1806-48.pdf#page=2","Abrir facsímil")</f>
        <v>Abrir facsímil</v>
      </c>
      <c r="K4159" s="15" t="s">
        <v>22</v>
      </c>
    </row>
    <row r="4160" spans="1:11" ht="42" customHeight="1">
      <c r="A4160" s="4" t="s">
        <v>9202</v>
      </c>
      <c r="B4160" s="5" t="s">
        <v>9202</v>
      </c>
      <c r="C4160" s="5" t="s">
        <v>69</v>
      </c>
      <c r="D4160" s="5" t="s">
        <v>70</v>
      </c>
      <c r="E4160" s="5" t="s">
        <v>188</v>
      </c>
      <c r="F4160" s="9">
        <v>2</v>
      </c>
      <c r="G4160" s="9">
        <v>13</v>
      </c>
      <c r="H4160" s="5" t="s">
        <v>20</v>
      </c>
      <c r="I4160" s="5" t="s">
        <v>9203</v>
      </c>
      <c r="J4160" s="12" t="str">
        <f>HYPERLINK("https://www.boe.es/gazeta/dias/1806/01/07/pdfs/GMD-1806-2.pdf#page=1","Abrir facsímil")</f>
        <v>Abrir facsímil</v>
      </c>
      <c r="K4160" s="15" t="s">
        <v>22</v>
      </c>
    </row>
    <row r="4161" spans="1:11" ht="42" customHeight="1">
      <c r="A4161" s="4" t="s">
        <v>9204</v>
      </c>
      <c r="B4161" s="5" t="s">
        <v>9204</v>
      </c>
      <c r="C4161" s="5" t="s">
        <v>31</v>
      </c>
      <c r="D4161" s="5" t="s">
        <v>32</v>
      </c>
      <c r="E4161" s="5" t="s">
        <v>540</v>
      </c>
      <c r="F4161" s="9">
        <v>51</v>
      </c>
      <c r="G4161" s="9">
        <v>529</v>
      </c>
      <c r="H4161" s="5" t="s">
        <v>20</v>
      </c>
      <c r="I4161" s="5" t="s">
        <v>9205</v>
      </c>
      <c r="J4161" s="12" t="str">
        <f>HYPERLINK("https://www.boe.es/gazeta/dias/1806/06/20/pdfs/GMD-1806-51.pdf#page=9","Abrir facsímil")</f>
        <v>Abrir facsímil</v>
      </c>
      <c r="K4161" s="15" t="s">
        <v>22</v>
      </c>
    </row>
    <row r="4162" spans="1:11" ht="42" customHeight="1">
      <c r="A4162" s="4" t="s">
        <v>9206</v>
      </c>
      <c r="B4162" s="5" t="s">
        <v>9206</v>
      </c>
      <c r="C4162" s="5" t="s">
        <v>69</v>
      </c>
      <c r="D4162" s="5" t="s">
        <v>70</v>
      </c>
      <c r="E4162" s="5" t="s">
        <v>367</v>
      </c>
      <c r="F4162" s="9">
        <v>87</v>
      </c>
      <c r="G4162" s="9">
        <v>894</v>
      </c>
      <c r="H4162" s="5" t="s">
        <v>20</v>
      </c>
      <c r="I4162" s="5" t="s">
        <v>9207</v>
      </c>
      <c r="J4162" s="12" t="str">
        <f>HYPERLINK("https://www.boe.es/gazeta/dias/1806/10/24/pdfs/GMD-1806-87.pdf#page=2","Abrir facsímil")</f>
        <v>Abrir facsímil</v>
      </c>
      <c r="K4162" s="15" t="s">
        <v>22</v>
      </c>
    </row>
    <row r="4163" spans="1:11" ht="42" customHeight="1">
      <c r="A4163" s="4" t="s">
        <v>9208</v>
      </c>
      <c r="B4163" s="5" t="s">
        <v>9208</v>
      </c>
      <c r="C4163" s="5" t="s">
        <v>69</v>
      </c>
      <c r="D4163" s="5" t="s">
        <v>70</v>
      </c>
      <c r="E4163" s="5" t="s">
        <v>702</v>
      </c>
      <c r="F4163" s="9">
        <v>43</v>
      </c>
      <c r="G4163" s="9">
        <v>427</v>
      </c>
      <c r="H4163" s="5" t="s">
        <v>20</v>
      </c>
      <c r="I4163" s="5" t="s">
        <v>9209</v>
      </c>
      <c r="J4163" s="12" t="str">
        <f>HYPERLINK("https://www.boe.es/gazeta/dias/1806/05/23/pdfs/GMD-1806-43.pdf#page=3","Abrir facsímil")</f>
        <v>Abrir facsímil</v>
      </c>
      <c r="K4163" s="15" t="s">
        <v>22</v>
      </c>
    </row>
    <row r="4164" spans="1:11" ht="42" customHeight="1">
      <c r="A4164" s="4" t="s">
        <v>9210</v>
      </c>
      <c r="B4164" s="5" t="s">
        <v>9210</v>
      </c>
      <c r="C4164" s="5" t="s">
        <v>69</v>
      </c>
      <c r="D4164" s="5" t="s">
        <v>70</v>
      </c>
      <c r="E4164" s="5" t="s">
        <v>44</v>
      </c>
      <c r="F4164" s="9">
        <v>42</v>
      </c>
      <c r="G4164" s="9">
        <v>417</v>
      </c>
      <c r="H4164" s="5" t="s">
        <v>20</v>
      </c>
      <c r="I4164" s="5" t="s">
        <v>9211</v>
      </c>
      <c r="J4164" s="12" t="str">
        <f>HYPERLINK("https://www.boe.es/gazeta/dias/1806/05/20/pdfs/GMD-1806-42.pdf#page=5","Abrir facsímil")</f>
        <v>Abrir facsímil</v>
      </c>
      <c r="K4164" s="15" t="s">
        <v>22</v>
      </c>
    </row>
    <row r="4165" spans="1:11" ht="42" customHeight="1">
      <c r="A4165" s="4" t="s">
        <v>9212</v>
      </c>
      <c r="B4165" s="5" t="s">
        <v>9212</v>
      </c>
      <c r="C4165" s="5" t="s">
        <v>31</v>
      </c>
      <c r="D4165" s="5" t="s">
        <v>32</v>
      </c>
      <c r="E4165" s="5" t="s">
        <v>810</v>
      </c>
      <c r="F4165" s="9">
        <v>71</v>
      </c>
      <c r="G4165" s="9">
        <v>734</v>
      </c>
      <c r="H4165" s="5" t="s">
        <v>20</v>
      </c>
      <c r="I4165" s="5" t="s">
        <v>9213</v>
      </c>
      <c r="J4165" s="12" t="str">
        <f>HYPERLINK("https://www.boe.es/gazeta/dias/1806/08/29/pdfs/GMD-1806-71.pdf#page=2","Abrir facsímil")</f>
        <v>Abrir facsímil</v>
      </c>
      <c r="K4165" s="15" t="s">
        <v>22</v>
      </c>
    </row>
    <row r="4166" spans="1:11" ht="42" customHeight="1">
      <c r="A4166" s="4" t="s">
        <v>9214</v>
      </c>
      <c r="B4166" s="5" t="s">
        <v>9214</v>
      </c>
      <c r="C4166" s="5" t="s">
        <v>69</v>
      </c>
      <c r="D4166" s="5" t="s">
        <v>70</v>
      </c>
      <c r="E4166" s="5" t="s">
        <v>175</v>
      </c>
      <c r="F4166" s="9">
        <v>40</v>
      </c>
      <c r="G4166" s="9">
        <v>390</v>
      </c>
      <c r="H4166" s="5" t="s">
        <v>20</v>
      </c>
      <c r="I4166" s="5" t="s">
        <v>9215</v>
      </c>
      <c r="J4166" s="12" t="str">
        <f>HYPERLINK("https://www.boe.es/gazeta/dias/1806/05/13/pdfs/GMD-1806-40.pdf#page=2","Abrir facsímil")</f>
        <v>Abrir facsímil</v>
      </c>
      <c r="K4166" s="15" t="s">
        <v>22</v>
      </c>
    </row>
    <row r="4167" spans="1:11" ht="42" customHeight="1">
      <c r="A4167" s="4" t="s">
        <v>9216</v>
      </c>
      <c r="B4167" s="5" t="s">
        <v>9216</v>
      </c>
      <c r="C4167" s="5" t="s">
        <v>69</v>
      </c>
      <c r="D4167" s="5" t="s">
        <v>70</v>
      </c>
      <c r="E4167" s="5" t="s">
        <v>405</v>
      </c>
      <c r="F4167" s="9">
        <v>80</v>
      </c>
      <c r="G4167" s="9">
        <v>825</v>
      </c>
      <c r="H4167" s="5" t="s">
        <v>20</v>
      </c>
      <c r="I4167" s="5" t="s">
        <v>9217</v>
      </c>
      <c r="J4167" s="12" t="str">
        <f>HYPERLINK("https://www.boe.es/gazeta/dias/1806/09/30/pdfs/GMD-1806-80.pdf#page=5","Abrir facsímil")</f>
        <v>Abrir facsímil</v>
      </c>
      <c r="K4167" s="15" t="s">
        <v>22</v>
      </c>
    </row>
    <row r="4168" spans="1:11" ht="42" customHeight="1">
      <c r="A4168" s="4" t="s">
        <v>9218</v>
      </c>
      <c r="B4168" s="5" t="s">
        <v>9218</v>
      </c>
      <c r="C4168" s="5" t="s">
        <v>69</v>
      </c>
      <c r="D4168" s="5" t="s">
        <v>70</v>
      </c>
      <c r="E4168" s="5" t="s">
        <v>309</v>
      </c>
      <c r="F4168" s="9">
        <v>41</v>
      </c>
      <c r="G4168" s="9">
        <v>401</v>
      </c>
      <c r="H4168" s="5" t="s">
        <v>20</v>
      </c>
      <c r="I4168" s="5" t="s">
        <v>9219</v>
      </c>
      <c r="J4168" s="12" t="str">
        <f>HYPERLINK("https://www.boe.es/gazeta/dias/1806/05/16/pdfs/GMD-1806-41.pdf#page=1","Abrir facsímil")</f>
        <v>Abrir facsímil</v>
      </c>
      <c r="K4168" s="15" t="s">
        <v>22</v>
      </c>
    </row>
    <row r="4169" spans="1:11" ht="42" customHeight="1">
      <c r="A4169" s="4" t="s">
        <v>9218</v>
      </c>
      <c r="B4169" s="5" t="s">
        <v>9218</v>
      </c>
      <c r="C4169" s="5" t="s">
        <v>69</v>
      </c>
      <c r="D4169" s="5" t="s">
        <v>70</v>
      </c>
      <c r="E4169" s="5" t="s">
        <v>309</v>
      </c>
      <c r="F4169" s="9">
        <v>41</v>
      </c>
      <c r="G4169" s="9">
        <v>402</v>
      </c>
      <c r="H4169" s="5" t="s">
        <v>20</v>
      </c>
      <c r="I4169" s="5" t="s">
        <v>9220</v>
      </c>
      <c r="J4169" s="12" t="str">
        <f>HYPERLINK("https://www.boe.es/gazeta/dias/1806/05/16/pdfs/GMD-1806-41.pdf#page=2","Abrir facsímil")</f>
        <v>Abrir facsímil</v>
      </c>
      <c r="K4169" s="15" t="s">
        <v>22</v>
      </c>
    </row>
    <row r="4170" spans="1:11" ht="42" customHeight="1">
      <c r="A4170" s="4" t="s">
        <v>9218</v>
      </c>
      <c r="B4170" s="5" t="s">
        <v>9218</v>
      </c>
      <c r="C4170" s="5" t="s">
        <v>69</v>
      </c>
      <c r="D4170" s="5" t="s">
        <v>70</v>
      </c>
      <c r="E4170" s="5" t="s">
        <v>396</v>
      </c>
      <c r="F4170" s="9">
        <v>91</v>
      </c>
      <c r="G4170" s="9">
        <v>941</v>
      </c>
      <c r="H4170" s="5" t="s">
        <v>20</v>
      </c>
      <c r="I4170" s="5" t="s">
        <v>9221</v>
      </c>
      <c r="J4170" s="12" t="str">
        <f>HYPERLINK("https://www.boe.es/gazeta/dias/1806/11/07/pdfs/GMD-1806-91.pdf#page=5","Abrir facsímil")</f>
        <v>Abrir facsímil</v>
      </c>
      <c r="K4170" s="15" t="s">
        <v>22</v>
      </c>
    </row>
    <row r="4171" spans="1:11" ht="42" customHeight="1">
      <c r="A4171" s="4" t="s">
        <v>9218</v>
      </c>
      <c r="B4171" s="5" t="s">
        <v>9218</v>
      </c>
      <c r="C4171" s="5" t="s">
        <v>69</v>
      </c>
      <c r="D4171" s="5" t="s">
        <v>70</v>
      </c>
      <c r="E4171" s="5" t="s">
        <v>327</v>
      </c>
      <c r="F4171" s="9">
        <v>104</v>
      </c>
      <c r="G4171" s="9">
        <v>1108</v>
      </c>
      <c r="H4171" s="5" t="s">
        <v>20</v>
      </c>
      <c r="I4171" s="5" t="s">
        <v>9222</v>
      </c>
      <c r="J4171" s="12" t="str">
        <f>HYPERLINK("https://www.boe.es/gazeta/dias/1806/12/23/pdfs/GMD-1806-104.pdf#page=8","Abrir facsímil")</f>
        <v>Abrir facsímil</v>
      </c>
      <c r="K4171" s="15" t="s">
        <v>22</v>
      </c>
    </row>
    <row r="4172" spans="1:11" ht="42" customHeight="1">
      <c r="A4172" s="4" t="s">
        <v>9223</v>
      </c>
      <c r="B4172" s="5" t="s">
        <v>9223</v>
      </c>
      <c r="C4172" s="5" t="s">
        <v>69</v>
      </c>
      <c r="D4172" s="5" t="s">
        <v>70</v>
      </c>
      <c r="E4172" s="5" t="s">
        <v>306</v>
      </c>
      <c r="F4172" s="9">
        <v>59</v>
      </c>
      <c r="G4172" s="9">
        <v>606</v>
      </c>
      <c r="H4172" s="5" t="s">
        <v>20</v>
      </c>
      <c r="I4172" s="5" t="s">
        <v>9224</v>
      </c>
      <c r="J4172" s="12" t="str">
        <f>HYPERLINK("https://www.boe.es/gazeta/dias/1806/07/18/pdfs/GMD-1806-59.pdf#page=2","Abrir facsímil")</f>
        <v>Abrir facsímil</v>
      </c>
      <c r="K4172" s="15" t="s">
        <v>22</v>
      </c>
    </row>
    <row r="4173" spans="1:11" ht="42" customHeight="1">
      <c r="A4173" s="4" t="s">
        <v>9225</v>
      </c>
      <c r="B4173" s="5" t="s">
        <v>9225</v>
      </c>
      <c r="C4173" s="5" t="s">
        <v>69</v>
      </c>
      <c r="D4173" s="5" t="s">
        <v>70</v>
      </c>
      <c r="E4173" s="5" t="s">
        <v>580</v>
      </c>
      <c r="F4173" s="9">
        <v>23</v>
      </c>
      <c r="G4173" s="9">
        <v>215</v>
      </c>
      <c r="H4173" s="5" t="s">
        <v>20</v>
      </c>
      <c r="I4173" s="5" t="s">
        <v>9226</v>
      </c>
      <c r="J4173" s="12" t="str">
        <f>HYPERLINK("https://www.boe.es/gazeta/dias/1806/03/14/pdfs/GMD-1806-23.pdf#page=3","Abrir facsímil")</f>
        <v>Abrir facsímil</v>
      </c>
      <c r="K4173" s="15" t="s">
        <v>22</v>
      </c>
    </row>
    <row r="4174" spans="1:11" ht="42" customHeight="1">
      <c r="A4174" s="4" t="s">
        <v>9225</v>
      </c>
      <c r="B4174" s="5" t="s">
        <v>9225</v>
      </c>
      <c r="C4174" s="5" t="s">
        <v>17</v>
      </c>
      <c r="D4174" s="5" t="s">
        <v>18</v>
      </c>
      <c r="E4174" s="5" t="s">
        <v>661</v>
      </c>
      <c r="F4174" s="9">
        <v>38</v>
      </c>
      <c r="G4174" s="9">
        <v>372</v>
      </c>
      <c r="H4174" s="5" t="s">
        <v>20</v>
      </c>
      <c r="I4174" s="5" t="s">
        <v>9227</v>
      </c>
      <c r="J4174" s="12" t="str">
        <f>HYPERLINK("https://www.boe.es/gazeta/dias/1806/05/06/pdfs/GMD-1806-38.pdf#page=8","Abrir facsímil")</f>
        <v>Abrir facsímil</v>
      </c>
      <c r="K4174" s="15" t="s">
        <v>22</v>
      </c>
    </row>
    <row r="4175" spans="1:11" ht="42" customHeight="1">
      <c r="A4175" s="4" t="s">
        <v>9225</v>
      </c>
      <c r="B4175" s="5" t="s">
        <v>9225</v>
      </c>
      <c r="C4175" s="5" t="s">
        <v>17</v>
      </c>
      <c r="D4175" s="5" t="s">
        <v>18</v>
      </c>
      <c r="E4175" s="5" t="s">
        <v>1005</v>
      </c>
      <c r="F4175" s="9">
        <v>76</v>
      </c>
      <c r="G4175" s="9">
        <v>786</v>
      </c>
      <c r="H4175" s="5" t="s">
        <v>20</v>
      </c>
      <c r="I4175" s="5" t="s">
        <v>9228</v>
      </c>
      <c r="J4175" s="12" t="str">
        <f>HYPERLINK("https://www.boe.es/gazeta/dias/1806/09/16/pdfs/GMD-1806-76.pdf#page=6","Abrir facsímil")</f>
        <v>Abrir facsímil</v>
      </c>
      <c r="K4175" s="15" t="s">
        <v>22</v>
      </c>
    </row>
    <row r="4176" spans="1:11" ht="42" customHeight="1">
      <c r="A4176" s="4" t="s">
        <v>9229</v>
      </c>
      <c r="B4176" s="5" t="s">
        <v>9229</v>
      </c>
      <c r="C4176" s="5" t="s">
        <v>69</v>
      </c>
      <c r="D4176" s="5" t="s">
        <v>70</v>
      </c>
      <c r="E4176" s="5" t="s">
        <v>348</v>
      </c>
      <c r="F4176" s="9">
        <v>88</v>
      </c>
      <c r="G4176" s="9">
        <v>907</v>
      </c>
      <c r="H4176" s="5" t="s">
        <v>20</v>
      </c>
      <c r="I4176" s="5" t="s">
        <v>9230</v>
      </c>
      <c r="J4176" s="12" t="str">
        <f>HYPERLINK("https://www.boe.es/gazeta/dias/1806/10/28/pdfs/GMD-1806-88.pdf#page=3","Abrir facsímil")</f>
        <v>Abrir facsímil</v>
      </c>
      <c r="K4176" s="15" t="s">
        <v>22</v>
      </c>
    </row>
    <row r="4177" spans="1:11" ht="42" customHeight="1">
      <c r="A4177" s="4" t="s">
        <v>9231</v>
      </c>
      <c r="B4177" s="5" t="s">
        <v>9231</v>
      </c>
      <c r="C4177" s="5" t="s">
        <v>31</v>
      </c>
      <c r="D4177" s="5" t="s">
        <v>32</v>
      </c>
      <c r="E4177" s="5" t="s">
        <v>96</v>
      </c>
      <c r="F4177" s="9">
        <v>62</v>
      </c>
      <c r="G4177" s="9">
        <v>644</v>
      </c>
      <c r="H4177" s="5" t="s">
        <v>20</v>
      </c>
      <c r="I4177" s="5" t="s">
        <v>9232</v>
      </c>
      <c r="J4177" s="12" t="str">
        <f>HYPERLINK("https://www.boe.es/gazeta/dias/1806/07/29/pdfs/GMD-1806-62.pdf#page=4","Abrir facsímil")</f>
        <v>Abrir facsímil</v>
      </c>
      <c r="K4177" s="15" t="s">
        <v>22</v>
      </c>
    </row>
    <row r="4178" spans="1:11" ht="42" customHeight="1">
      <c r="A4178" s="4" t="s">
        <v>9231</v>
      </c>
      <c r="B4178" s="5" t="s">
        <v>9231</v>
      </c>
      <c r="C4178" s="5" t="s">
        <v>31</v>
      </c>
      <c r="D4178" s="5" t="s">
        <v>32</v>
      </c>
      <c r="E4178" s="5" t="s">
        <v>680</v>
      </c>
      <c r="F4178" s="9">
        <v>97</v>
      </c>
      <c r="G4178" s="9">
        <v>1026</v>
      </c>
      <c r="H4178" s="5" t="s">
        <v>20</v>
      </c>
      <c r="I4178" s="5" t="s">
        <v>9233</v>
      </c>
      <c r="J4178" s="12" t="str">
        <f>HYPERLINK("https://www.boe.es/gazeta/dias/1806/11/28/pdfs/GMD-1806-97.pdf#page=6","Abrir facsímil")</f>
        <v>Abrir facsímil</v>
      </c>
      <c r="K4178" s="15" t="s">
        <v>22</v>
      </c>
    </row>
    <row r="4179" spans="1:11" ht="42" customHeight="1">
      <c r="A4179" s="4" t="s">
        <v>9234</v>
      </c>
      <c r="B4179" s="5" t="s">
        <v>9234</v>
      </c>
      <c r="C4179" s="5" t="s">
        <v>69</v>
      </c>
      <c r="D4179" s="5" t="s">
        <v>70</v>
      </c>
      <c r="E4179" s="5" t="s">
        <v>185</v>
      </c>
      <c r="F4179" s="9">
        <v>46</v>
      </c>
      <c r="G4179" s="9">
        <v>461</v>
      </c>
      <c r="H4179" s="5" t="s">
        <v>20</v>
      </c>
      <c r="I4179" s="5" t="s">
        <v>9235</v>
      </c>
      <c r="J4179" s="12" t="str">
        <f>HYPERLINK("https://www.boe.es/gazeta/dias/1806/06/03/pdfs/GMD-1806-46.pdf#page=1","Abrir facsímil")</f>
        <v>Abrir facsímil</v>
      </c>
      <c r="K4179" s="15" t="s">
        <v>22</v>
      </c>
    </row>
    <row r="4180" spans="1:11" ht="42" customHeight="1">
      <c r="A4180" s="4" t="s">
        <v>9234</v>
      </c>
      <c r="B4180" s="5" t="s">
        <v>9234</v>
      </c>
      <c r="C4180" s="5" t="s">
        <v>69</v>
      </c>
      <c r="D4180" s="5" t="s">
        <v>70</v>
      </c>
      <c r="E4180" s="5" t="s">
        <v>301</v>
      </c>
      <c r="F4180" s="9">
        <v>75</v>
      </c>
      <c r="G4180" s="9">
        <v>771</v>
      </c>
      <c r="H4180" s="5" t="s">
        <v>20</v>
      </c>
      <c r="I4180" s="5" t="s">
        <v>9236</v>
      </c>
      <c r="J4180" s="12" t="str">
        <f>HYPERLINK("https://www.boe.es/gazeta/dias/1806/09/12/pdfs/GMD-1806-75.pdf#page=3","Abrir facsímil")</f>
        <v>Abrir facsímil</v>
      </c>
      <c r="K4180" s="15" t="s">
        <v>22</v>
      </c>
    </row>
    <row r="4181" spans="1:11" ht="42" customHeight="1">
      <c r="A4181" s="4" t="s">
        <v>9237</v>
      </c>
      <c r="B4181" s="5" t="s">
        <v>9237</v>
      </c>
      <c r="C4181" s="5" t="s">
        <v>69</v>
      </c>
      <c r="D4181" s="5" t="s">
        <v>70</v>
      </c>
      <c r="E4181" s="5" t="s">
        <v>136</v>
      </c>
      <c r="F4181" s="9">
        <v>50</v>
      </c>
      <c r="G4181" s="9">
        <v>509</v>
      </c>
      <c r="H4181" s="5" t="s">
        <v>20</v>
      </c>
      <c r="I4181" s="5" t="s">
        <v>9238</v>
      </c>
      <c r="J4181" s="12" t="str">
        <f>HYPERLINK("https://www.boe.es/gazeta/dias/1806/06/17/pdfs/GMD-1806-50.pdf#page=1","Abrir facsímil")</f>
        <v>Abrir facsímil</v>
      </c>
      <c r="K4181" s="15" t="s">
        <v>22</v>
      </c>
    </row>
    <row r="4182" spans="1:11" ht="42" customHeight="1">
      <c r="A4182" s="4" t="s">
        <v>9237</v>
      </c>
      <c r="B4182" s="5" t="s">
        <v>9237</v>
      </c>
      <c r="C4182" s="5" t="s">
        <v>69</v>
      </c>
      <c r="D4182" s="5" t="s">
        <v>70</v>
      </c>
      <c r="E4182" s="5" t="s">
        <v>494</v>
      </c>
      <c r="F4182" s="9">
        <v>69</v>
      </c>
      <c r="G4182" s="9">
        <v>713</v>
      </c>
      <c r="H4182" s="5" t="s">
        <v>20</v>
      </c>
      <c r="I4182" s="5" t="s">
        <v>9239</v>
      </c>
      <c r="J4182" s="12" t="str">
        <f>HYPERLINK("https://www.boe.es/gazeta/dias/1806/08/22/pdfs/GMD-1806-69.pdf#page=1","Abrir facsímil")</f>
        <v>Abrir facsímil</v>
      </c>
      <c r="K4182" s="15" t="s">
        <v>22</v>
      </c>
    </row>
    <row r="4183" spans="1:11" ht="42" customHeight="1">
      <c r="A4183" s="4" t="s">
        <v>9240</v>
      </c>
      <c r="B4183" s="5" t="s">
        <v>9240</v>
      </c>
      <c r="C4183" s="5" t="s">
        <v>31</v>
      </c>
      <c r="D4183" s="5" t="s">
        <v>32</v>
      </c>
      <c r="E4183" s="5" t="s">
        <v>148</v>
      </c>
      <c r="F4183" s="9">
        <v>78</v>
      </c>
      <c r="G4183" s="9">
        <v>801</v>
      </c>
      <c r="H4183" s="5" t="s">
        <v>20</v>
      </c>
      <c r="I4183" s="5" t="s">
        <v>9241</v>
      </c>
      <c r="J4183" s="12" t="str">
        <f>HYPERLINK("https://www.boe.es/gazeta/dias/1806/09/23/pdfs/GMD-1806-78.pdf#page=5","Abrir facsímil")</f>
        <v>Abrir facsímil</v>
      </c>
      <c r="K4183" s="15" t="s">
        <v>22</v>
      </c>
    </row>
    <row r="4184" spans="1:11" ht="42" customHeight="1">
      <c r="A4184" s="4" t="s">
        <v>9242</v>
      </c>
      <c r="B4184" s="5" t="s">
        <v>9242</v>
      </c>
      <c r="C4184" s="5" t="s">
        <v>31</v>
      </c>
      <c r="D4184" s="5" t="s">
        <v>32</v>
      </c>
      <c r="E4184" s="5" t="s">
        <v>859</v>
      </c>
      <c r="F4184" s="9">
        <v>63</v>
      </c>
      <c r="G4184" s="9">
        <v>657</v>
      </c>
      <c r="H4184" s="5" t="s">
        <v>20</v>
      </c>
      <c r="I4184" s="5" t="s">
        <v>9243</v>
      </c>
      <c r="J4184" s="12" t="str">
        <f>HYPERLINK("https://www.boe.es/gazeta/dias/1806/08/01/pdfs/GMD-1806-63.pdf#page=5","Abrir facsímil")</f>
        <v>Abrir facsímil</v>
      </c>
      <c r="K4184" s="15" t="s">
        <v>22</v>
      </c>
    </row>
    <row r="4185" spans="1:11" ht="42" customHeight="1">
      <c r="A4185" s="4" t="s">
        <v>9242</v>
      </c>
      <c r="B4185" s="5" t="s">
        <v>9242</v>
      </c>
      <c r="C4185" s="5" t="s">
        <v>31</v>
      </c>
      <c r="D4185" s="5" t="s">
        <v>32</v>
      </c>
      <c r="E4185" s="5" t="s">
        <v>810</v>
      </c>
      <c r="F4185" s="9">
        <v>71</v>
      </c>
      <c r="G4185" s="9">
        <v>737</v>
      </c>
      <c r="H4185" s="5" t="s">
        <v>20</v>
      </c>
      <c r="I4185" s="5" t="s">
        <v>9244</v>
      </c>
      <c r="J4185" s="12" t="str">
        <f>HYPERLINK("https://www.boe.es/gazeta/dias/1806/08/29/pdfs/GMD-1806-71.pdf#page=5","Abrir facsímil")</f>
        <v>Abrir facsímil</v>
      </c>
      <c r="K4185" s="15" t="s">
        <v>22</v>
      </c>
    </row>
    <row r="4186" spans="1:11" ht="42" customHeight="1">
      <c r="A4186" s="4" t="s">
        <v>9242</v>
      </c>
      <c r="B4186" s="5" t="s">
        <v>9242</v>
      </c>
      <c r="C4186" s="5" t="s">
        <v>31</v>
      </c>
      <c r="D4186" s="5" t="s">
        <v>32</v>
      </c>
      <c r="E4186" s="5" t="s">
        <v>1005</v>
      </c>
      <c r="F4186" s="9">
        <v>76</v>
      </c>
      <c r="G4186" s="9">
        <v>785</v>
      </c>
      <c r="H4186" s="5" t="s">
        <v>20</v>
      </c>
      <c r="I4186" s="5" t="s">
        <v>9245</v>
      </c>
      <c r="J4186" s="12" t="str">
        <f>HYPERLINK("https://www.boe.es/gazeta/dias/1806/09/16/pdfs/GMD-1806-76.pdf#page=5","Abrir facsímil")</f>
        <v>Abrir facsímil</v>
      </c>
      <c r="K4186" s="15" t="s">
        <v>22</v>
      </c>
    </row>
    <row r="4187" spans="1:11" ht="42" customHeight="1">
      <c r="A4187" s="4" t="s">
        <v>9242</v>
      </c>
      <c r="B4187" s="5" t="s">
        <v>9242</v>
      </c>
      <c r="C4187" s="5" t="s">
        <v>31</v>
      </c>
      <c r="D4187" s="5" t="s">
        <v>32</v>
      </c>
      <c r="E4187" s="5" t="s">
        <v>1568</v>
      </c>
      <c r="F4187" s="9">
        <v>84</v>
      </c>
      <c r="G4187" s="9">
        <v>869</v>
      </c>
      <c r="H4187" s="5" t="s">
        <v>20</v>
      </c>
      <c r="I4187" s="5" t="s">
        <v>9246</v>
      </c>
      <c r="J4187" s="12" t="str">
        <f>HYPERLINK("https://www.boe.es/gazeta/dias/1806/10/14/pdfs/GMD-1806-84.pdf#page=5","Abrir facsímil")</f>
        <v>Abrir facsímil</v>
      </c>
      <c r="K4187" s="15" t="s">
        <v>22</v>
      </c>
    </row>
    <row r="4188" spans="1:11" ht="42" customHeight="1">
      <c r="A4188" s="4" t="s">
        <v>9247</v>
      </c>
      <c r="B4188" s="5" t="s">
        <v>9247</v>
      </c>
      <c r="C4188" s="5" t="s">
        <v>69</v>
      </c>
      <c r="D4188" s="5" t="s">
        <v>70</v>
      </c>
      <c r="E4188" s="5" t="s">
        <v>309</v>
      </c>
      <c r="F4188" s="9">
        <v>41</v>
      </c>
      <c r="G4188" s="9">
        <v>402</v>
      </c>
      <c r="H4188" s="5" t="s">
        <v>20</v>
      </c>
      <c r="I4188" s="5" t="s">
        <v>9248</v>
      </c>
      <c r="J4188" s="12" t="str">
        <f>HYPERLINK("https://www.boe.es/gazeta/dias/1806/05/16/pdfs/GMD-1806-41.pdf#page=2","Abrir facsímil")</f>
        <v>Abrir facsímil</v>
      </c>
      <c r="K4188" s="15" t="s">
        <v>22</v>
      </c>
    </row>
    <row r="4189" spans="1:11" ht="42" customHeight="1">
      <c r="A4189" s="4" t="s">
        <v>9249</v>
      </c>
      <c r="B4189" s="5" t="s">
        <v>9249</v>
      </c>
      <c r="C4189" s="5" t="s">
        <v>69</v>
      </c>
      <c r="D4189" s="5" t="s">
        <v>70</v>
      </c>
      <c r="E4189" s="5" t="s">
        <v>455</v>
      </c>
      <c r="F4189" s="9">
        <v>85</v>
      </c>
      <c r="G4189" s="9">
        <v>876</v>
      </c>
      <c r="H4189" s="5" t="s">
        <v>20</v>
      </c>
      <c r="I4189" s="5" t="s">
        <v>9250</v>
      </c>
      <c r="J4189" s="12" t="str">
        <f>HYPERLINK("https://www.boe.es/gazeta/dias/1806/10/17/pdfs/GMD-1806-85.pdf#page=4","Abrir facsímil")</f>
        <v>Abrir facsímil</v>
      </c>
      <c r="K4189" s="15" t="s">
        <v>22</v>
      </c>
    </row>
    <row r="4190" spans="1:11" ht="42" customHeight="1">
      <c r="A4190" s="4" t="s">
        <v>9251</v>
      </c>
      <c r="B4190" s="5" t="s">
        <v>9251</v>
      </c>
      <c r="C4190" s="5" t="s">
        <v>69</v>
      </c>
      <c r="D4190" s="5" t="s">
        <v>70</v>
      </c>
      <c r="E4190" s="5" t="s">
        <v>93</v>
      </c>
      <c r="F4190" s="9">
        <v>72</v>
      </c>
      <c r="G4190" s="9">
        <v>743</v>
      </c>
      <c r="H4190" s="5" t="s">
        <v>20</v>
      </c>
      <c r="I4190" s="5" t="s">
        <v>9252</v>
      </c>
      <c r="J4190" s="12" t="str">
        <f>HYPERLINK("https://www.boe.es/gazeta/dias/1806/09/02/pdfs/GMD-1806-72.pdf#page=3","Abrir facsímil")</f>
        <v>Abrir facsímil</v>
      </c>
      <c r="K4190" s="15" t="s">
        <v>22</v>
      </c>
    </row>
    <row r="4191" spans="1:11" ht="42" customHeight="1">
      <c r="A4191" s="4" t="s">
        <v>9253</v>
      </c>
      <c r="B4191" s="5" t="s">
        <v>9253</v>
      </c>
      <c r="C4191" s="5" t="s">
        <v>17</v>
      </c>
      <c r="D4191" s="5" t="s">
        <v>18</v>
      </c>
      <c r="E4191" s="5" t="s">
        <v>178</v>
      </c>
      <c r="F4191" s="9">
        <v>36</v>
      </c>
      <c r="G4191" s="9">
        <v>349</v>
      </c>
      <c r="H4191" s="5" t="s">
        <v>20</v>
      </c>
      <c r="I4191" s="5" t="s">
        <v>9254</v>
      </c>
      <c r="J4191" s="12" t="str">
        <f>HYPERLINK("https://www.boe.es/gazeta/dias/1806/04/29/pdfs/GMD-1806-36.pdf#page=5","Abrir facsímil")</f>
        <v>Abrir facsímil</v>
      </c>
      <c r="K4191" s="15" t="s">
        <v>22</v>
      </c>
    </row>
    <row r="4192" spans="1:11" ht="42" customHeight="1">
      <c r="A4192" s="4" t="s">
        <v>9255</v>
      </c>
      <c r="B4192" s="5" t="s">
        <v>9255</v>
      </c>
      <c r="C4192" s="5" t="s">
        <v>17</v>
      </c>
      <c r="D4192" s="5" t="s">
        <v>18</v>
      </c>
      <c r="E4192" s="5" t="s">
        <v>816</v>
      </c>
      <c r="F4192" s="9">
        <v>86</v>
      </c>
      <c r="G4192" s="9">
        <v>890</v>
      </c>
      <c r="H4192" s="5" t="s">
        <v>20</v>
      </c>
      <c r="I4192" s="5" t="s">
        <v>9256</v>
      </c>
      <c r="J4192" s="12" t="str">
        <f>HYPERLINK("https://www.boe.es/gazeta/dias/1806/10/21/pdfs/GMD-1806-86.pdf#page=6","Abrir facsímil")</f>
        <v>Abrir facsímil</v>
      </c>
      <c r="K4192" s="15" t="s">
        <v>22</v>
      </c>
    </row>
    <row r="4193" spans="1:11" ht="42" customHeight="1">
      <c r="A4193" s="4" t="s">
        <v>9257</v>
      </c>
      <c r="B4193" s="5" t="s">
        <v>9257</v>
      </c>
      <c r="C4193" s="5" t="s">
        <v>69</v>
      </c>
      <c r="D4193" s="5" t="s">
        <v>70</v>
      </c>
      <c r="E4193" s="5" t="s">
        <v>44</v>
      </c>
      <c r="F4193" s="9">
        <v>42</v>
      </c>
      <c r="G4193" s="9">
        <v>417</v>
      </c>
      <c r="H4193" s="5" t="s">
        <v>20</v>
      </c>
      <c r="I4193" s="5" t="s">
        <v>9258</v>
      </c>
      <c r="J4193" s="12" t="str">
        <f>HYPERLINK("https://www.boe.es/gazeta/dias/1806/05/20/pdfs/GMD-1806-42.pdf#page=5","Abrir facsímil")</f>
        <v>Abrir facsímil</v>
      </c>
      <c r="K4193" s="15" t="s">
        <v>22</v>
      </c>
    </row>
    <row r="4194" spans="1:11" ht="42" customHeight="1">
      <c r="A4194" s="4" t="s">
        <v>9257</v>
      </c>
      <c r="B4194" s="5" t="s">
        <v>9257</v>
      </c>
      <c r="C4194" s="5" t="s">
        <v>36</v>
      </c>
      <c r="D4194" s="5" t="s">
        <v>37</v>
      </c>
      <c r="E4194" s="5" t="s">
        <v>702</v>
      </c>
      <c r="F4194" s="9">
        <v>43</v>
      </c>
      <c r="G4194" s="9">
        <v>428</v>
      </c>
      <c r="H4194" s="5" t="s">
        <v>20</v>
      </c>
      <c r="I4194" s="5" t="s">
        <v>9259</v>
      </c>
      <c r="J4194" s="12" t="str">
        <f>HYPERLINK("https://www.boe.es/gazeta/dias/1806/05/23/pdfs/GMD-1806-43.pdf#page=4","Abrir facsímil")</f>
        <v>Abrir facsímil</v>
      </c>
      <c r="K4194" s="15" t="s">
        <v>22</v>
      </c>
    </row>
    <row r="4195" spans="1:11" ht="42" customHeight="1">
      <c r="A4195" s="4" t="s">
        <v>9260</v>
      </c>
      <c r="B4195" s="5" t="s">
        <v>9260</v>
      </c>
      <c r="C4195" s="5" t="s">
        <v>69</v>
      </c>
      <c r="D4195" s="5" t="s">
        <v>70</v>
      </c>
      <c r="E4195" s="5" t="s">
        <v>165</v>
      </c>
      <c r="F4195" s="9">
        <v>101</v>
      </c>
      <c r="G4195" s="9">
        <v>1070</v>
      </c>
      <c r="H4195" s="5" t="s">
        <v>20</v>
      </c>
      <c r="I4195" s="5" t="s">
        <v>9261</v>
      </c>
      <c r="J4195" s="12" t="str">
        <f>HYPERLINK("https://www.boe.es/gazeta/dias/1806/12/12/pdfs/GMD-1806-101.pdf#page=2","Abrir facsímil")</f>
        <v>Abrir facsímil</v>
      </c>
      <c r="K4195" s="15" t="s">
        <v>22</v>
      </c>
    </row>
    <row r="4196" spans="1:11" ht="42" customHeight="1">
      <c r="A4196" s="4" t="s">
        <v>9262</v>
      </c>
      <c r="B4196" s="5" t="s">
        <v>9262</v>
      </c>
      <c r="C4196" s="5" t="s">
        <v>69</v>
      </c>
      <c r="D4196" s="5" t="s">
        <v>70</v>
      </c>
      <c r="E4196" s="5" t="s">
        <v>178</v>
      </c>
      <c r="F4196" s="9">
        <v>36</v>
      </c>
      <c r="G4196" s="9">
        <v>345</v>
      </c>
      <c r="H4196" s="5" t="s">
        <v>20</v>
      </c>
      <c r="I4196" s="5" t="s">
        <v>9263</v>
      </c>
      <c r="J4196" s="12" t="str">
        <f>HYPERLINK("https://www.boe.es/gazeta/dias/1806/04/29/pdfs/GMD-1806-36.pdf#page=1","Abrir facsímil")</f>
        <v>Abrir facsímil</v>
      </c>
      <c r="K4196" s="15" t="s">
        <v>22</v>
      </c>
    </row>
    <row r="4197" spans="1:11" ht="42" customHeight="1">
      <c r="A4197" s="4" t="s">
        <v>9264</v>
      </c>
      <c r="B4197" s="5" t="s">
        <v>9264</v>
      </c>
      <c r="C4197" s="5" t="s">
        <v>17</v>
      </c>
      <c r="D4197" s="5" t="s">
        <v>18</v>
      </c>
      <c r="E4197" s="5" t="s">
        <v>702</v>
      </c>
      <c r="F4197" s="9">
        <v>43</v>
      </c>
      <c r="G4197" s="9">
        <v>430</v>
      </c>
      <c r="H4197" s="5" t="s">
        <v>20</v>
      </c>
      <c r="I4197" s="5" t="s">
        <v>9265</v>
      </c>
      <c r="J4197" s="12" t="str">
        <f>HYPERLINK("https://www.boe.es/gazeta/dias/1806/05/23/pdfs/GMD-1806-43.pdf#page=6","Abrir facsímil")</f>
        <v>Abrir facsímil</v>
      </c>
      <c r="K4197" s="15" t="s">
        <v>22</v>
      </c>
    </row>
    <row r="4198" spans="1:11" ht="42" customHeight="1">
      <c r="A4198" s="4" t="s">
        <v>9264</v>
      </c>
      <c r="B4198" s="5" t="s">
        <v>9264</v>
      </c>
      <c r="C4198" s="5" t="s">
        <v>17</v>
      </c>
      <c r="D4198" s="5" t="s">
        <v>18</v>
      </c>
      <c r="E4198" s="5" t="s">
        <v>209</v>
      </c>
      <c r="F4198" s="9">
        <v>95</v>
      </c>
      <c r="G4198" s="9">
        <v>995</v>
      </c>
      <c r="H4198" s="5" t="s">
        <v>20</v>
      </c>
      <c r="I4198" s="5" t="s">
        <v>9266</v>
      </c>
      <c r="J4198" s="12" t="str">
        <f>HYPERLINK("https://www.boe.es/gazeta/dias/1806/11/21/pdfs/GMD-1806-95.pdf#page=3","Abrir facsímil")</f>
        <v>Abrir facsímil</v>
      </c>
      <c r="K4198" s="15" t="s">
        <v>22</v>
      </c>
    </row>
    <row r="4199" spans="1:11" ht="42" customHeight="1">
      <c r="A4199" s="4" t="s">
        <v>9267</v>
      </c>
      <c r="B4199" s="5" t="s">
        <v>9267</v>
      </c>
      <c r="C4199" s="5" t="s">
        <v>69</v>
      </c>
      <c r="D4199" s="5" t="s">
        <v>70</v>
      </c>
      <c r="E4199" s="5" t="s">
        <v>82</v>
      </c>
      <c r="F4199" s="9">
        <v>48</v>
      </c>
      <c r="G4199" s="9">
        <v>491</v>
      </c>
      <c r="H4199" s="5" t="s">
        <v>20</v>
      </c>
      <c r="I4199" s="5" t="s">
        <v>9268</v>
      </c>
      <c r="J4199" s="12" t="str">
        <f>HYPERLINK("https://www.boe.es/gazeta/dias/1806/06/10/pdfs/GMD-1806-48.pdf#page=3","Abrir facsímil")</f>
        <v>Abrir facsímil</v>
      </c>
      <c r="K4199" s="15" t="s">
        <v>22</v>
      </c>
    </row>
    <row r="4200" spans="1:11" ht="42" customHeight="1">
      <c r="A4200" s="4" t="s">
        <v>9269</v>
      </c>
      <c r="B4200" s="5" t="s">
        <v>9269</v>
      </c>
      <c r="C4200" s="5" t="s">
        <v>69</v>
      </c>
      <c r="D4200" s="5" t="s">
        <v>70</v>
      </c>
      <c r="E4200" s="5" t="s">
        <v>661</v>
      </c>
      <c r="F4200" s="9">
        <v>38</v>
      </c>
      <c r="G4200" s="9">
        <v>366</v>
      </c>
      <c r="H4200" s="5" t="s">
        <v>20</v>
      </c>
      <c r="I4200" s="5" t="s">
        <v>9270</v>
      </c>
      <c r="J4200" s="12" t="str">
        <f>HYPERLINK("https://www.boe.es/gazeta/dias/1806/05/06/pdfs/GMD-1806-38.pdf#page=2","Abrir facsímil")</f>
        <v>Abrir facsímil</v>
      </c>
      <c r="K4200" s="15" t="s">
        <v>22</v>
      </c>
    </row>
    <row r="4201" spans="1:11" ht="42" customHeight="1">
      <c r="A4201" s="4" t="s">
        <v>9269</v>
      </c>
      <c r="B4201" s="5" t="s">
        <v>9269</v>
      </c>
      <c r="C4201" s="5" t="s">
        <v>69</v>
      </c>
      <c r="D4201" s="5" t="s">
        <v>70</v>
      </c>
      <c r="E4201" s="5" t="s">
        <v>175</v>
      </c>
      <c r="F4201" s="9">
        <v>40</v>
      </c>
      <c r="G4201" s="9">
        <v>390</v>
      </c>
      <c r="H4201" s="5" t="s">
        <v>20</v>
      </c>
      <c r="I4201" s="5" t="s">
        <v>9271</v>
      </c>
      <c r="J4201" s="12" t="str">
        <f>HYPERLINK("https://www.boe.es/gazeta/dias/1806/05/13/pdfs/GMD-1806-40.pdf#page=2","Abrir facsímil")</f>
        <v>Abrir facsímil</v>
      </c>
      <c r="K4201" s="15" t="s">
        <v>22</v>
      </c>
    </row>
    <row r="4202" spans="1:11" ht="42" customHeight="1">
      <c r="A4202" s="4" t="s">
        <v>9269</v>
      </c>
      <c r="B4202" s="5" t="s">
        <v>9269</v>
      </c>
      <c r="C4202" s="5" t="s">
        <v>69</v>
      </c>
      <c r="D4202" s="5" t="s">
        <v>70</v>
      </c>
      <c r="E4202" s="5" t="s">
        <v>1005</v>
      </c>
      <c r="F4202" s="9">
        <v>76</v>
      </c>
      <c r="G4202" s="9">
        <v>782</v>
      </c>
      <c r="H4202" s="5" t="s">
        <v>20</v>
      </c>
      <c r="I4202" s="5" t="s">
        <v>9272</v>
      </c>
      <c r="J4202" s="12" t="str">
        <f>HYPERLINK("https://www.boe.es/gazeta/dias/1806/09/16/pdfs/GMD-1806-76.pdf#page=2","Abrir facsímil")</f>
        <v>Abrir facsímil</v>
      </c>
      <c r="K4202" s="15" t="s">
        <v>22</v>
      </c>
    </row>
    <row r="4203" spans="1:11" ht="42" customHeight="1">
      <c r="A4203" s="4" t="s">
        <v>9269</v>
      </c>
      <c r="B4203" s="5" t="s">
        <v>9269</v>
      </c>
      <c r="C4203" s="5" t="s">
        <v>36</v>
      </c>
      <c r="D4203" s="5" t="s">
        <v>37</v>
      </c>
      <c r="E4203" s="5" t="s">
        <v>148</v>
      </c>
      <c r="F4203" s="9">
        <v>78</v>
      </c>
      <c r="G4203" s="9">
        <v>801</v>
      </c>
      <c r="H4203" s="5" t="s">
        <v>20</v>
      </c>
      <c r="I4203" s="5" t="s">
        <v>9273</v>
      </c>
      <c r="J4203" s="12" t="str">
        <f>HYPERLINK("https://www.boe.es/gazeta/dias/1806/09/23/pdfs/GMD-1806-78.pdf#page=5","Abrir facsímil")</f>
        <v>Abrir facsímil</v>
      </c>
      <c r="K4203" s="15" t="s">
        <v>22</v>
      </c>
    </row>
    <row r="4204" spans="1:11" ht="42" customHeight="1">
      <c r="A4204" s="4" t="s">
        <v>9274</v>
      </c>
      <c r="B4204" s="5" t="s">
        <v>9274</v>
      </c>
      <c r="C4204" s="5" t="s">
        <v>36</v>
      </c>
      <c r="D4204" s="5" t="s">
        <v>37</v>
      </c>
      <c r="E4204" s="5" t="s">
        <v>483</v>
      </c>
      <c r="F4204" s="9">
        <v>58</v>
      </c>
      <c r="G4204" s="9">
        <v>597</v>
      </c>
      <c r="H4204" s="5" t="s">
        <v>20</v>
      </c>
      <c r="I4204" s="5" t="s">
        <v>9275</v>
      </c>
      <c r="J4204" s="12" t="str">
        <f>HYPERLINK("https://www.boe.es/gazeta/dias/1806/07/15/pdfs/GMD-1806-58.pdf#page=1","Abrir facsímil")</f>
        <v>Abrir facsímil</v>
      </c>
      <c r="K4204" s="15" t="s">
        <v>22</v>
      </c>
    </row>
    <row r="4205" spans="1:11" ht="42" customHeight="1">
      <c r="A4205" s="4" t="s">
        <v>9276</v>
      </c>
      <c r="B4205" s="5" t="s">
        <v>9276</v>
      </c>
      <c r="C4205" s="5" t="s">
        <v>69</v>
      </c>
      <c r="D4205" s="5" t="s">
        <v>70</v>
      </c>
      <c r="E4205" s="5" t="s">
        <v>33</v>
      </c>
      <c r="F4205" s="9">
        <v>82</v>
      </c>
      <c r="G4205" s="9">
        <v>843</v>
      </c>
      <c r="H4205" s="5" t="s">
        <v>20</v>
      </c>
      <c r="I4205" s="5" t="s">
        <v>9277</v>
      </c>
      <c r="J4205" s="12" t="str">
        <f>HYPERLINK("https://www.boe.es/gazeta/dias/1806/10/07/pdfs/GMD-1806-82.pdf#page=3","Abrir facsímil")</f>
        <v>Abrir facsímil</v>
      </c>
      <c r="K4205" s="15" t="s">
        <v>22</v>
      </c>
    </row>
    <row r="4206" spans="1:11" ht="42" customHeight="1">
      <c r="A4206" s="4" t="s">
        <v>9278</v>
      </c>
      <c r="B4206" s="5" t="s">
        <v>9278</v>
      </c>
      <c r="C4206" s="5" t="s">
        <v>17</v>
      </c>
      <c r="D4206" s="5" t="s">
        <v>18</v>
      </c>
      <c r="E4206" s="5" t="s">
        <v>209</v>
      </c>
      <c r="F4206" s="9">
        <v>95</v>
      </c>
      <c r="G4206" s="9">
        <v>998</v>
      </c>
      <c r="H4206" s="5" t="s">
        <v>20</v>
      </c>
      <c r="I4206" s="5" t="s">
        <v>9279</v>
      </c>
      <c r="J4206" s="12" t="str">
        <f>HYPERLINK("https://www.boe.es/gazeta/dias/1806/11/21/pdfs/GMD-1806-95.pdf#page=6","Abrir facsímil")</f>
        <v>Abrir facsímil</v>
      </c>
      <c r="K4206" s="15" t="s">
        <v>22</v>
      </c>
    </row>
    <row r="4207" spans="1:11" ht="42" customHeight="1">
      <c r="A4207" s="4" t="s">
        <v>9280</v>
      </c>
      <c r="B4207" s="5" t="s">
        <v>9280</v>
      </c>
      <c r="C4207" s="5" t="s">
        <v>69</v>
      </c>
      <c r="D4207" s="5" t="s">
        <v>70</v>
      </c>
      <c r="E4207" s="5" t="s">
        <v>86</v>
      </c>
      <c r="F4207" s="9">
        <v>53</v>
      </c>
      <c r="G4207" s="9">
        <v>548</v>
      </c>
      <c r="H4207" s="5" t="s">
        <v>20</v>
      </c>
      <c r="I4207" s="5" t="s">
        <v>9281</v>
      </c>
      <c r="J4207" s="12" t="str">
        <f>HYPERLINK("https://www.boe.es/gazeta/dias/1806/06/27/pdfs/GMD-1806-53.pdf#page=4","Abrir facsímil")</f>
        <v>Abrir facsímil</v>
      </c>
      <c r="K4207" s="15" t="s">
        <v>22</v>
      </c>
    </row>
    <row r="4208" spans="1:11" ht="42" customHeight="1">
      <c r="A4208" s="4" t="s">
        <v>9280</v>
      </c>
      <c r="B4208" s="5" t="s">
        <v>9280</v>
      </c>
      <c r="C4208" s="5" t="s">
        <v>69</v>
      </c>
      <c r="D4208" s="5" t="s">
        <v>70</v>
      </c>
      <c r="E4208" s="5" t="s">
        <v>181</v>
      </c>
      <c r="F4208" s="9">
        <v>99</v>
      </c>
      <c r="G4208" s="9">
        <v>1051</v>
      </c>
      <c r="H4208" s="5" t="s">
        <v>20</v>
      </c>
      <c r="I4208" s="5" t="s">
        <v>9282</v>
      </c>
      <c r="J4208" s="12" t="str">
        <f>HYPERLINK("https://www.boe.es/gazeta/dias/1806/12/05/pdfs/GMD-1806-99.pdf#page=7","Abrir facsímil")</f>
        <v>Abrir facsímil</v>
      </c>
      <c r="K4208" s="15" t="s">
        <v>22</v>
      </c>
    </row>
    <row r="4209" spans="1:11" ht="42" customHeight="1">
      <c r="A4209" s="4" t="s">
        <v>9283</v>
      </c>
      <c r="B4209" s="5" t="s">
        <v>9283</v>
      </c>
      <c r="C4209" s="5" t="s">
        <v>17</v>
      </c>
      <c r="D4209" s="5" t="s">
        <v>18</v>
      </c>
      <c r="E4209" s="5" t="s">
        <v>82</v>
      </c>
      <c r="F4209" s="9">
        <v>48</v>
      </c>
      <c r="G4209" s="9">
        <v>496</v>
      </c>
      <c r="H4209" s="5" t="s">
        <v>20</v>
      </c>
      <c r="I4209" s="5" t="s">
        <v>9284</v>
      </c>
      <c r="J4209" s="12" t="str">
        <f>HYPERLINK("https://www.boe.es/gazeta/dias/1806/06/10/pdfs/GMD-1806-48.pdf#page=8","Abrir facsímil")</f>
        <v>Abrir facsímil</v>
      </c>
      <c r="K4209" s="15" t="s">
        <v>22</v>
      </c>
    </row>
    <row r="4210" spans="1:11" ht="42" customHeight="1">
      <c r="A4210" s="4" t="s">
        <v>9285</v>
      </c>
      <c r="B4210" s="5" t="s">
        <v>9286</v>
      </c>
      <c r="C4210" s="5" t="s">
        <v>31</v>
      </c>
      <c r="D4210" s="5" t="s">
        <v>32</v>
      </c>
      <c r="E4210" s="5" t="s">
        <v>205</v>
      </c>
      <c r="F4210" s="9">
        <v>57</v>
      </c>
      <c r="G4210" s="9">
        <v>591</v>
      </c>
      <c r="H4210" s="5" t="s">
        <v>20</v>
      </c>
      <c r="I4210" s="5" t="s">
        <v>9287</v>
      </c>
      <c r="J4210" s="12" t="str">
        <f>HYPERLINK("https://www.boe.es/gazeta/dias/1806/07/11/pdfs/GMD-1806-57.pdf#page=3","Abrir facsímil")</f>
        <v>Abrir facsímil</v>
      </c>
      <c r="K4210" s="15" t="s">
        <v>22</v>
      </c>
    </row>
    <row r="4211" spans="1:11" ht="42" customHeight="1">
      <c r="A4211" s="4" t="s">
        <v>9285</v>
      </c>
      <c r="B4211" s="5" t="s">
        <v>9286</v>
      </c>
      <c r="C4211" s="5" t="s">
        <v>69</v>
      </c>
      <c r="D4211" s="5" t="s">
        <v>70</v>
      </c>
      <c r="E4211" s="5" t="s">
        <v>96</v>
      </c>
      <c r="F4211" s="9">
        <v>62</v>
      </c>
      <c r="G4211" s="9">
        <v>645</v>
      </c>
      <c r="H4211" s="5" t="s">
        <v>20</v>
      </c>
      <c r="I4211" s="5" t="s">
        <v>9288</v>
      </c>
      <c r="J4211" s="12" t="str">
        <f>HYPERLINK("https://www.boe.es/gazeta/dias/1806/07/29/pdfs/GMD-1806-62.pdf#page=5","Abrir facsímil")</f>
        <v>Abrir facsímil</v>
      </c>
      <c r="K4211" s="15" t="s">
        <v>22</v>
      </c>
    </row>
    <row r="4212" spans="1:11" ht="42" customHeight="1">
      <c r="A4212" s="4" t="s">
        <v>9285</v>
      </c>
      <c r="B4212" s="5" t="s">
        <v>9286</v>
      </c>
      <c r="C4212" s="5" t="s">
        <v>31</v>
      </c>
      <c r="D4212" s="5" t="s">
        <v>32</v>
      </c>
      <c r="E4212" s="5" t="s">
        <v>859</v>
      </c>
      <c r="F4212" s="9">
        <v>63</v>
      </c>
      <c r="G4212" s="9">
        <v>657</v>
      </c>
      <c r="H4212" s="5" t="s">
        <v>20</v>
      </c>
      <c r="I4212" s="5" t="s">
        <v>9289</v>
      </c>
      <c r="J4212" s="12" t="str">
        <f>HYPERLINK("https://www.boe.es/gazeta/dias/1806/08/01/pdfs/GMD-1806-63.pdf#page=5","Abrir facsímil")</f>
        <v>Abrir facsímil</v>
      </c>
      <c r="K4212" s="15" t="s">
        <v>22</v>
      </c>
    </row>
    <row r="4213" spans="1:11" ht="42" customHeight="1">
      <c r="A4213" s="4" t="s">
        <v>9285</v>
      </c>
      <c r="B4213" s="5" t="s">
        <v>9286</v>
      </c>
      <c r="C4213" s="5" t="s">
        <v>69</v>
      </c>
      <c r="D4213" s="5" t="s">
        <v>70</v>
      </c>
      <c r="E4213" s="5" t="s">
        <v>48</v>
      </c>
      <c r="F4213" s="9">
        <v>67</v>
      </c>
      <c r="G4213" s="9">
        <v>696</v>
      </c>
      <c r="H4213" s="5" t="s">
        <v>20</v>
      </c>
      <c r="I4213" s="5" t="s">
        <v>9290</v>
      </c>
      <c r="J4213" s="12" t="str">
        <f>HYPERLINK("https://www.boe.es/gazeta/dias/1806/08/15/pdfs/GMD-1806-67.pdf#page=4","Abrir facsímil")</f>
        <v>Abrir facsímil</v>
      </c>
      <c r="K4213" s="15" t="s">
        <v>22</v>
      </c>
    </row>
    <row r="4214" spans="1:11" ht="42" customHeight="1">
      <c r="A4214" s="4" t="s">
        <v>9291</v>
      </c>
      <c r="B4214" s="5" t="s">
        <v>9292</v>
      </c>
      <c r="C4214" s="5" t="s">
        <v>31</v>
      </c>
      <c r="D4214" s="5" t="s">
        <v>32</v>
      </c>
      <c r="E4214" s="5" t="s">
        <v>494</v>
      </c>
      <c r="F4214" s="9">
        <v>69</v>
      </c>
      <c r="G4214" s="9">
        <v>718</v>
      </c>
      <c r="H4214" s="5" t="s">
        <v>20</v>
      </c>
      <c r="I4214" s="5" t="s">
        <v>9293</v>
      </c>
      <c r="J4214" s="12" t="str">
        <f>HYPERLINK("https://www.boe.es/gazeta/dias/1806/08/22/pdfs/GMD-1806-69.pdf#page=6","Abrir facsímil")</f>
        <v>Abrir facsímil</v>
      </c>
      <c r="K4214" s="15" t="s">
        <v>22</v>
      </c>
    </row>
    <row r="4215" spans="1:11" ht="42" customHeight="1">
      <c r="A4215" s="4" t="s">
        <v>9294</v>
      </c>
      <c r="B4215" s="5" t="s">
        <v>9295</v>
      </c>
      <c r="C4215" s="5" t="s">
        <v>69</v>
      </c>
      <c r="D4215" s="5" t="s">
        <v>70</v>
      </c>
      <c r="E4215" s="5" t="s">
        <v>172</v>
      </c>
      <c r="F4215" s="9">
        <v>17</v>
      </c>
      <c r="G4215" s="9">
        <v>150</v>
      </c>
      <c r="H4215" s="5" t="s">
        <v>20</v>
      </c>
      <c r="I4215" s="5" t="s">
        <v>9296</v>
      </c>
      <c r="J4215" s="12" t="str">
        <f>HYPERLINK("https://www.boe.es/gazeta/dias/1806/02/21/pdfs/GMD-1806-17.pdf#page=6","Abrir facsímil")</f>
        <v>Abrir facsímil</v>
      </c>
      <c r="K4215" s="15" t="s">
        <v>22</v>
      </c>
    </row>
    <row r="4216" spans="1:11" ht="42" customHeight="1">
      <c r="A4216" s="4" t="s">
        <v>9294</v>
      </c>
      <c r="B4216" s="5" t="s">
        <v>9295</v>
      </c>
      <c r="C4216" s="5" t="s">
        <v>69</v>
      </c>
      <c r="D4216" s="5" t="s">
        <v>70</v>
      </c>
      <c r="E4216" s="5" t="s">
        <v>55</v>
      </c>
      <c r="F4216" s="9">
        <v>20</v>
      </c>
      <c r="G4216" s="9">
        <v>182</v>
      </c>
      <c r="H4216" s="5" t="s">
        <v>20</v>
      </c>
      <c r="I4216" s="5" t="s">
        <v>9297</v>
      </c>
      <c r="J4216" s="12" t="str">
        <f>HYPERLINK("https://www.boe.es/gazeta/dias/1806/03/04/pdfs/GMD-1806-20.pdf#page=6","Abrir facsímil")</f>
        <v>Abrir facsímil</v>
      </c>
      <c r="K4216" s="15" t="s">
        <v>22</v>
      </c>
    </row>
    <row r="4217" spans="1:11" ht="42" customHeight="1">
      <c r="A4217" s="4" t="s">
        <v>9298</v>
      </c>
      <c r="B4217" s="5" t="s">
        <v>9299</v>
      </c>
      <c r="C4217" s="5" t="s">
        <v>31</v>
      </c>
      <c r="D4217" s="5" t="s">
        <v>32</v>
      </c>
      <c r="E4217" s="5" t="s">
        <v>93</v>
      </c>
      <c r="F4217" s="9">
        <v>72</v>
      </c>
      <c r="G4217" s="9">
        <v>748</v>
      </c>
      <c r="H4217" s="5" t="s">
        <v>20</v>
      </c>
      <c r="I4217" s="5" t="s">
        <v>9300</v>
      </c>
      <c r="J4217" s="12" t="str">
        <f>HYPERLINK("https://www.boe.es/gazeta/dias/1806/09/02/pdfs/GMD-1806-72.pdf#page=8","Abrir facsímil")</f>
        <v>Abrir facsímil</v>
      </c>
      <c r="K4217" s="15" t="s">
        <v>22</v>
      </c>
    </row>
    <row r="4218" spans="1:11" ht="42" customHeight="1">
      <c r="A4218" s="4" t="s">
        <v>9301</v>
      </c>
      <c r="B4218" s="5" t="s">
        <v>9302</v>
      </c>
      <c r="C4218" s="5" t="s">
        <v>31</v>
      </c>
      <c r="D4218" s="5" t="s">
        <v>32</v>
      </c>
      <c r="E4218" s="5" t="s">
        <v>202</v>
      </c>
      <c r="F4218" s="9">
        <v>30</v>
      </c>
      <c r="G4218" s="9">
        <v>295</v>
      </c>
      <c r="H4218" s="5" t="s">
        <v>20</v>
      </c>
      <c r="I4218" s="5" t="s">
        <v>9303</v>
      </c>
      <c r="J4218" s="12" t="str">
        <f>HYPERLINK("https://www.boe.es/gazeta/dias/1806/04/08/pdfs/GMD-1806-30.pdf#page=7","Abrir facsímil")</f>
        <v>Abrir facsímil</v>
      </c>
      <c r="K4218" s="15" t="s">
        <v>22</v>
      </c>
    </row>
    <row r="4219" spans="1:11" ht="42" customHeight="1">
      <c r="A4219" s="4" t="s">
        <v>9304</v>
      </c>
      <c r="B4219" s="5" t="s">
        <v>9305</v>
      </c>
      <c r="C4219" s="5" t="s">
        <v>36</v>
      </c>
      <c r="D4219" s="5" t="s">
        <v>37</v>
      </c>
      <c r="E4219" s="5" t="s">
        <v>96</v>
      </c>
      <c r="F4219" s="9">
        <v>62</v>
      </c>
      <c r="G4219" s="9">
        <v>652</v>
      </c>
      <c r="H4219" s="5" t="s">
        <v>20</v>
      </c>
      <c r="I4219" s="5" t="s">
        <v>9306</v>
      </c>
      <c r="J4219" s="12" t="str">
        <f>HYPERLINK("https://www.boe.es/gazeta/dias/1806/07/29/pdfs/GMD-1806-62.pdf#page=12","Abrir facsímil")</f>
        <v>Abrir facsímil</v>
      </c>
      <c r="K4219" s="15" t="s">
        <v>22</v>
      </c>
    </row>
    <row r="4220" spans="1:11" ht="42" customHeight="1">
      <c r="A4220" s="4" t="s">
        <v>9307</v>
      </c>
      <c r="B4220" s="5" t="s">
        <v>9308</v>
      </c>
      <c r="C4220" s="5" t="s">
        <v>75</v>
      </c>
      <c r="D4220" s="5" t="s">
        <v>43</v>
      </c>
      <c r="E4220" s="5" t="s">
        <v>306</v>
      </c>
      <c r="F4220" s="9">
        <v>59</v>
      </c>
      <c r="G4220" s="9">
        <v>613</v>
      </c>
      <c r="H4220" s="5" t="s">
        <v>20</v>
      </c>
      <c r="I4220" s="5" t="s">
        <v>9309</v>
      </c>
      <c r="J4220" s="12" t="str">
        <f>HYPERLINK("https://www.boe.es/gazeta/dias/1806/07/18/pdfs/GMD-1806-59.pdf#page=9","Abrir facsímil")</f>
        <v>Abrir facsímil</v>
      </c>
      <c r="K4220" s="15" t="s">
        <v>22</v>
      </c>
    </row>
    <row r="4221" spans="1:11" ht="42" customHeight="1">
      <c r="A4221" s="4" t="s">
        <v>9310</v>
      </c>
      <c r="B4221" s="5" t="s">
        <v>9310</v>
      </c>
      <c r="C4221" s="5" t="s">
        <v>75</v>
      </c>
      <c r="D4221" s="5" t="s">
        <v>43</v>
      </c>
      <c r="E4221" s="5" t="s">
        <v>188</v>
      </c>
      <c r="F4221" s="9">
        <v>2</v>
      </c>
      <c r="G4221" s="9">
        <v>18</v>
      </c>
      <c r="H4221" s="5" t="s">
        <v>20</v>
      </c>
      <c r="I4221" s="5" t="s">
        <v>9311</v>
      </c>
      <c r="J4221" s="12" t="str">
        <f>HYPERLINK("https://www.boe.es/gazeta/dias/1806/01/07/pdfs/GMD-1806-2.pdf#page=6","Abrir facsímil")</f>
        <v>Abrir facsímil</v>
      </c>
      <c r="K4221" s="15" t="s">
        <v>22</v>
      </c>
    </row>
    <row r="4222" spans="1:11" ht="42" customHeight="1">
      <c r="A4222" s="4" t="s">
        <v>9312</v>
      </c>
      <c r="B4222" s="5" t="s">
        <v>9313</v>
      </c>
      <c r="C4222" s="5" t="s">
        <v>69</v>
      </c>
      <c r="D4222" s="5" t="s">
        <v>70</v>
      </c>
      <c r="E4222" s="5" t="s">
        <v>38</v>
      </c>
      <c r="F4222" s="9">
        <v>92</v>
      </c>
      <c r="G4222" s="9">
        <v>956</v>
      </c>
      <c r="H4222" s="5" t="s">
        <v>20</v>
      </c>
      <c r="I4222" s="5" t="s">
        <v>9314</v>
      </c>
      <c r="J4222" s="12" t="str">
        <f>HYPERLINK("https://www.boe.es/gazeta/dias/1806/11/11/pdfs/GMD-1806-92.pdf#page=8","Abrir facsímil")</f>
        <v>Abrir facsímil</v>
      </c>
      <c r="K4222" s="15" t="s">
        <v>22</v>
      </c>
    </row>
    <row r="4223" spans="1:11" ht="42" customHeight="1">
      <c r="A4223" s="4" t="s">
        <v>9315</v>
      </c>
      <c r="B4223" s="5" t="s">
        <v>9316</v>
      </c>
      <c r="C4223" s="5" t="s">
        <v>69</v>
      </c>
      <c r="D4223" s="5" t="s">
        <v>70</v>
      </c>
      <c r="E4223" s="5" t="s">
        <v>348</v>
      </c>
      <c r="F4223" s="9">
        <v>88</v>
      </c>
      <c r="G4223" s="9">
        <v>907</v>
      </c>
      <c r="H4223" s="5" t="s">
        <v>20</v>
      </c>
      <c r="I4223" s="5" t="s">
        <v>9317</v>
      </c>
      <c r="J4223" s="12" t="str">
        <f>HYPERLINK("https://www.boe.es/gazeta/dias/1806/10/28/pdfs/GMD-1806-88.pdf#page=3","Abrir facsímil")</f>
        <v>Abrir facsímil</v>
      </c>
      <c r="K4223" s="15" t="s">
        <v>22</v>
      </c>
    </row>
    <row r="4224" spans="1:11" ht="42" customHeight="1">
      <c r="A4224" s="4" t="s">
        <v>9318</v>
      </c>
      <c r="B4224" s="5" t="s">
        <v>9319</v>
      </c>
      <c r="C4224" s="5" t="s">
        <v>17</v>
      </c>
      <c r="D4224" s="5" t="s">
        <v>18</v>
      </c>
      <c r="E4224" s="5" t="s">
        <v>312</v>
      </c>
      <c r="F4224" s="9">
        <v>100</v>
      </c>
      <c r="G4224" s="9">
        <v>1063</v>
      </c>
      <c r="H4224" s="5" t="s">
        <v>20</v>
      </c>
      <c r="I4224" s="5" t="s">
        <v>9320</v>
      </c>
      <c r="J4224" s="12" t="str">
        <f>HYPERLINK("https://www.boe.es/gazeta/dias/1806/12/09/pdfs/GMD-1806-100.pdf#page=7","Abrir facsímil")</f>
        <v>Abrir facsímil</v>
      </c>
      <c r="K4224" s="15" t="s">
        <v>22</v>
      </c>
    </row>
    <row r="4225" spans="1:11" ht="42" customHeight="1">
      <c r="A4225" s="4" t="s">
        <v>9321</v>
      </c>
      <c r="B4225" s="5" t="s">
        <v>9322</v>
      </c>
      <c r="C4225" s="5" t="s">
        <v>42</v>
      </c>
      <c r="D4225" s="5" t="s">
        <v>43</v>
      </c>
      <c r="E4225" s="5" t="s">
        <v>396</v>
      </c>
      <c r="F4225" s="9">
        <v>91</v>
      </c>
      <c r="G4225" s="9">
        <v>943</v>
      </c>
      <c r="H4225" s="5" t="s">
        <v>20</v>
      </c>
      <c r="I4225" s="5" t="s">
        <v>9323</v>
      </c>
      <c r="J4225" s="12" t="str">
        <f>HYPERLINK("https://www.boe.es/gazeta/dias/1806/11/07/pdfs/GMD-1806-91.pdf#page=7","Abrir facsímil")</f>
        <v>Abrir facsímil</v>
      </c>
      <c r="K4225" s="15" t="s">
        <v>22</v>
      </c>
    </row>
    <row r="4226" spans="1:11" ht="42" customHeight="1">
      <c r="A4226" s="4" t="s">
        <v>9324</v>
      </c>
      <c r="B4226" s="5" t="s">
        <v>9325</v>
      </c>
      <c r="C4226" s="5" t="s">
        <v>69</v>
      </c>
      <c r="D4226" s="5" t="s">
        <v>70</v>
      </c>
      <c r="E4226" s="5" t="s">
        <v>570</v>
      </c>
      <c r="F4226" s="9">
        <v>93</v>
      </c>
      <c r="G4226" s="9">
        <v>967</v>
      </c>
      <c r="H4226" s="5" t="s">
        <v>20</v>
      </c>
      <c r="I4226" s="5" t="s">
        <v>9326</v>
      </c>
      <c r="J4226" s="12" t="str">
        <f>HYPERLINK("https://www.boe.es/gazeta/dias/1806/11/14/pdfs/GMD-1806-93.pdf#page=3","Abrir facsímil")</f>
        <v>Abrir facsímil</v>
      </c>
      <c r="K4226" s="15" t="s">
        <v>22</v>
      </c>
    </row>
    <row r="4227" spans="1:11" ht="42" customHeight="1">
      <c r="A4227" s="4" t="s">
        <v>9327</v>
      </c>
      <c r="B4227" s="5" t="s">
        <v>9328</v>
      </c>
      <c r="C4227" s="5" t="s">
        <v>69</v>
      </c>
      <c r="D4227" s="5" t="s">
        <v>70</v>
      </c>
      <c r="E4227" s="5" t="s">
        <v>38</v>
      </c>
      <c r="F4227" s="9">
        <v>92</v>
      </c>
      <c r="G4227" s="9">
        <v>953</v>
      </c>
      <c r="H4227" s="5" t="s">
        <v>20</v>
      </c>
      <c r="I4227" s="5" t="s">
        <v>9329</v>
      </c>
      <c r="J4227" s="12" t="str">
        <f>HYPERLINK("https://www.boe.es/gazeta/dias/1806/11/11/pdfs/GMD-1806-92.pdf#page=5","Abrir facsímil")</f>
        <v>Abrir facsímil</v>
      </c>
      <c r="K4227" s="15" t="s">
        <v>22</v>
      </c>
    </row>
    <row r="4228" spans="1:11" ht="42" customHeight="1">
      <c r="A4228" s="4" t="s">
        <v>9330</v>
      </c>
      <c r="B4228" s="5" t="s">
        <v>9330</v>
      </c>
      <c r="C4228" s="5" t="s">
        <v>69</v>
      </c>
      <c r="D4228" s="5" t="s">
        <v>70</v>
      </c>
      <c r="E4228" s="5" t="s">
        <v>301</v>
      </c>
      <c r="F4228" s="9">
        <v>75</v>
      </c>
      <c r="G4228" s="9">
        <v>775</v>
      </c>
      <c r="H4228" s="5" t="s">
        <v>20</v>
      </c>
      <c r="I4228" s="5" t="s">
        <v>9331</v>
      </c>
      <c r="J4228" s="12" t="str">
        <f>HYPERLINK("https://www.boe.es/gazeta/dias/1806/09/12/pdfs/GMD-1806-75.pdf#page=7","Abrir facsímil")</f>
        <v>Abrir facsímil</v>
      </c>
      <c r="K4228" s="15" t="s">
        <v>22</v>
      </c>
    </row>
    <row r="4229" spans="1:11" ht="42" customHeight="1">
      <c r="A4229" s="4" t="s">
        <v>9332</v>
      </c>
      <c r="B4229" s="5" t="s">
        <v>9333</v>
      </c>
      <c r="C4229" s="5" t="s">
        <v>69</v>
      </c>
      <c r="D4229" s="5" t="s">
        <v>70</v>
      </c>
      <c r="E4229" s="5" t="s">
        <v>33</v>
      </c>
      <c r="F4229" s="9">
        <v>82</v>
      </c>
      <c r="G4229" s="9">
        <v>848</v>
      </c>
      <c r="H4229" s="5" t="s">
        <v>20</v>
      </c>
      <c r="I4229" s="5" t="s">
        <v>9334</v>
      </c>
      <c r="J4229" s="12" t="str">
        <f>HYPERLINK("https://www.boe.es/gazeta/dias/1806/10/07/pdfs/GMD-1806-82.pdf#page=8","Abrir facsímil")</f>
        <v>Abrir facsímil</v>
      </c>
      <c r="K4229" s="15" t="s">
        <v>22</v>
      </c>
    </row>
    <row r="4230" spans="1:11" ht="42" customHeight="1">
      <c r="A4230" s="4" t="s">
        <v>9335</v>
      </c>
      <c r="B4230" s="5" t="s">
        <v>9336</v>
      </c>
      <c r="C4230" s="5" t="s">
        <v>69</v>
      </c>
      <c r="D4230" s="5" t="s">
        <v>70</v>
      </c>
      <c r="E4230" s="5" t="s">
        <v>227</v>
      </c>
      <c r="F4230" s="9">
        <v>27</v>
      </c>
      <c r="G4230" s="9">
        <v>264</v>
      </c>
      <c r="H4230" s="5" t="s">
        <v>20</v>
      </c>
      <c r="I4230" s="5" t="s">
        <v>9337</v>
      </c>
      <c r="J4230" s="12" t="str">
        <f>HYPERLINK("https://www.boe.es/gazeta/dias/1806/03/28/pdfs/GMD-1806-27.pdf#page=4","Abrir facsímil")</f>
        <v>Abrir facsímil</v>
      </c>
      <c r="K4230" s="15" t="s">
        <v>22</v>
      </c>
    </row>
    <row r="4231" spans="1:11" ht="42" customHeight="1">
      <c r="A4231" s="4" t="s">
        <v>9335</v>
      </c>
      <c r="B4231" s="5" t="s">
        <v>9336</v>
      </c>
      <c r="C4231" s="5" t="s">
        <v>69</v>
      </c>
      <c r="D4231" s="5" t="s">
        <v>70</v>
      </c>
      <c r="E4231" s="5" t="s">
        <v>51</v>
      </c>
      <c r="F4231" s="9">
        <v>44</v>
      </c>
      <c r="G4231" s="9">
        <v>441</v>
      </c>
      <c r="H4231" s="5" t="s">
        <v>20</v>
      </c>
      <c r="I4231" s="5" t="s">
        <v>9338</v>
      </c>
      <c r="J4231" s="12" t="str">
        <f>HYPERLINK("https://www.boe.es/gazeta/dias/1806/05/27/pdfs/GMD-1806-44.pdf#page=5","Abrir facsímil")</f>
        <v>Abrir facsímil</v>
      </c>
      <c r="K4231" s="15" t="s">
        <v>22</v>
      </c>
    </row>
    <row r="4232" spans="1:11" ht="42" customHeight="1">
      <c r="A4232" s="4" t="s">
        <v>9339</v>
      </c>
      <c r="B4232" s="5" t="s">
        <v>9340</v>
      </c>
      <c r="C4232" s="5" t="s">
        <v>69</v>
      </c>
      <c r="D4232" s="5" t="s">
        <v>70</v>
      </c>
      <c r="E4232" s="5" t="s">
        <v>93</v>
      </c>
      <c r="F4232" s="9">
        <v>72</v>
      </c>
      <c r="G4232" s="9">
        <v>745</v>
      </c>
      <c r="H4232" s="5" t="s">
        <v>20</v>
      </c>
      <c r="I4232" s="5" t="s">
        <v>9341</v>
      </c>
      <c r="J4232" s="12" t="str">
        <f>HYPERLINK("https://www.boe.es/gazeta/dias/1806/09/02/pdfs/GMD-1806-72.pdf#page=5","Abrir facsímil")</f>
        <v>Abrir facsímil</v>
      </c>
      <c r="K4232" s="15" t="s">
        <v>22</v>
      </c>
    </row>
    <row r="4233" spans="1:11" ht="42" customHeight="1">
      <c r="A4233" s="4" t="s">
        <v>9342</v>
      </c>
      <c r="B4233" s="5" t="s">
        <v>9343</v>
      </c>
      <c r="C4233" s="5" t="s">
        <v>75</v>
      </c>
      <c r="D4233" s="5" t="s">
        <v>43</v>
      </c>
      <c r="E4233" s="5" t="s">
        <v>570</v>
      </c>
      <c r="F4233" s="9">
        <v>93</v>
      </c>
      <c r="G4233" s="9">
        <v>980</v>
      </c>
      <c r="H4233" s="5" t="s">
        <v>20</v>
      </c>
      <c r="I4233" s="5" t="s">
        <v>9344</v>
      </c>
      <c r="J4233" s="12" t="str">
        <f>HYPERLINK("https://www.boe.es/gazeta/dias/1806/11/14/pdfs/GMD-1806-93.pdf#page=16","Abrir facsímil")</f>
        <v>Abrir facsímil</v>
      </c>
      <c r="K4233" s="15" t="s">
        <v>22</v>
      </c>
    </row>
    <row r="4234" spans="1:11" ht="42" customHeight="1">
      <c r="A4234" s="4" t="s">
        <v>9345</v>
      </c>
      <c r="B4234" s="5" t="s">
        <v>9346</v>
      </c>
      <c r="C4234" s="5" t="s">
        <v>17</v>
      </c>
      <c r="D4234" s="5" t="s">
        <v>18</v>
      </c>
      <c r="E4234" s="5" t="s">
        <v>175</v>
      </c>
      <c r="F4234" s="9">
        <v>40</v>
      </c>
      <c r="G4234" s="9">
        <v>394</v>
      </c>
      <c r="H4234" s="5" t="s">
        <v>20</v>
      </c>
      <c r="I4234" s="5" t="s">
        <v>9347</v>
      </c>
      <c r="J4234" s="12" t="str">
        <f>HYPERLINK("https://www.boe.es/gazeta/dias/1806/05/13/pdfs/GMD-1806-40.pdf#page=6","Abrir facsímil")</f>
        <v>Abrir facsímil</v>
      </c>
      <c r="K4234" s="15" t="s">
        <v>22</v>
      </c>
    </row>
    <row r="4235" spans="1:11" ht="42" customHeight="1">
      <c r="A4235" s="4" t="s">
        <v>9345</v>
      </c>
      <c r="B4235" s="5" t="s">
        <v>9346</v>
      </c>
      <c r="C4235" s="5" t="s">
        <v>36</v>
      </c>
      <c r="D4235" s="5" t="s">
        <v>37</v>
      </c>
      <c r="E4235" s="5" t="s">
        <v>136</v>
      </c>
      <c r="F4235" s="9">
        <v>50</v>
      </c>
      <c r="G4235" s="9">
        <v>513</v>
      </c>
      <c r="H4235" s="5" t="s">
        <v>20</v>
      </c>
      <c r="I4235" s="5" t="s">
        <v>9348</v>
      </c>
      <c r="J4235" s="12" t="str">
        <f>HYPERLINK("https://www.boe.es/gazeta/dias/1806/06/17/pdfs/GMD-1806-50.pdf#page=5","Abrir facsímil")</f>
        <v>Abrir facsímil</v>
      </c>
      <c r="K4235" s="15" t="s">
        <v>22</v>
      </c>
    </row>
    <row r="4236" spans="1:11" ht="42" customHeight="1">
      <c r="A4236" s="4" t="s">
        <v>9349</v>
      </c>
      <c r="B4236" s="5" t="s">
        <v>9350</v>
      </c>
      <c r="C4236" s="5" t="s">
        <v>31</v>
      </c>
      <c r="D4236" s="5" t="s">
        <v>32</v>
      </c>
      <c r="E4236" s="5" t="s">
        <v>96</v>
      </c>
      <c r="F4236" s="9">
        <v>62</v>
      </c>
      <c r="G4236" s="9">
        <v>643</v>
      </c>
      <c r="H4236" s="5" t="s">
        <v>20</v>
      </c>
      <c r="I4236" s="5" t="s">
        <v>9351</v>
      </c>
      <c r="J4236" s="12" t="str">
        <f>HYPERLINK("https://www.boe.es/gazeta/dias/1806/07/29/pdfs/GMD-1806-62.pdf#page=3","Abrir facsímil")</f>
        <v>Abrir facsímil</v>
      </c>
      <c r="K4236" s="15" t="s">
        <v>22</v>
      </c>
    </row>
    <row r="4237" spans="1:11" ht="42" customHeight="1">
      <c r="A4237" s="4" t="s">
        <v>9352</v>
      </c>
      <c r="B4237" s="5" t="s">
        <v>9352</v>
      </c>
      <c r="C4237" s="5" t="s">
        <v>69</v>
      </c>
      <c r="D4237" s="5" t="s">
        <v>70</v>
      </c>
      <c r="E4237" s="5" t="s">
        <v>144</v>
      </c>
      <c r="F4237" s="9">
        <v>79</v>
      </c>
      <c r="G4237" s="9">
        <v>815</v>
      </c>
      <c r="H4237" s="5" t="s">
        <v>20</v>
      </c>
      <c r="I4237" s="5" t="s">
        <v>9353</v>
      </c>
      <c r="J4237" s="12" t="str">
        <f>HYPERLINK("https://www.boe.es/gazeta/dias/1806/09/26/pdfs/GMD-1806-79.pdf#page=7","Abrir facsímil")</f>
        <v>Abrir facsímil</v>
      </c>
      <c r="K4237" s="15" t="s">
        <v>22</v>
      </c>
    </row>
    <row r="4238" spans="1:11" ht="42" customHeight="1">
      <c r="A4238" s="4" t="s">
        <v>9354</v>
      </c>
      <c r="B4238" s="5" t="s">
        <v>9355</v>
      </c>
      <c r="C4238" s="5" t="s">
        <v>42</v>
      </c>
      <c r="D4238" s="5" t="s">
        <v>43</v>
      </c>
      <c r="E4238" s="5" t="s">
        <v>185</v>
      </c>
      <c r="F4238" s="9">
        <v>46</v>
      </c>
      <c r="G4238" s="9">
        <v>468</v>
      </c>
      <c r="H4238" s="5" t="s">
        <v>20</v>
      </c>
      <c r="I4238" s="5" t="s">
        <v>9356</v>
      </c>
      <c r="J4238" s="12" t="str">
        <f>HYPERLINK("https://www.boe.es/gazeta/dias/1806/06/03/pdfs/GMD-1806-46.pdf#page=8","Abrir facsímil")</f>
        <v>Abrir facsímil</v>
      </c>
      <c r="K4238" s="15" t="s">
        <v>22</v>
      </c>
    </row>
    <row r="4239" spans="1:11" ht="42" customHeight="1">
      <c r="A4239" s="4" t="s">
        <v>9357</v>
      </c>
      <c r="B4239" s="5" t="s">
        <v>9358</v>
      </c>
      <c r="C4239" s="5" t="s">
        <v>17</v>
      </c>
      <c r="D4239" s="5" t="s">
        <v>18</v>
      </c>
      <c r="E4239" s="5" t="s">
        <v>600</v>
      </c>
      <c r="F4239" s="9">
        <v>77</v>
      </c>
      <c r="G4239" s="9">
        <v>795</v>
      </c>
      <c r="H4239" s="5" t="s">
        <v>20</v>
      </c>
      <c r="I4239" s="5" t="s">
        <v>9359</v>
      </c>
      <c r="J4239" s="12" t="str">
        <f>HYPERLINK("https://www.boe.es/gazeta/dias/1806/09/19/pdfs/GMD-1806-77.pdf#page=7","Abrir facsímil")</f>
        <v>Abrir facsímil</v>
      </c>
      <c r="K4239" s="15" t="s">
        <v>22</v>
      </c>
    </row>
    <row r="4240" spans="1:11" ht="42" customHeight="1">
      <c r="A4240" s="4" t="s">
        <v>9360</v>
      </c>
      <c r="B4240" s="5" t="s">
        <v>9361</v>
      </c>
      <c r="C4240" s="5" t="s">
        <v>69</v>
      </c>
      <c r="D4240" s="5" t="s">
        <v>70</v>
      </c>
      <c r="E4240" s="5" t="s">
        <v>231</v>
      </c>
      <c r="F4240" s="9">
        <v>89</v>
      </c>
      <c r="G4240" s="9">
        <v>918</v>
      </c>
      <c r="H4240" s="5" t="s">
        <v>20</v>
      </c>
      <c r="I4240" s="5" t="s">
        <v>9362</v>
      </c>
      <c r="J4240" s="12" t="str">
        <f>HYPERLINK("https://www.boe.es/gazeta/dias/1806/10/31/pdfs/GMD-1806-89.pdf#page=6","Abrir facsímil")</f>
        <v>Abrir facsímil</v>
      </c>
      <c r="K4240" s="15" t="s">
        <v>22</v>
      </c>
    </row>
    <row r="4241" spans="1:11" ht="42" customHeight="1">
      <c r="A4241" s="4" t="s">
        <v>9363</v>
      </c>
      <c r="B4241" s="5" t="s">
        <v>9363</v>
      </c>
      <c r="C4241" s="5" t="s">
        <v>69</v>
      </c>
      <c r="D4241" s="5" t="s">
        <v>70</v>
      </c>
      <c r="E4241" s="5" t="s">
        <v>501</v>
      </c>
      <c r="F4241" s="9">
        <v>39</v>
      </c>
      <c r="G4241" s="9">
        <v>380</v>
      </c>
      <c r="H4241" s="5" t="s">
        <v>20</v>
      </c>
      <c r="I4241" s="5" t="s">
        <v>9364</v>
      </c>
      <c r="J4241" s="12" t="str">
        <f>HYPERLINK("https://www.boe.es/gazeta/dias/1806/05/09/pdfs/GMD-1806-39.pdf#page=4","Abrir facsímil")</f>
        <v>Abrir facsímil</v>
      </c>
      <c r="K4241" s="15" t="s">
        <v>22</v>
      </c>
    </row>
    <row r="4242" spans="1:11" ht="42" customHeight="1">
      <c r="A4242" s="4" t="s">
        <v>9365</v>
      </c>
      <c r="B4242" s="5" t="s">
        <v>9366</v>
      </c>
      <c r="C4242" s="5" t="s">
        <v>17</v>
      </c>
      <c r="D4242" s="5" t="s">
        <v>18</v>
      </c>
      <c r="E4242" s="5" t="s">
        <v>780</v>
      </c>
      <c r="F4242" s="9">
        <v>33</v>
      </c>
      <c r="G4242" s="9">
        <v>326</v>
      </c>
      <c r="H4242" s="5" t="s">
        <v>20</v>
      </c>
      <c r="I4242" s="5" t="s">
        <v>9367</v>
      </c>
      <c r="J4242" s="12" t="str">
        <f>HYPERLINK("https://www.boe.es/gazeta/dias/1806/04/18/pdfs/GMD-1806-33.pdf#page=6","Abrir facsímil")</f>
        <v>Abrir facsímil</v>
      </c>
      <c r="K4242" s="15" t="s">
        <v>22</v>
      </c>
    </row>
    <row r="4243" spans="1:11" ht="42" customHeight="1">
      <c r="A4243" s="4" t="s">
        <v>9368</v>
      </c>
      <c r="B4243" s="5" t="s">
        <v>9369</v>
      </c>
      <c r="C4243" s="5" t="s">
        <v>31</v>
      </c>
      <c r="D4243" s="5" t="s">
        <v>32</v>
      </c>
      <c r="E4243" s="5" t="s">
        <v>340</v>
      </c>
      <c r="F4243" s="9">
        <v>31</v>
      </c>
      <c r="G4243" s="9">
        <v>305</v>
      </c>
      <c r="H4243" s="5" t="s">
        <v>20</v>
      </c>
      <c r="I4243" s="5" t="s">
        <v>9370</v>
      </c>
      <c r="J4243" s="12" t="str">
        <f>HYPERLINK("https://www.boe.es/gazeta/dias/1806/04/11/pdfs/GMD-1806-31.pdf#page=9","Abrir facsímil")</f>
        <v>Abrir facsímil</v>
      </c>
      <c r="K4243" s="15" t="s">
        <v>22</v>
      </c>
    </row>
    <row r="4244" spans="1:11" ht="42" customHeight="1">
      <c r="A4244" s="4" t="s">
        <v>9371</v>
      </c>
      <c r="B4244" s="5" t="s">
        <v>9372</v>
      </c>
      <c r="C4244" s="5" t="s">
        <v>31</v>
      </c>
      <c r="D4244" s="5" t="s">
        <v>32</v>
      </c>
      <c r="E4244" s="5" t="s">
        <v>312</v>
      </c>
      <c r="F4244" s="9">
        <v>100</v>
      </c>
      <c r="G4244" s="9">
        <v>1058</v>
      </c>
      <c r="H4244" s="5" t="s">
        <v>20</v>
      </c>
      <c r="I4244" s="5" t="s">
        <v>9373</v>
      </c>
      <c r="J4244" s="12" t="str">
        <f>HYPERLINK("https://www.boe.es/gazeta/dias/1806/12/09/pdfs/GMD-1806-100.pdf#page=2","Abrir facsímil")</f>
        <v>Abrir facsímil</v>
      </c>
      <c r="K4244" s="15" t="s">
        <v>22</v>
      </c>
    </row>
    <row r="4245" spans="1:11" ht="42" customHeight="1">
      <c r="A4245" s="4" t="s">
        <v>9374</v>
      </c>
      <c r="B4245" s="5" t="s">
        <v>9375</v>
      </c>
      <c r="C4245" s="5" t="s">
        <v>42</v>
      </c>
      <c r="D4245" s="5" t="s">
        <v>43</v>
      </c>
      <c r="E4245" s="5" t="s">
        <v>301</v>
      </c>
      <c r="F4245" s="9">
        <v>75</v>
      </c>
      <c r="G4245" s="9">
        <v>776</v>
      </c>
      <c r="H4245" s="5" t="s">
        <v>20</v>
      </c>
      <c r="I4245" s="5" t="s">
        <v>9376</v>
      </c>
      <c r="J4245" s="12" t="str">
        <f>HYPERLINK("https://www.boe.es/gazeta/dias/1806/09/12/pdfs/GMD-1806-75.pdf#page=8","Abrir facsímil")</f>
        <v>Abrir facsímil</v>
      </c>
      <c r="K4245" s="15" t="s">
        <v>22</v>
      </c>
    </row>
    <row r="4246" spans="1:11" ht="42" customHeight="1">
      <c r="A4246" s="4" t="s">
        <v>9377</v>
      </c>
      <c r="B4246" s="5" t="s">
        <v>9378</v>
      </c>
      <c r="C4246" s="5" t="s">
        <v>36</v>
      </c>
      <c r="D4246" s="5" t="s">
        <v>37</v>
      </c>
      <c r="E4246" s="5" t="s">
        <v>702</v>
      </c>
      <c r="F4246" s="9">
        <v>43</v>
      </c>
      <c r="G4246" s="9">
        <v>435</v>
      </c>
      <c r="H4246" s="5" t="s">
        <v>20</v>
      </c>
      <c r="I4246" s="5" t="s">
        <v>9379</v>
      </c>
      <c r="J4246" s="12" t="str">
        <f>HYPERLINK("https://www.boe.es/gazeta/dias/1806/05/23/pdfs/GMD-1806-43.pdf#page=11","Abrir facsímil")</f>
        <v>Abrir facsímil</v>
      </c>
      <c r="K4246" s="15" t="s">
        <v>22</v>
      </c>
    </row>
    <row r="4247" spans="1:11" ht="42" customHeight="1">
      <c r="A4247" s="4" t="s">
        <v>9380</v>
      </c>
      <c r="B4247" s="5" t="s">
        <v>9381</v>
      </c>
      <c r="C4247" s="5" t="s">
        <v>17</v>
      </c>
      <c r="D4247" s="5" t="s">
        <v>18</v>
      </c>
      <c r="E4247" s="5" t="s">
        <v>121</v>
      </c>
      <c r="F4247" s="9">
        <v>19</v>
      </c>
      <c r="G4247" s="9">
        <v>171</v>
      </c>
      <c r="H4247" s="5" t="s">
        <v>20</v>
      </c>
      <c r="I4247" s="5" t="s">
        <v>9382</v>
      </c>
      <c r="J4247" s="12" t="str">
        <f>HYPERLINK("https://www.boe.es/gazeta/dias/1806/02/28/pdfs/GMD-1806-19.pdf#page=7","Abrir facsímil")</f>
        <v>Abrir facsímil</v>
      </c>
      <c r="K4247" s="15" t="s">
        <v>22</v>
      </c>
    </row>
    <row r="4248" spans="1:11" ht="42" customHeight="1">
      <c r="A4248" s="4" t="s">
        <v>9383</v>
      </c>
      <c r="B4248" s="5" t="s">
        <v>9384</v>
      </c>
      <c r="C4248" s="5" t="s">
        <v>31</v>
      </c>
      <c r="D4248" s="5" t="s">
        <v>32</v>
      </c>
      <c r="E4248" s="5" t="s">
        <v>1568</v>
      </c>
      <c r="F4248" s="9">
        <v>84</v>
      </c>
      <c r="G4248" s="9">
        <v>870</v>
      </c>
      <c r="H4248" s="5" t="s">
        <v>20</v>
      </c>
      <c r="I4248" s="5" t="s">
        <v>9385</v>
      </c>
      <c r="J4248" s="12" t="str">
        <f>HYPERLINK("https://www.boe.es/gazeta/dias/1806/10/14/pdfs/GMD-1806-84.pdf#page=6","Abrir facsímil")</f>
        <v>Abrir facsímil</v>
      </c>
      <c r="K4248" s="15" t="s">
        <v>22</v>
      </c>
    </row>
    <row r="4249" spans="1:11" ht="42" customHeight="1">
      <c r="A4249" s="4" t="s">
        <v>9386</v>
      </c>
      <c r="B4249" s="5" t="s">
        <v>9387</v>
      </c>
      <c r="C4249" s="5" t="s">
        <v>69</v>
      </c>
      <c r="D4249" s="5" t="s">
        <v>70</v>
      </c>
      <c r="E4249" s="5" t="s">
        <v>570</v>
      </c>
      <c r="F4249" s="9">
        <v>93</v>
      </c>
      <c r="G4249" s="9">
        <v>969</v>
      </c>
      <c r="H4249" s="5" t="s">
        <v>20</v>
      </c>
      <c r="I4249" s="5" t="s">
        <v>9388</v>
      </c>
      <c r="J4249" s="12" t="str">
        <f>HYPERLINK("https://www.boe.es/gazeta/dias/1806/11/14/pdfs/GMD-1806-93.pdf#page=5","Abrir facsímil")</f>
        <v>Abrir facsímil</v>
      </c>
      <c r="K4249" s="15" t="s">
        <v>22</v>
      </c>
    </row>
    <row r="4250" spans="1:11" ht="42" customHeight="1">
      <c r="A4250" s="4" t="s">
        <v>9389</v>
      </c>
      <c r="B4250" s="5" t="s">
        <v>9390</v>
      </c>
      <c r="C4250" s="5" t="s">
        <v>31</v>
      </c>
      <c r="D4250" s="5" t="s">
        <v>32</v>
      </c>
      <c r="E4250" s="5" t="s">
        <v>348</v>
      </c>
      <c r="F4250" s="9">
        <v>88</v>
      </c>
      <c r="G4250" s="9">
        <v>910</v>
      </c>
      <c r="H4250" s="5" t="s">
        <v>20</v>
      </c>
      <c r="I4250" s="5" t="s">
        <v>9391</v>
      </c>
      <c r="J4250" s="12" t="str">
        <f>HYPERLINK("https://www.boe.es/gazeta/dias/1806/10/28/pdfs/GMD-1806-88.pdf#page=6","Abrir facsímil")</f>
        <v>Abrir facsímil</v>
      </c>
      <c r="K4250" s="15" t="s">
        <v>22</v>
      </c>
    </row>
    <row r="4251" spans="1:11" ht="42" customHeight="1">
      <c r="A4251" s="4" t="s">
        <v>9392</v>
      </c>
      <c r="B4251" s="5" t="s">
        <v>9393</v>
      </c>
      <c r="C4251" s="5" t="s">
        <v>31</v>
      </c>
      <c r="D4251" s="5" t="s">
        <v>32</v>
      </c>
      <c r="E4251" s="5" t="s">
        <v>185</v>
      </c>
      <c r="F4251" s="9">
        <v>46</v>
      </c>
      <c r="G4251" s="9">
        <v>469</v>
      </c>
      <c r="H4251" s="5" t="s">
        <v>20</v>
      </c>
      <c r="I4251" s="5" t="s">
        <v>9394</v>
      </c>
      <c r="J4251" s="12" t="str">
        <f>HYPERLINK("https://www.boe.es/gazeta/dias/1806/06/03/pdfs/GMD-1806-46.pdf#page=9","Abrir facsímil")</f>
        <v>Abrir facsímil</v>
      </c>
      <c r="K4251" s="15" t="s">
        <v>22</v>
      </c>
    </row>
    <row r="4252" spans="1:11" ht="42" customHeight="1">
      <c r="A4252" s="4" t="s">
        <v>9395</v>
      </c>
      <c r="B4252" s="5" t="s">
        <v>9396</v>
      </c>
      <c r="C4252" s="5" t="s">
        <v>31</v>
      </c>
      <c r="D4252" s="5" t="s">
        <v>32</v>
      </c>
      <c r="E4252" s="5" t="s">
        <v>71</v>
      </c>
      <c r="F4252" s="9">
        <v>29</v>
      </c>
      <c r="G4252" s="9">
        <v>287</v>
      </c>
      <c r="H4252" s="5" t="s">
        <v>20</v>
      </c>
      <c r="I4252" s="5" t="s">
        <v>9397</v>
      </c>
      <c r="J4252" s="12" t="str">
        <f>HYPERLINK("https://www.boe.es/gazeta/dias/1806/04/04/pdfs/GMD-1806-29.pdf#page=7","Abrir facsímil")</f>
        <v>Abrir facsímil</v>
      </c>
      <c r="K4252" s="15" t="s">
        <v>22</v>
      </c>
    </row>
    <row r="4253" spans="1:11" ht="42" customHeight="1">
      <c r="A4253" s="4" t="s">
        <v>9398</v>
      </c>
      <c r="B4253" s="5" t="s">
        <v>9399</v>
      </c>
      <c r="C4253" s="5" t="s">
        <v>69</v>
      </c>
      <c r="D4253" s="5" t="s">
        <v>70</v>
      </c>
      <c r="E4253" s="5" t="s">
        <v>227</v>
      </c>
      <c r="F4253" s="9">
        <v>27</v>
      </c>
      <c r="G4253" s="9">
        <v>264</v>
      </c>
      <c r="H4253" s="5" t="s">
        <v>20</v>
      </c>
      <c r="I4253" s="5" t="s">
        <v>9400</v>
      </c>
      <c r="J4253" s="12" t="str">
        <f>HYPERLINK("https://www.boe.es/gazeta/dias/1806/03/28/pdfs/GMD-1806-27.pdf#page=4","Abrir facsímil")</f>
        <v>Abrir facsímil</v>
      </c>
      <c r="K4253" s="15" t="s">
        <v>22</v>
      </c>
    </row>
    <row r="4254" spans="1:11" ht="42" customHeight="1">
      <c r="A4254" s="4" t="s">
        <v>9401</v>
      </c>
      <c r="B4254" s="5" t="s">
        <v>9402</v>
      </c>
      <c r="C4254" s="5" t="s">
        <v>31</v>
      </c>
      <c r="D4254" s="5" t="s">
        <v>32</v>
      </c>
      <c r="E4254" s="5" t="s">
        <v>946</v>
      </c>
      <c r="F4254" s="9" t="s">
        <v>947</v>
      </c>
      <c r="G4254" s="9">
        <v>1115</v>
      </c>
      <c r="H4254" s="5" t="s">
        <v>20</v>
      </c>
      <c r="I4254" s="5" t="s">
        <v>9403</v>
      </c>
      <c r="J4254" s="12" t="str">
        <f>HYPERLINK("https://www.boe.es/gazeta/dias/1806/12/24/pdfs/GMD-1806-105E.pdf#page=3","Abrir facsímil")</f>
        <v>Abrir facsímil</v>
      </c>
      <c r="K4254" s="15" t="s">
        <v>22</v>
      </c>
    </row>
    <row r="4255" spans="1:11" ht="42" customHeight="1">
      <c r="A4255" s="4" t="s">
        <v>9404</v>
      </c>
      <c r="B4255" s="5" t="s">
        <v>9405</v>
      </c>
      <c r="C4255" s="5" t="s">
        <v>31</v>
      </c>
      <c r="D4255" s="5" t="s">
        <v>32</v>
      </c>
      <c r="E4255" s="5" t="s">
        <v>195</v>
      </c>
      <c r="F4255" s="9">
        <v>4</v>
      </c>
      <c r="G4255" s="9">
        <v>35</v>
      </c>
      <c r="H4255" s="5" t="s">
        <v>20</v>
      </c>
      <c r="I4255" s="5" t="s">
        <v>9406</v>
      </c>
      <c r="J4255" s="12" t="str">
        <f>HYPERLINK("https://www.boe.es/gazeta/dias/1806/01/14/pdfs/GMD-1806-4.pdf#page=7","Abrir facsímil")</f>
        <v>Abrir facsímil</v>
      </c>
      <c r="K4255" s="15" t="s">
        <v>22</v>
      </c>
    </row>
    <row r="4256" spans="1:11" ht="42" customHeight="1">
      <c r="A4256" s="4" t="s">
        <v>9407</v>
      </c>
      <c r="B4256" s="5" t="s">
        <v>9408</v>
      </c>
      <c r="C4256" s="5" t="s">
        <v>31</v>
      </c>
      <c r="D4256" s="5" t="s">
        <v>32</v>
      </c>
      <c r="E4256" s="5" t="s">
        <v>62</v>
      </c>
      <c r="F4256" s="9">
        <v>45</v>
      </c>
      <c r="G4256" s="9">
        <v>457</v>
      </c>
      <c r="H4256" s="5" t="s">
        <v>20</v>
      </c>
      <c r="I4256" s="5" t="s">
        <v>9409</v>
      </c>
      <c r="J4256" s="12" t="str">
        <f>HYPERLINK("https://www.boe.es/gazeta/dias/1806/05/30/pdfs/GMD-1806-45.pdf#page=9","Abrir facsímil")</f>
        <v>Abrir facsímil</v>
      </c>
      <c r="K4256" s="15" t="s">
        <v>22</v>
      </c>
    </row>
    <row r="4257" spans="1:11" ht="42" customHeight="1">
      <c r="A4257" s="4" t="s">
        <v>9407</v>
      </c>
      <c r="B4257" s="5" t="s">
        <v>9408</v>
      </c>
      <c r="C4257" s="5" t="s">
        <v>31</v>
      </c>
      <c r="D4257" s="5" t="s">
        <v>32</v>
      </c>
      <c r="E4257" s="5" t="s">
        <v>28</v>
      </c>
      <c r="F4257" s="9">
        <v>102</v>
      </c>
      <c r="G4257" s="9">
        <v>1085</v>
      </c>
      <c r="H4257" s="5" t="s">
        <v>20</v>
      </c>
      <c r="I4257" s="5" t="s">
        <v>9410</v>
      </c>
      <c r="J4257" s="12" t="str">
        <f>HYPERLINK("https://www.boe.es/gazeta/dias/1806/12/16/pdfs/GMD-1806-102.pdf#page=9","Abrir facsímil")</f>
        <v>Abrir facsímil</v>
      </c>
      <c r="K4257" s="15" t="s">
        <v>22</v>
      </c>
    </row>
    <row r="4258" spans="1:11" ht="42" customHeight="1">
      <c r="A4258" s="4" t="s">
        <v>9411</v>
      </c>
      <c r="B4258" s="5" t="s">
        <v>9412</v>
      </c>
      <c r="C4258" s="5" t="s">
        <v>31</v>
      </c>
      <c r="D4258" s="5" t="s">
        <v>32</v>
      </c>
      <c r="E4258" s="5" t="s">
        <v>44</v>
      </c>
      <c r="F4258" s="9">
        <v>42</v>
      </c>
      <c r="G4258" s="9">
        <v>421</v>
      </c>
      <c r="H4258" s="5" t="s">
        <v>20</v>
      </c>
      <c r="I4258" s="5" t="s">
        <v>9413</v>
      </c>
      <c r="J4258" s="12" t="str">
        <f>HYPERLINK("https://www.boe.es/gazeta/dias/1806/05/20/pdfs/GMD-1806-42.pdf#page=9","Abrir facsímil")</f>
        <v>Abrir facsímil</v>
      </c>
      <c r="K4258" s="15" t="s">
        <v>22</v>
      </c>
    </row>
    <row r="4259" spans="1:11" ht="42" customHeight="1">
      <c r="A4259" s="4" t="s">
        <v>9414</v>
      </c>
      <c r="B4259" s="5" t="s">
        <v>9415</v>
      </c>
      <c r="C4259" s="5" t="s">
        <v>31</v>
      </c>
      <c r="D4259" s="5" t="s">
        <v>32</v>
      </c>
      <c r="E4259" s="5" t="s">
        <v>220</v>
      </c>
      <c r="F4259" s="9">
        <v>24</v>
      </c>
      <c r="G4259" s="9">
        <v>233</v>
      </c>
      <c r="H4259" s="5" t="s">
        <v>20</v>
      </c>
      <c r="I4259" s="5" t="s">
        <v>9416</v>
      </c>
      <c r="J4259" s="12" t="str">
        <f>HYPERLINK("https://www.boe.es/gazeta/dias/1806/03/18/pdfs/GMD-1806-24.pdf#page=9","Abrir facsímil")</f>
        <v>Abrir facsímil</v>
      </c>
      <c r="K4259" s="15" t="s">
        <v>22</v>
      </c>
    </row>
    <row r="4260" spans="1:11" ht="42" customHeight="1">
      <c r="A4260" s="4" t="s">
        <v>9417</v>
      </c>
      <c r="B4260" s="5" t="s">
        <v>9418</v>
      </c>
      <c r="C4260" s="5" t="s">
        <v>31</v>
      </c>
      <c r="D4260" s="5" t="s">
        <v>32</v>
      </c>
      <c r="E4260" s="5" t="s">
        <v>100</v>
      </c>
      <c r="F4260" s="9">
        <v>7</v>
      </c>
      <c r="G4260" s="9">
        <v>65</v>
      </c>
      <c r="H4260" s="5" t="s">
        <v>20</v>
      </c>
      <c r="I4260" s="5" t="s">
        <v>9419</v>
      </c>
      <c r="J4260" s="12" t="str">
        <f>HYPERLINK("https://www.boe.es/gazeta/dias/1806/01/21/pdfs/GMD-1806-7.pdf#page=9","Abrir facsímil")</f>
        <v>Abrir facsímil</v>
      </c>
      <c r="K4260" s="15" t="s">
        <v>22</v>
      </c>
    </row>
    <row r="4261" spans="1:11" ht="42" customHeight="1">
      <c r="A4261" s="4" t="s">
        <v>9420</v>
      </c>
      <c r="B4261" s="5" t="s">
        <v>9421</v>
      </c>
      <c r="C4261" s="5" t="s">
        <v>42</v>
      </c>
      <c r="D4261" s="5" t="s">
        <v>43</v>
      </c>
      <c r="E4261" s="5" t="s">
        <v>185</v>
      </c>
      <c r="F4261" s="9">
        <v>46</v>
      </c>
      <c r="G4261" s="9">
        <v>471</v>
      </c>
      <c r="H4261" s="5" t="s">
        <v>20</v>
      </c>
      <c r="I4261" s="5" t="s">
        <v>9422</v>
      </c>
      <c r="J4261" s="12" t="str">
        <f>HYPERLINK("https://www.boe.es/gazeta/dias/1806/06/03/pdfs/GMD-1806-46.pdf#page=11","Abrir facsímil")</f>
        <v>Abrir facsímil</v>
      </c>
      <c r="K4261" s="15" t="s">
        <v>22</v>
      </c>
    </row>
    <row r="4262" spans="1:11" ht="42" customHeight="1">
      <c r="A4262" s="4" t="s">
        <v>9423</v>
      </c>
      <c r="B4262" s="5" t="s">
        <v>9424</v>
      </c>
      <c r="C4262" s="5" t="s">
        <v>17</v>
      </c>
      <c r="D4262" s="5" t="s">
        <v>18</v>
      </c>
      <c r="E4262" s="5" t="s">
        <v>494</v>
      </c>
      <c r="F4262" s="9">
        <v>69</v>
      </c>
      <c r="G4262" s="9">
        <v>721</v>
      </c>
      <c r="H4262" s="5" t="s">
        <v>20</v>
      </c>
      <c r="I4262" s="5" t="s">
        <v>9425</v>
      </c>
      <c r="J4262" s="12" t="str">
        <f>HYPERLINK("https://www.boe.es/gazeta/dias/1806/08/22/pdfs/GMD-1806-69.pdf#page=9","Abrir facsímil")</f>
        <v>Abrir facsímil</v>
      </c>
      <c r="K4262" s="15" t="s">
        <v>22</v>
      </c>
    </row>
    <row r="4263" spans="1:11" ht="42" customHeight="1">
      <c r="A4263" s="4" t="s">
        <v>9426</v>
      </c>
      <c r="B4263" s="5" t="s">
        <v>9427</v>
      </c>
      <c r="C4263" s="5" t="s">
        <v>69</v>
      </c>
      <c r="D4263" s="5" t="s">
        <v>70</v>
      </c>
      <c r="E4263" s="5" t="s">
        <v>438</v>
      </c>
      <c r="F4263" s="9">
        <v>70</v>
      </c>
      <c r="G4263" s="9">
        <v>725</v>
      </c>
      <c r="H4263" s="5" t="s">
        <v>20</v>
      </c>
      <c r="I4263" s="5" t="s">
        <v>9428</v>
      </c>
      <c r="J4263" s="12" t="str">
        <f>HYPERLINK("https://www.boe.es/gazeta/dias/1806/08/26/pdfs/GMD-1806-70.pdf#page=1","Abrir facsímil")</f>
        <v>Abrir facsímil</v>
      </c>
      <c r="K4263" s="15" t="s">
        <v>22</v>
      </c>
    </row>
    <row r="4264" spans="1:11" ht="42" customHeight="1">
      <c r="A4264" s="4" t="s">
        <v>9426</v>
      </c>
      <c r="B4264" s="5" t="s">
        <v>9427</v>
      </c>
      <c r="C4264" s="5" t="s">
        <v>17</v>
      </c>
      <c r="D4264" s="5" t="s">
        <v>18</v>
      </c>
      <c r="E4264" s="5" t="s">
        <v>209</v>
      </c>
      <c r="F4264" s="9">
        <v>95</v>
      </c>
      <c r="G4264" s="9">
        <v>1002</v>
      </c>
      <c r="H4264" s="5" t="s">
        <v>20</v>
      </c>
      <c r="I4264" s="5" t="s">
        <v>9429</v>
      </c>
      <c r="J4264" s="12" t="str">
        <f>HYPERLINK("https://www.boe.es/gazeta/dias/1806/11/21/pdfs/GMD-1806-95.pdf#page=10","Abrir facsímil")</f>
        <v>Abrir facsímil</v>
      </c>
      <c r="K4264" s="15" t="s">
        <v>22</v>
      </c>
    </row>
    <row r="4265" spans="1:11" ht="42" customHeight="1">
      <c r="A4265" s="4" t="s">
        <v>9426</v>
      </c>
      <c r="B4265" s="5" t="s">
        <v>9427</v>
      </c>
      <c r="C4265" s="5" t="s">
        <v>69</v>
      </c>
      <c r="D4265" s="5" t="s">
        <v>70</v>
      </c>
      <c r="E4265" s="5" t="s">
        <v>680</v>
      </c>
      <c r="F4265" s="9">
        <v>97</v>
      </c>
      <c r="G4265" s="9">
        <v>1026</v>
      </c>
      <c r="H4265" s="5" t="s">
        <v>20</v>
      </c>
      <c r="I4265" s="5" t="s">
        <v>9430</v>
      </c>
      <c r="J4265" s="12" t="str">
        <f>HYPERLINK("https://www.boe.es/gazeta/dias/1806/11/28/pdfs/GMD-1806-97.pdf#page=6","Abrir facsímil")</f>
        <v>Abrir facsímil</v>
      </c>
      <c r="K4265" s="15" t="s">
        <v>22</v>
      </c>
    </row>
    <row r="4266" spans="1:11" ht="42" customHeight="1">
      <c r="A4266" s="4" t="s">
        <v>9431</v>
      </c>
      <c r="B4266" s="5" t="s">
        <v>9432</v>
      </c>
      <c r="C4266" s="5" t="s">
        <v>706</v>
      </c>
      <c r="D4266" s="5" t="s">
        <v>707</v>
      </c>
      <c r="E4266" s="5" t="s">
        <v>195</v>
      </c>
      <c r="F4266" s="9" t="s">
        <v>708</v>
      </c>
      <c r="G4266" s="9">
        <v>41</v>
      </c>
      <c r="H4266" s="5" t="s">
        <v>20</v>
      </c>
      <c r="I4266" s="5" t="s">
        <v>9433</v>
      </c>
      <c r="J4266" s="12" t="str">
        <f>HYPERLINK("https://www.boe.es/gazeta/dias/1806/01/14/pdfs/GMD-1806-5E.pdf#page=1","Abrir facsímil")</f>
        <v>Abrir facsímil</v>
      </c>
      <c r="K4266" s="15" t="s">
        <v>22</v>
      </c>
    </row>
    <row r="4267" spans="1:11" ht="42" customHeight="1">
      <c r="A4267" s="4" t="s">
        <v>9431</v>
      </c>
      <c r="B4267" s="5" t="s">
        <v>9432</v>
      </c>
      <c r="C4267" s="5" t="s">
        <v>31</v>
      </c>
      <c r="D4267" s="5" t="s">
        <v>32</v>
      </c>
      <c r="E4267" s="5" t="s">
        <v>689</v>
      </c>
      <c r="F4267" s="9">
        <v>37</v>
      </c>
      <c r="G4267" s="9">
        <v>356</v>
      </c>
      <c r="H4267" s="5" t="s">
        <v>20</v>
      </c>
      <c r="I4267" s="5" t="s">
        <v>9434</v>
      </c>
      <c r="J4267" s="12" t="str">
        <f>HYPERLINK("https://www.boe.es/gazeta/dias/1806/05/02/pdfs/GMD-1806-37.pdf#page=4","Abrir facsímil")</f>
        <v>Abrir facsímil</v>
      </c>
      <c r="K4267" s="15" t="s">
        <v>22</v>
      </c>
    </row>
    <row r="4268" spans="1:11" ht="42" customHeight="1">
      <c r="A4268" s="4" t="s">
        <v>9431</v>
      </c>
      <c r="B4268" s="5" t="s">
        <v>9432</v>
      </c>
      <c r="C4268" s="5" t="s">
        <v>69</v>
      </c>
      <c r="D4268" s="5" t="s">
        <v>70</v>
      </c>
      <c r="E4268" s="5" t="s">
        <v>680</v>
      </c>
      <c r="F4268" s="9">
        <v>97</v>
      </c>
      <c r="G4268" s="9">
        <v>1025</v>
      </c>
      <c r="H4268" s="5" t="s">
        <v>20</v>
      </c>
      <c r="I4268" s="5" t="s">
        <v>9435</v>
      </c>
      <c r="J4268" s="12" t="str">
        <f>HYPERLINK("https://www.boe.es/gazeta/dias/1806/11/28/pdfs/GMD-1806-97.pdf#page=5","Abrir facsímil")</f>
        <v>Abrir facsímil</v>
      </c>
      <c r="K4268" s="15" t="s">
        <v>22</v>
      </c>
    </row>
    <row r="4269" spans="1:11" ht="42" customHeight="1">
      <c r="A4269" s="4" t="s">
        <v>9436</v>
      </c>
      <c r="B4269" s="5" t="s">
        <v>9437</v>
      </c>
      <c r="C4269" s="5" t="s">
        <v>31</v>
      </c>
      <c r="D4269" s="5" t="s">
        <v>32</v>
      </c>
      <c r="E4269" s="5" t="s">
        <v>55</v>
      </c>
      <c r="F4269" s="9">
        <v>20</v>
      </c>
      <c r="G4269" s="9">
        <v>184</v>
      </c>
      <c r="H4269" s="5" t="s">
        <v>20</v>
      </c>
      <c r="I4269" s="5" t="s">
        <v>9438</v>
      </c>
      <c r="J4269" s="12" t="str">
        <f>HYPERLINK("https://www.boe.es/gazeta/dias/1806/03/04/pdfs/GMD-1806-20.pdf#page=8","Abrir facsímil")</f>
        <v>Abrir facsímil</v>
      </c>
      <c r="K4269" s="15" t="s">
        <v>22</v>
      </c>
    </row>
    <row r="4270" spans="1:11" ht="42" customHeight="1">
      <c r="A4270" s="4" t="s">
        <v>9439</v>
      </c>
      <c r="B4270" s="5" t="s">
        <v>9440</v>
      </c>
      <c r="C4270" s="5" t="s">
        <v>31</v>
      </c>
      <c r="D4270" s="5" t="s">
        <v>32</v>
      </c>
      <c r="E4270" s="5" t="s">
        <v>19</v>
      </c>
      <c r="F4270" s="9">
        <v>3</v>
      </c>
      <c r="G4270" s="9">
        <v>26</v>
      </c>
      <c r="H4270" s="5" t="s">
        <v>20</v>
      </c>
      <c r="I4270" s="5" t="s">
        <v>9441</v>
      </c>
      <c r="J4270" s="12" t="str">
        <f>HYPERLINK("https://www.boe.es/gazeta/dias/1806/01/10/pdfs/GMD-1806-3.pdf#page=6","Abrir facsímil")</f>
        <v>Abrir facsímil</v>
      </c>
      <c r="K4270" s="15" t="s">
        <v>22</v>
      </c>
    </row>
    <row r="4271" spans="1:11" ht="42" customHeight="1">
      <c r="A4271" s="4" t="s">
        <v>9442</v>
      </c>
      <c r="B4271" s="5" t="s">
        <v>9443</v>
      </c>
      <c r="C4271" s="5" t="s">
        <v>31</v>
      </c>
      <c r="D4271" s="5" t="s">
        <v>32</v>
      </c>
      <c r="E4271" s="5" t="s">
        <v>271</v>
      </c>
      <c r="F4271" s="9">
        <v>6</v>
      </c>
      <c r="G4271" s="9">
        <v>54</v>
      </c>
      <c r="H4271" s="5" t="s">
        <v>20</v>
      </c>
      <c r="I4271" s="5" t="s">
        <v>9444</v>
      </c>
      <c r="J4271" s="12" t="str">
        <f>HYPERLINK("https://www.boe.es/gazeta/dias/1806/01/17/pdfs/GMD-1806-6.pdf#page=10","Abrir facsímil")</f>
        <v>Abrir facsímil</v>
      </c>
      <c r="K4271" s="15" t="s">
        <v>22</v>
      </c>
    </row>
    <row r="4272" spans="1:11" ht="42" customHeight="1">
      <c r="A4272" s="4" t="s">
        <v>9445</v>
      </c>
      <c r="B4272" s="5" t="s">
        <v>9446</v>
      </c>
      <c r="C4272" s="5" t="s">
        <v>36</v>
      </c>
      <c r="D4272" s="5" t="s">
        <v>37</v>
      </c>
      <c r="E4272" s="5" t="s">
        <v>24</v>
      </c>
      <c r="F4272" s="9">
        <v>32</v>
      </c>
      <c r="G4272" s="9">
        <v>318</v>
      </c>
      <c r="H4272" s="5" t="s">
        <v>20</v>
      </c>
      <c r="I4272" s="5" t="s">
        <v>9447</v>
      </c>
      <c r="J4272" s="12" t="str">
        <f>HYPERLINK("https://www.boe.es/gazeta/dias/1806/04/15/pdfs/GMD-1806-32.pdf#page=10","Abrir facsímil")</f>
        <v>Abrir facsímil</v>
      </c>
      <c r="K4272" s="15" t="s">
        <v>22</v>
      </c>
    </row>
    <row r="4273" spans="1:11" ht="42" customHeight="1">
      <c r="A4273" s="4" t="s">
        <v>9445</v>
      </c>
      <c r="B4273" s="5" t="s">
        <v>9446</v>
      </c>
      <c r="C4273" s="5" t="s">
        <v>75</v>
      </c>
      <c r="D4273" s="5" t="s">
        <v>43</v>
      </c>
      <c r="E4273" s="5" t="s">
        <v>367</v>
      </c>
      <c r="F4273" s="9">
        <v>87</v>
      </c>
      <c r="G4273" s="9">
        <v>902</v>
      </c>
      <c r="H4273" s="5" t="s">
        <v>20</v>
      </c>
      <c r="I4273" s="5" t="s">
        <v>9448</v>
      </c>
      <c r="J4273" s="12" t="str">
        <f>HYPERLINK("https://www.boe.es/gazeta/dias/1806/10/24/pdfs/GMD-1806-87.pdf#page=10","Abrir facsímil")</f>
        <v>Abrir facsímil</v>
      </c>
      <c r="K4273" s="15" t="s">
        <v>22</v>
      </c>
    </row>
    <row r="4274" spans="1:11" ht="42" customHeight="1">
      <c r="A4274" s="4" t="s">
        <v>9449</v>
      </c>
      <c r="B4274" s="5" t="s">
        <v>9450</v>
      </c>
      <c r="C4274" s="5" t="s">
        <v>42</v>
      </c>
      <c r="D4274" s="5" t="s">
        <v>43</v>
      </c>
      <c r="E4274" s="5" t="s">
        <v>110</v>
      </c>
      <c r="F4274" s="9">
        <v>55</v>
      </c>
      <c r="G4274" s="9">
        <v>574</v>
      </c>
      <c r="H4274" s="5" t="s">
        <v>20</v>
      </c>
      <c r="I4274" s="5" t="s">
        <v>9451</v>
      </c>
      <c r="J4274" s="12" t="str">
        <f>HYPERLINK("https://www.boe.es/gazeta/dias/1806/07/04/pdfs/GMD-1806-55.pdf#page=10","Abrir facsímil")</f>
        <v>Abrir facsímil</v>
      </c>
      <c r="K4274" s="15" t="s">
        <v>22</v>
      </c>
    </row>
    <row r="4275" spans="1:11" ht="42" customHeight="1">
      <c r="A4275" s="4" t="s">
        <v>9452</v>
      </c>
      <c r="B4275" s="5" t="s">
        <v>9453</v>
      </c>
      <c r="C4275" s="5" t="s">
        <v>42</v>
      </c>
      <c r="D4275" s="5" t="s">
        <v>43</v>
      </c>
      <c r="E4275" s="5" t="s">
        <v>702</v>
      </c>
      <c r="F4275" s="9">
        <v>43</v>
      </c>
      <c r="G4275" s="9">
        <v>434</v>
      </c>
      <c r="H4275" s="5" t="s">
        <v>20</v>
      </c>
      <c r="I4275" s="5" t="s">
        <v>9454</v>
      </c>
      <c r="J4275" s="12" t="str">
        <f>HYPERLINK("https://www.boe.es/gazeta/dias/1806/05/23/pdfs/GMD-1806-43.pdf#page=10","Abrir facsímil")</f>
        <v>Abrir facsímil</v>
      </c>
      <c r="K4275" s="15" t="s">
        <v>22</v>
      </c>
    </row>
    <row r="4276" spans="1:11" ht="42" customHeight="1">
      <c r="A4276" s="4" t="s">
        <v>9455</v>
      </c>
      <c r="B4276" s="5" t="s">
        <v>9456</v>
      </c>
      <c r="C4276" s="5" t="s">
        <v>31</v>
      </c>
      <c r="D4276" s="5" t="s">
        <v>32</v>
      </c>
      <c r="E4276" s="5" t="s">
        <v>580</v>
      </c>
      <c r="F4276" s="9">
        <v>23</v>
      </c>
      <c r="G4276" s="9">
        <v>220</v>
      </c>
      <c r="H4276" s="5" t="s">
        <v>20</v>
      </c>
      <c r="I4276" s="5" t="s">
        <v>9457</v>
      </c>
      <c r="J4276" s="12" t="str">
        <f>HYPERLINK("https://www.boe.es/gazeta/dias/1806/03/14/pdfs/GMD-1806-23.pdf#page=8","Abrir facsímil")</f>
        <v>Abrir facsímil</v>
      </c>
      <c r="K4276" s="15" t="s">
        <v>22</v>
      </c>
    </row>
    <row r="4277" spans="1:11" ht="42" customHeight="1">
      <c r="A4277" s="4" t="s">
        <v>9458</v>
      </c>
      <c r="B4277" s="5" t="s">
        <v>9459</v>
      </c>
      <c r="C4277" s="5" t="s">
        <v>31</v>
      </c>
      <c r="D4277" s="5" t="s">
        <v>32</v>
      </c>
      <c r="E4277" s="5" t="s">
        <v>483</v>
      </c>
      <c r="F4277" s="9">
        <v>58</v>
      </c>
      <c r="G4277" s="9">
        <v>602</v>
      </c>
      <c r="H4277" s="5" t="s">
        <v>20</v>
      </c>
      <c r="I4277" s="5" t="s">
        <v>9460</v>
      </c>
      <c r="J4277" s="12" t="str">
        <f>HYPERLINK("https://www.boe.es/gazeta/dias/1806/07/15/pdfs/GMD-1806-58.pdf#page=6","Abrir facsímil")</f>
        <v>Abrir facsímil</v>
      </c>
      <c r="K4277" s="15" t="s">
        <v>22</v>
      </c>
    </row>
    <row r="4278" spans="1:11" ht="42" customHeight="1">
      <c r="A4278" s="4" t="s">
        <v>9461</v>
      </c>
      <c r="B4278" s="5" t="s">
        <v>9462</v>
      </c>
      <c r="C4278" s="5" t="s">
        <v>31</v>
      </c>
      <c r="D4278" s="5" t="s">
        <v>32</v>
      </c>
      <c r="E4278" s="5" t="s">
        <v>19</v>
      </c>
      <c r="F4278" s="9">
        <v>3</v>
      </c>
      <c r="G4278" s="9">
        <v>26</v>
      </c>
      <c r="H4278" s="5" t="s">
        <v>20</v>
      </c>
      <c r="I4278" s="5" t="s">
        <v>9463</v>
      </c>
      <c r="J4278" s="12" t="str">
        <f>HYPERLINK("https://www.boe.es/gazeta/dias/1806/01/10/pdfs/GMD-1806-3.pdf#page=6","Abrir facsímil")</f>
        <v>Abrir facsímil</v>
      </c>
      <c r="K4278" s="15" t="s">
        <v>22</v>
      </c>
    </row>
    <row r="4279" spans="1:11" ht="42" customHeight="1">
      <c r="A4279" s="4" t="s">
        <v>9464</v>
      </c>
      <c r="B4279" s="5" t="s">
        <v>9465</v>
      </c>
      <c r="C4279" s="5" t="s">
        <v>42</v>
      </c>
      <c r="D4279" s="5" t="s">
        <v>43</v>
      </c>
      <c r="E4279" s="5" t="s">
        <v>400</v>
      </c>
      <c r="F4279" s="9">
        <v>22</v>
      </c>
      <c r="G4279" s="9">
        <v>207</v>
      </c>
      <c r="H4279" s="5" t="s">
        <v>20</v>
      </c>
      <c r="I4279" s="5" t="s">
        <v>9466</v>
      </c>
      <c r="J4279" s="12" t="str">
        <f>HYPERLINK("https://www.boe.es/gazeta/dias/1806/03/11/pdfs/GMD-1806-22.pdf#page=7","Abrir facsímil")</f>
        <v>Abrir facsímil</v>
      </c>
      <c r="K4279" s="15" t="s">
        <v>22</v>
      </c>
    </row>
    <row r="4280" spans="1:11" ht="42" customHeight="1">
      <c r="A4280" s="4" t="s">
        <v>9467</v>
      </c>
      <c r="B4280" s="5" t="s">
        <v>9468</v>
      </c>
      <c r="C4280" s="5" t="s">
        <v>75</v>
      </c>
      <c r="D4280" s="5" t="s">
        <v>43</v>
      </c>
      <c r="E4280" s="5" t="s">
        <v>689</v>
      </c>
      <c r="F4280" s="9">
        <v>37</v>
      </c>
      <c r="G4280" s="9">
        <v>361</v>
      </c>
      <c r="H4280" s="5" t="s">
        <v>20</v>
      </c>
      <c r="I4280" s="5" t="s">
        <v>9469</v>
      </c>
      <c r="J4280" s="12" t="str">
        <f>HYPERLINK("https://www.boe.es/gazeta/dias/1806/05/02/pdfs/GMD-1806-37.pdf#page=9","Abrir facsímil")</f>
        <v>Abrir facsímil</v>
      </c>
      <c r="K4280" s="15" t="s">
        <v>22</v>
      </c>
    </row>
    <row r="4281" spans="1:11" ht="42" customHeight="1">
      <c r="A4281" s="4" t="s">
        <v>9470</v>
      </c>
      <c r="B4281" s="5" t="s">
        <v>9471</v>
      </c>
      <c r="C4281" s="5" t="s">
        <v>42</v>
      </c>
      <c r="D4281" s="5" t="s">
        <v>43</v>
      </c>
      <c r="E4281" s="5" t="s">
        <v>279</v>
      </c>
      <c r="F4281" s="9">
        <v>52</v>
      </c>
      <c r="G4281" s="9">
        <v>540</v>
      </c>
      <c r="H4281" s="5" t="s">
        <v>20</v>
      </c>
      <c r="I4281" s="5" t="s">
        <v>9472</v>
      </c>
      <c r="J4281" s="12" t="str">
        <f>HYPERLINK("https://www.boe.es/gazeta/dias/1806/06/24/pdfs/GMD-1806-52.pdf#page=8","Abrir facsímil")</f>
        <v>Abrir facsímil</v>
      </c>
      <c r="K4281" s="15" t="s">
        <v>22</v>
      </c>
    </row>
    <row r="4282" spans="1:11" ht="42" customHeight="1">
      <c r="A4282" s="4" t="s">
        <v>9473</v>
      </c>
      <c r="B4282" s="5" t="s">
        <v>9474</v>
      </c>
      <c r="C4282" s="5" t="s">
        <v>42</v>
      </c>
      <c r="D4282" s="5" t="s">
        <v>43</v>
      </c>
      <c r="E4282" s="5" t="s">
        <v>327</v>
      </c>
      <c r="F4282" s="9">
        <v>104</v>
      </c>
      <c r="G4282" s="9">
        <v>1110</v>
      </c>
      <c r="H4282" s="5" t="s">
        <v>20</v>
      </c>
      <c r="I4282" s="5" t="s">
        <v>9475</v>
      </c>
      <c r="J4282" s="12" t="str">
        <f>HYPERLINK("https://www.boe.es/gazeta/dias/1806/12/23/pdfs/GMD-1806-104.pdf#page=10","Abrir facsímil")</f>
        <v>Abrir facsímil</v>
      </c>
      <c r="K4282" s="15" t="s">
        <v>22</v>
      </c>
    </row>
    <row r="4283" spans="1:11" ht="42" customHeight="1">
      <c r="A4283" s="4" t="s">
        <v>9476</v>
      </c>
      <c r="B4283" s="5" t="s">
        <v>9477</v>
      </c>
      <c r="C4283" s="5" t="s">
        <v>17</v>
      </c>
      <c r="D4283" s="5" t="s">
        <v>18</v>
      </c>
      <c r="E4283" s="5" t="s">
        <v>580</v>
      </c>
      <c r="F4283" s="9">
        <v>23</v>
      </c>
      <c r="G4283" s="9">
        <v>219</v>
      </c>
      <c r="H4283" s="5" t="s">
        <v>20</v>
      </c>
      <c r="I4283" s="5" t="s">
        <v>9478</v>
      </c>
      <c r="J4283" s="12" t="str">
        <f>HYPERLINK("https://www.boe.es/gazeta/dias/1806/03/14/pdfs/GMD-1806-23.pdf#page=7","Abrir facsímil")</f>
        <v>Abrir facsímil</v>
      </c>
      <c r="K4283" s="15" t="s">
        <v>22</v>
      </c>
    </row>
    <row r="4284" spans="1:11" ht="42" customHeight="1">
      <c r="A4284" s="4" t="s">
        <v>9479</v>
      </c>
      <c r="B4284" s="5" t="s">
        <v>9480</v>
      </c>
      <c r="C4284" s="5" t="s">
        <v>42</v>
      </c>
      <c r="D4284" s="5" t="s">
        <v>43</v>
      </c>
      <c r="E4284" s="5" t="s">
        <v>113</v>
      </c>
      <c r="F4284" s="9">
        <v>28</v>
      </c>
      <c r="G4284" s="9">
        <v>277</v>
      </c>
      <c r="H4284" s="5" t="s">
        <v>20</v>
      </c>
      <c r="I4284" s="5" t="s">
        <v>9481</v>
      </c>
      <c r="J4284" s="12" t="str">
        <f>HYPERLINK("https://www.boe.es/gazeta/dias/1806/04/01/pdfs/GMD-1806-28.pdf#page=5","Abrir facsímil")</f>
        <v>Abrir facsímil</v>
      </c>
      <c r="K4284" s="15" t="s">
        <v>22</v>
      </c>
    </row>
    <row r="4285" spans="1:11" ht="42" customHeight="1">
      <c r="A4285" s="4" t="s">
        <v>9482</v>
      </c>
      <c r="B4285" s="5" t="s">
        <v>9483</v>
      </c>
      <c r="C4285" s="5" t="s">
        <v>31</v>
      </c>
      <c r="D4285" s="5" t="s">
        <v>32</v>
      </c>
      <c r="E4285" s="5" t="s">
        <v>165</v>
      </c>
      <c r="F4285" s="9">
        <v>101</v>
      </c>
      <c r="G4285" s="9">
        <v>1071</v>
      </c>
      <c r="H4285" s="5" t="s">
        <v>20</v>
      </c>
      <c r="I4285" s="5" t="s">
        <v>9484</v>
      </c>
      <c r="J4285" s="12" t="str">
        <f>HYPERLINK("https://www.boe.es/gazeta/dias/1806/12/12/pdfs/GMD-1806-101.pdf#page=3","Abrir facsímil")</f>
        <v>Abrir facsímil</v>
      </c>
      <c r="K4285" s="15" t="s">
        <v>22</v>
      </c>
    </row>
    <row r="4286" spans="1:11" ht="42" customHeight="1">
      <c r="A4286" s="4" t="s">
        <v>9485</v>
      </c>
      <c r="B4286" s="5" t="s">
        <v>9485</v>
      </c>
      <c r="C4286" s="5" t="s">
        <v>31</v>
      </c>
      <c r="D4286" s="5" t="s">
        <v>32</v>
      </c>
      <c r="E4286" s="5" t="s">
        <v>383</v>
      </c>
      <c r="F4286" s="9">
        <v>54</v>
      </c>
      <c r="G4286" s="9">
        <v>558</v>
      </c>
      <c r="H4286" s="5" t="s">
        <v>20</v>
      </c>
      <c r="I4286" s="5" t="s">
        <v>9486</v>
      </c>
      <c r="J4286" s="12" t="str">
        <f>HYPERLINK("https://www.boe.es/gazeta/dias/1806/07/01/pdfs/GMD-1806-54.pdf#page=2","Abrir facsímil")</f>
        <v>Abrir facsímil</v>
      </c>
      <c r="K4286" s="15" t="s">
        <v>22</v>
      </c>
    </row>
    <row r="4287" spans="1:11" ht="42" customHeight="1">
      <c r="A4287" s="4" t="s">
        <v>9487</v>
      </c>
      <c r="B4287" s="5" t="s">
        <v>9488</v>
      </c>
      <c r="C4287" s="5" t="s">
        <v>17</v>
      </c>
      <c r="D4287" s="5" t="s">
        <v>18</v>
      </c>
      <c r="E4287" s="5" t="s">
        <v>245</v>
      </c>
      <c r="F4287" s="9">
        <v>106</v>
      </c>
      <c r="G4287" s="9">
        <v>1124</v>
      </c>
      <c r="H4287" s="5" t="s">
        <v>20</v>
      </c>
      <c r="I4287" s="5" t="s">
        <v>9489</v>
      </c>
      <c r="J4287" s="12" t="str">
        <f>HYPERLINK("https://www.boe.es/gazeta/dias/1806/12/26/pdfs/GMD-1806-106.pdf#page=8","Abrir facsímil")</f>
        <v>Abrir facsímil</v>
      </c>
      <c r="K4287" s="15" t="s">
        <v>22</v>
      </c>
    </row>
    <row r="4288" spans="1:11" ht="42" customHeight="1">
      <c r="A4288" s="4" t="s">
        <v>9490</v>
      </c>
      <c r="B4288" s="5" t="s">
        <v>9491</v>
      </c>
      <c r="C4288" s="5" t="s">
        <v>17</v>
      </c>
      <c r="D4288" s="5" t="s">
        <v>18</v>
      </c>
      <c r="E4288" s="5" t="s">
        <v>195</v>
      </c>
      <c r="F4288" s="9">
        <v>4</v>
      </c>
      <c r="G4288" s="9">
        <v>35</v>
      </c>
      <c r="H4288" s="5" t="s">
        <v>20</v>
      </c>
      <c r="I4288" s="5" t="s">
        <v>9492</v>
      </c>
      <c r="J4288" s="12" t="str">
        <f>HYPERLINK("https://www.boe.es/gazeta/dias/1806/01/14/pdfs/GMD-1806-4.pdf#page=7","Abrir facsímil")</f>
        <v>Abrir facsímil</v>
      </c>
      <c r="K4288" s="15" t="s">
        <v>22</v>
      </c>
    </row>
    <row r="4289" spans="1:11" ht="42" customHeight="1">
      <c r="A4289" s="4" t="s">
        <v>9493</v>
      </c>
      <c r="B4289" s="5" t="s">
        <v>9494</v>
      </c>
      <c r="C4289" s="5" t="s">
        <v>69</v>
      </c>
      <c r="D4289" s="5" t="s">
        <v>70</v>
      </c>
      <c r="E4289" s="5" t="s">
        <v>227</v>
      </c>
      <c r="F4289" s="9">
        <v>27</v>
      </c>
      <c r="G4289" s="9">
        <v>266</v>
      </c>
      <c r="H4289" s="5" t="s">
        <v>20</v>
      </c>
      <c r="I4289" s="5" t="s">
        <v>9495</v>
      </c>
      <c r="J4289" s="12" t="str">
        <f>HYPERLINK("https://www.boe.es/gazeta/dias/1806/03/28/pdfs/GMD-1806-27.pdf#page=6","Abrir facsímil")</f>
        <v>Abrir facsímil</v>
      </c>
      <c r="K4289" s="15" t="s">
        <v>22</v>
      </c>
    </row>
    <row r="4290" spans="1:11" ht="42" customHeight="1">
      <c r="A4290" s="4" t="s">
        <v>9493</v>
      </c>
      <c r="B4290" s="5" t="s">
        <v>9494</v>
      </c>
      <c r="C4290" s="5" t="s">
        <v>31</v>
      </c>
      <c r="D4290" s="5" t="s">
        <v>32</v>
      </c>
      <c r="E4290" s="5" t="s">
        <v>26</v>
      </c>
      <c r="F4290" s="9">
        <v>65</v>
      </c>
      <c r="G4290" s="9">
        <v>678</v>
      </c>
      <c r="H4290" s="5" t="s">
        <v>20</v>
      </c>
      <c r="I4290" s="5" t="s">
        <v>9496</v>
      </c>
      <c r="J4290" s="12" t="str">
        <f>HYPERLINK("https://www.boe.es/gazeta/dias/1806/08/08/pdfs/GMD-1806-65.pdf#page=6","Abrir facsímil")</f>
        <v>Abrir facsímil</v>
      </c>
      <c r="K4290" s="15" t="s">
        <v>22</v>
      </c>
    </row>
    <row r="4291" spans="1:11" ht="42" customHeight="1">
      <c r="A4291" s="4" t="s">
        <v>9493</v>
      </c>
      <c r="B4291" s="5" t="s">
        <v>9494</v>
      </c>
      <c r="C4291" s="5" t="s">
        <v>69</v>
      </c>
      <c r="D4291" s="5" t="s">
        <v>70</v>
      </c>
      <c r="E4291" s="5" t="s">
        <v>348</v>
      </c>
      <c r="F4291" s="9">
        <v>88</v>
      </c>
      <c r="G4291" s="9">
        <v>908</v>
      </c>
      <c r="H4291" s="5" t="s">
        <v>20</v>
      </c>
      <c r="I4291" s="5" t="s">
        <v>9497</v>
      </c>
      <c r="J4291" s="12" t="str">
        <f>HYPERLINK("https://www.boe.es/gazeta/dias/1806/10/28/pdfs/GMD-1806-88.pdf#page=4","Abrir facsímil")</f>
        <v>Abrir facsímil</v>
      </c>
      <c r="K4291" s="15" t="s">
        <v>22</v>
      </c>
    </row>
    <row r="4292" spans="1:11" ht="42" customHeight="1">
      <c r="A4292" s="4" t="s">
        <v>9493</v>
      </c>
      <c r="B4292" s="5" t="s">
        <v>9494</v>
      </c>
      <c r="C4292" s="5" t="s">
        <v>69</v>
      </c>
      <c r="D4292" s="5" t="s">
        <v>70</v>
      </c>
      <c r="E4292" s="5" t="s">
        <v>231</v>
      </c>
      <c r="F4292" s="9">
        <v>89</v>
      </c>
      <c r="G4292" s="9">
        <v>915</v>
      </c>
      <c r="H4292" s="5" t="s">
        <v>20</v>
      </c>
      <c r="I4292" s="5" t="s">
        <v>9498</v>
      </c>
      <c r="J4292" s="12" t="str">
        <f>HYPERLINK("https://www.boe.es/gazeta/dias/1806/10/31/pdfs/GMD-1806-89.pdf#page=3","Abrir facsímil")</f>
        <v>Abrir facsímil</v>
      </c>
      <c r="K4292" s="15" t="s">
        <v>22</v>
      </c>
    </row>
    <row r="4293" spans="1:11" ht="42" customHeight="1">
      <c r="A4293" s="4" t="s">
        <v>9493</v>
      </c>
      <c r="B4293" s="5" t="s">
        <v>9494</v>
      </c>
      <c r="C4293" s="5" t="s">
        <v>69</v>
      </c>
      <c r="D4293" s="5" t="s">
        <v>70</v>
      </c>
      <c r="E4293" s="5" t="s">
        <v>554</v>
      </c>
      <c r="F4293" s="9">
        <v>90</v>
      </c>
      <c r="G4293" s="9">
        <v>925</v>
      </c>
      <c r="H4293" s="5" t="s">
        <v>20</v>
      </c>
      <c r="I4293" s="5" t="s">
        <v>9499</v>
      </c>
      <c r="J4293" s="12" t="str">
        <f>HYPERLINK("https://www.boe.es/gazeta/dias/1806/11/04/pdfs/GMD-1806-90.pdf#page=1","Abrir facsímil")</f>
        <v>Abrir facsímil</v>
      </c>
      <c r="K4293" s="15" t="s">
        <v>22</v>
      </c>
    </row>
    <row r="4294" spans="1:11" ht="42" customHeight="1">
      <c r="A4294" s="4" t="s">
        <v>9493</v>
      </c>
      <c r="B4294" s="5" t="s">
        <v>9494</v>
      </c>
      <c r="C4294" s="5" t="s">
        <v>69</v>
      </c>
      <c r="D4294" s="5" t="s">
        <v>70</v>
      </c>
      <c r="E4294" s="5" t="s">
        <v>570</v>
      </c>
      <c r="F4294" s="9">
        <v>93</v>
      </c>
      <c r="G4294" s="9">
        <v>968</v>
      </c>
      <c r="H4294" s="5" t="s">
        <v>20</v>
      </c>
      <c r="I4294" s="5" t="s">
        <v>9500</v>
      </c>
      <c r="J4294" s="12" t="str">
        <f>HYPERLINK("https://www.boe.es/gazeta/dias/1806/11/14/pdfs/GMD-1806-93.pdf#page=4","Abrir facsímil")</f>
        <v>Abrir facsímil</v>
      </c>
      <c r="K4294" s="15" t="s">
        <v>22</v>
      </c>
    </row>
    <row r="4295" spans="1:11" ht="42" customHeight="1">
      <c r="A4295" s="4" t="s">
        <v>9493</v>
      </c>
      <c r="B4295" s="5" t="s">
        <v>9494</v>
      </c>
      <c r="C4295" s="5" t="s">
        <v>69</v>
      </c>
      <c r="D4295" s="5" t="s">
        <v>70</v>
      </c>
      <c r="E4295" s="5" t="s">
        <v>570</v>
      </c>
      <c r="F4295" s="9">
        <v>93</v>
      </c>
      <c r="G4295" s="9">
        <v>973</v>
      </c>
      <c r="H4295" s="5" t="s">
        <v>20</v>
      </c>
      <c r="I4295" s="5" t="s">
        <v>9501</v>
      </c>
      <c r="J4295" s="12" t="str">
        <f>HYPERLINK("https://www.boe.es/gazeta/dias/1806/11/14/pdfs/GMD-1806-93.pdf#page=9","Abrir facsímil")</f>
        <v>Abrir facsímil</v>
      </c>
      <c r="K4295" s="15" t="s">
        <v>22</v>
      </c>
    </row>
    <row r="4296" spans="1:11" ht="42" customHeight="1">
      <c r="A4296" s="4" t="s">
        <v>9493</v>
      </c>
      <c r="B4296" s="5" t="s">
        <v>9494</v>
      </c>
      <c r="C4296" s="5" t="s">
        <v>42</v>
      </c>
      <c r="D4296" s="5" t="s">
        <v>43</v>
      </c>
      <c r="E4296" s="5" t="s">
        <v>297</v>
      </c>
      <c r="F4296" s="9">
        <v>94</v>
      </c>
      <c r="G4296" s="9">
        <v>983</v>
      </c>
      <c r="H4296" s="5" t="s">
        <v>20</v>
      </c>
      <c r="I4296" s="5" t="s">
        <v>9502</v>
      </c>
      <c r="J4296" s="12" t="str">
        <f>HYPERLINK("https://www.boe.es/gazeta/dias/1806/11/18/pdfs/GMD-1806-94.pdf#page=3","Abrir facsímil")</f>
        <v>Abrir facsímil</v>
      </c>
      <c r="K4296" s="15" t="s">
        <v>22</v>
      </c>
    </row>
    <row r="4297" spans="1:11" ht="42" customHeight="1">
      <c r="A4297" s="4" t="s">
        <v>9503</v>
      </c>
      <c r="B4297" s="5" t="s">
        <v>9504</v>
      </c>
      <c r="C4297" s="5" t="s">
        <v>69</v>
      </c>
      <c r="D4297" s="5" t="s">
        <v>70</v>
      </c>
      <c r="E4297" s="5" t="s">
        <v>312</v>
      </c>
      <c r="F4297" s="9">
        <v>100</v>
      </c>
      <c r="G4297" s="9">
        <v>1062</v>
      </c>
      <c r="H4297" s="5" t="s">
        <v>20</v>
      </c>
      <c r="I4297" s="5" t="s">
        <v>9505</v>
      </c>
      <c r="J4297" s="12" t="str">
        <f>HYPERLINK("https://www.boe.es/gazeta/dias/1806/12/09/pdfs/GMD-1806-100.pdf#page=6","Abrir facsímil")</f>
        <v>Abrir facsímil</v>
      </c>
      <c r="K4297" s="15" t="s">
        <v>22</v>
      </c>
    </row>
    <row r="4298" spans="1:11" ht="42" customHeight="1">
      <c r="A4298" s="4" t="s">
        <v>9506</v>
      </c>
      <c r="B4298" s="5" t="s">
        <v>9507</v>
      </c>
      <c r="C4298" s="5" t="s">
        <v>31</v>
      </c>
      <c r="D4298" s="5" t="s">
        <v>32</v>
      </c>
      <c r="E4298" s="5" t="s">
        <v>348</v>
      </c>
      <c r="F4298" s="9">
        <v>88</v>
      </c>
      <c r="G4298" s="9">
        <v>909</v>
      </c>
      <c r="H4298" s="5" t="s">
        <v>20</v>
      </c>
      <c r="I4298" s="5" t="s">
        <v>9508</v>
      </c>
      <c r="J4298" s="12" t="str">
        <f>HYPERLINK("https://www.boe.es/gazeta/dias/1806/10/28/pdfs/GMD-1806-88.pdf#page=5","Abrir facsímil")</f>
        <v>Abrir facsímil</v>
      </c>
      <c r="K4298" s="15" t="s">
        <v>22</v>
      </c>
    </row>
    <row r="4299" spans="1:11" ht="42" customHeight="1">
      <c r="A4299" s="4" t="s">
        <v>9509</v>
      </c>
      <c r="B4299" s="5" t="s">
        <v>9510</v>
      </c>
      <c r="C4299" s="5" t="s">
        <v>69</v>
      </c>
      <c r="D4299" s="5" t="s">
        <v>70</v>
      </c>
      <c r="E4299" s="5" t="s">
        <v>124</v>
      </c>
      <c r="F4299" s="9">
        <v>25</v>
      </c>
      <c r="G4299" s="9">
        <v>240</v>
      </c>
      <c r="H4299" s="5" t="s">
        <v>20</v>
      </c>
      <c r="I4299" s="5" t="s">
        <v>9511</v>
      </c>
      <c r="J4299" s="12" t="str">
        <f>HYPERLINK("https://www.boe.es/gazeta/dias/1806/03/21/pdfs/GMD-1806-25.pdf#page=4","Abrir facsímil")</f>
        <v>Abrir facsímil</v>
      </c>
      <c r="K4299" s="15" t="s">
        <v>22</v>
      </c>
    </row>
    <row r="4300" spans="1:11" ht="42" customHeight="1">
      <c r="A4300" s="4" t="s">
        <v>9509</v>
      </c>
      <c r="B4300" s="5" t="s">
        <v>9510</v>
      </c>
      <c r="C4300" s="5" t="s">
        <v>69</v>
      </c>
      <c r="D4300" s="5" t="s">
        <v>70</v>
      </c>
      <c r="E4300" s="5" t="s">
        <v>540</v>
      </c>
      <c r="F4300" s="9">
        <v>51</v>
      </c>
      <c r="G4300" s="9">
        <v>524</v>
      </c>
      <c r="H4300" s="5" t="s">
        <v>20</v>
      </c>
      <c r="I4300" s="5" t="s">
        <v>9512</v>
      </c>
      <c r="J4300" s="12" t="str">
        <f>HYPERLINK("https://www.boe.es/gazeta/dias/1806/06/20/pdfs/GMD-1806-51.pdf#page=4","Abrir facsímil")</f>
        <v>Abrir facsímil</v>
      </c>
      <c r="K4300" s="15" t="s">
        <v>22</v>
      </c>
    </row>
    <row r="4301" spans="1:11" ht="42" customHeight="1">
      <c r="A4301" s="4" t="s">
        <v>9509</v>
      </c>
      <c r="B4301" s="5" t="s">
        <v>9510</v>
      </c>
      <c r="C4301" s="5" t="s">
        <v>69</v>
      </c>
      <c r="D4301" s="5" t="s">
        <v>70</v>
      </c>
      <c r="E4301" s="5" t="s">
        <v>140</v>
      </c>
      <c r="F4301" s="9">
        <v>83</v>
      </c>
      <c r="G4301" s="9">
        <v>858</v>
      </c>
      <c r="H4301" s="5" t="s">
        <v>20</v>
      </c>
      <c r="I4301" s="5" t="s">
        <v>9513</v>
      </c>
      <c r="J4301" s="12" t="str">
        <f>HYPERLINK("https://www.boe.es/gazeta/dias/1806/10/10/pdfs/GMD-1806-83.pdf#page=6","Abrir facsímil")</f>
        <v>Abrir facsímil</v>
      </c>
      <c r="K4301" s="15" t="s">
        <v>22</v>
      </c>
    </row>
    <row r="4302" spans="1:11" ht="42" customHeight="1">
      <c r="A4302" s="4" t="s">
        <v>9509</v>
      </c>
      <c r="B4302" s="5" t="s">
        <v>9510</v>
      </c>
      <c r="C4302" s="5" t="s">
        <v>69</v>
      </c>
      <c r="D4302" s="5" t="s">
        <v>70</v>
      </c>
      <c r="E4302" s="5" t="s">
        <v>348</v>
      </c>
      <c r="F4302" s="9">
        <v>88</v>
      </c>
      <c r="G4302" s="9">
        <v>909</v>
      </c>
      <c r="H4302" s="5" t="s">
        <v>20</v>
      </c>
      <c r="I4302" s="5" t="s">
        <v>9514</v>
      </c>
      <c r="J4302" s="12" t="str">
        <f>HYPERLINK("https://www.boe.es/gazeta/dias/1806/10/28/pdfs/GMD-1806-88.pdf#page=5","Abrir facsímil")</f>
        <v>Abrir facsímil</v>
      </c>
      <c r="K4302" s="15" t="s">
        <v>22</v>
      </c>
    </row>
    <row r="4303" spans="1:11" ht="42" customHeight="1">
      <c r="A4303" s="4" t="s">
        <v>9509</v>
      </c>
      <c r="B4303" s="5" t="s">
        <v>9510</v>
      </c>
      <c r="C4303" s="5" t="s">
        <v>69</v>
      </c>
      <c r="D4303" s="5" t="s">
        <v>70</v>
      </c>
      <c r="E4303" s="5" t="s">
        <v>657</v>
      </c>
      <c r="F4303" s="9">
        <v>96</v>
      </c>
      <c r="G4303" s="9">
        <v>1016</v>
      </c>
      <c r="H4303" s="5" t="s">
        <v>20</v>
      </c>
      <c r="I4303" s="5" t="s">
        <v>9515</v>
      </c>
      <c r="J4303" s="12" t="str">
        <f>HYPERLINK("https://www.boe.es/gazeta/dias/1806/11/25/pdfs/GMD-1806-96.pdf#page=8","Abrir facsímil")</f>
        <v>Abrir facsímil</v>
      </c>
      <c r="K4303" s="15" t="s">
        <v>22</v>
      </c>
    </row>
    <row r="4304" spans="1:11" ht="42" customHeight="1">
      <c r="A4304" s="4" t="s">
        <v>9509</v>
      </c>
      <c r="B4304" s="5" t="s">
        <v>9510</v>
      </c>
      <c r="C4304" s="5" t="s">
        <v>31</v>
      </c>
      <c r="D4304" s="5" t="s">
        <v>32</v>
      </c>
      <c r="E4304" s="5" t="s">
        <v>680</v>
      </c>
      <c r="F4304" s="9">
        <v>97</v>
      </c>
      <c r="G4304" s="9">
        <v>1026</v>
      </c>
      <c r="H4304" s="5" t="s">
        <v>20</v>
      </c>
      <c r="I4304" s="5" t="s">
        <v>9516</v>
      </c>
      <c r="J4304" s="12" t="str">
        <f>HYPERLINK("https://www.boe.es/gazeta/dias/1806/11/28/pdfs/GMD-1806-97.pdf#page=6","Abrir facsímil")</f>
        <v>Abrir facsímil</v>
      </c>
      <c r="K4304" s="15" t="s">
        <v>22</v>
      </c>
    </row>
    <row r="4305" spans="1:11" ht="42" customHeight="1">
      <c r="A4305" s="4" t="s">
        <v>9509</v>
      </c>
      <c r="B4305" s="5" t="s">
        <v>9510</v>
      </c>
      <c r="C4305" s="5" t="s">
        <v>31</v>
      </c>
      <c r="D4305" s="5" t="s">
        <v>32</v>
      </c>
      <c r="E4305" s="5" t="s">
        <v>76</v>
      </c>
      <c r="F4305" s="9">
        <v>98</v>
      </c>
      <c r="G4305" s="9">
        <v>1038</v>
      </c>
      <c r="H4305" s="5" t="s">
        <v>20</v>
      </c>
      <c r="I4305" s="5" t="s">
        <v>9517</v>
      </c>
      <c r="J4305" s="12" t="str">
        <f>HYPERLINK("https://www.boe.es/gazeta/dias/1806/12/02/pdfs/GMD-1806-98.pdf#page=6","Abrir facsímil")</f>
        <v>Abrir facsímil</v>
      </c>
      <c r="K4305" s="15" t="s">
        <v>22</v>
      </c>
    </row>
    <row r="4306" spans="1:11" ht="42" customHeight="1">
      <c r="A4306" s="4" t="s">
        <v>9509</v>
      </c>
      <c r="B4306" s="5" t="s">
        <v>9510</v>
      </c>
      <c r="C4306" s="5" t="s">
        <v>69</v>
      </c>
      <c r="D4306" s="5" t="s">
        <v>70</v>
      </c>
      <c r="E4306" s="5" t="s">
        <v>181</v>
      </c>
      <c r="F4306" s="9">
        <v>99</v>
      </c>
      <c r="G4306" s="9">
        <v>1049</v>
      </c>
      <c r="H4306" s="5" t="s">
        <v>20</v>
      </c>
      <c r="I4306" s="5" t="s">
        <v>9518</v>
      </c>
      <c r="J4306" s="12" t="str">
        <f>HYPERLINK("https://www.boe.es/gazeta/dias/1806/12/05/pdfs/GMD-1806-99.pdf#page=5","Abrir facsímil")</f>
        <v>Abrir facsímil</v>
      </c>
      <c r="K4306" s="15" t="s">
        <v>22</v>
      </c>
    </row>
    <row r="4307" spans="1:11" ht="42" customHeight="1">
      <c r="A4307" s="4" t="s">
        <v>9509</v>
      </c>
      <c r="B4307" s="5" t="s">
        <v>9510</v>
      </c>
      <c r="C4307" s="5" t="s">
        <v>69</v>
      </c>
      <c r="D4307" s="5" t="s">
        <v>70</v>
      </c>
      <c r="E4307" s="5" t="s">
        <v>312</v>
      </c>
      <c r="F4307" s="9">
        <v>100</v>
      </c>
      <c r="G4307" s="9">
        <v>1060</v>
      </c>
      <c r="H4307" s="5" t="s">
        <v>20</v>
      </c>
      <c r="I4307" s="5" t="s">
        <v>9519</v>
      </c>
      <c r="J4307" s="12" t="str">
        <f>HYPERLINK("https://www.boe.es/gazeta/dias/1806/12/09/pdfs/GMD-1806-100.pdf#page=4","Abrir facsímil")</f>
        <v>Abrir facsímil</v>
      </c>
      <c r="K4307" s="15" t="s">
        <v>22</v>
      </c>
    </row>
    <row r="4308" spans="1:11" ht="42" customHeight="1">
      <c r="A4308" s="4" t="s">
        <v>9509</v>
      </c>
      <c r="B4308" s="5" t="s">
        <v>9510</v>
      </c>
      <c r="C4308" s="5" t="s">
        <v>31</v>
      </c>
      <c r="D4308" s="5" t="s">
        <v>32</v>
      </c>
      <c r="E4308" s="5" t="s">
        <v>191</v>
      </c>
      <c r="F4308" s="9">
        <v>103</v>
      </c>
      <c r="G4308" s="9">
        <v>1091</v>
      </c>
      <c r="H4308" s="5" t="s">
        <v>20</v>
      </c>
      <c r="I4308" s="5" t="s">
        <v>9520</v>
      </c>
      <c r="J4308" s="12" t="str">
        <f>HYPERLINK("https://www.boe.es/gazeta/dias/1806/12/19/pdfs/GMD-1806-103.pdf#page=3","Abrir facsímil")</f>
        <v>Abrir facsímil</v>
      </c>
      <c r="K4308" s="15" t="s">
        <v>22</v>
      </c>
    </row>
    <row r="4309" spans="1:11" ht="42" customHeight="1">
      <c r="A4309" s="4" t="s">
        <v>9509</v>
      </c>
      <c r="B4309" s="5" t="s">
        <v>9510</v>
      </c>
      <c r="C4309" s="5" t="s">
        <v>69</v>
      </c>
      <c r="D4309" s="5" t="s">
        <v>70</v>
      </c>
      <c r="E4309" s="5" t="s">
        <v>1031</v>
      </c>
      <c r="F4309" s="9">
        <v>107</v>
      </c>
      <c r="G4309" s="9">
        <v>1127</v>
      </c>
      <c r="H4309" s="5" t="s">
        <v>20</v>
      </c>
      <c r="I4309" s="5" t="s">
        <v>9521</v>
      </c>
      <c r="J4309" s="12" t="str">
        <f>HYPERLINK("https://www.boe.es/gazeta/dias/1806/12/30/pdfs/GMD-1806-107.pdf#page=3","Abrir facsímil")</f>
        <v>Abrir facsímil</v>
      </c>
      <c r="K4309" s="15" t="s">
        <v>22</v>
      </c>
    </row>
    <row r="4310" spans="1:11" ht="42" customHeight="1">
      <c r="A4310" s="4" t="s">
        <v>9522</v>
      </c>
      <c r="B4310" s="5" t="s">
        <v>9523</v>
      </c>
      <c r="C4310" s="5" t="s">
        <v>69</v>
      </c>
      <c r="D4310" s="5" t="s">
        <v>70</v>
      </c>
      <c r="E4310" s="5" t="s">
        <v>570</v>
      </c>
      <c r="F4310" s="9">
        <v>93</v>
      </c>
      <c r="G4310" s="9">
        <v>977</v>
      </c>
      <c r="H4310" s="5" t="s">
        <v>20</v>
      </c>
      <c r="I4310" s="5" t="s">
        <v>9524</v>
      </c>
      <c r="J4310" s="12" t="str">
        <f>HYPERLINK("https://www.boe.es/gazeta/dias/1806/11/14/pdfs/GMD-1806-93.pdf#page=13","Abrir facsímil")</f>
        <v>Abrir facsímil</v>
      </c>
      <c r="K4310" s="15" t="s">
        <v>22</v>
      </c>
    </row>
    <row r="4311" spans="1:11" ht="42" customHeight="1">
      <c r="A4311" s="4" t="s">
        <v>9525</v>
      </c>
      <c r="B4311" s="5" t="s">
        <v>9526</v>
      </c>
      <c r="C4311" s="5" t="s">
        <v>17</v>
      </c>
      <c r="D4311" s="5" t="s">
        <v>18</v>
      </c>
      <c r="E4311" s="5" t="s">
        <v>79</v>
      </c>
      <c r="F4311" s="9">
        <v>68</v>
      </c>
      <c r="G4311" s="9">
        <v>709</v>
      </c>
      <c r="H4311" s="5" t="s">
        <v>20</v>
      </c>
      <c r="I4311" s="5" t="s">
        <v>9527</v>
      </c>
      <c r="J4311" s="12" t="str">
        <f>HYPERLINK("https://www.boe.es/gazeta/dias/1806/08/19/pdfs/GMD-1806-68.pdf#page=5","Abrir facsímil")</f>
        <v>Abrir facsímil</v>
      </c>
      <c r="K4311" s="15" t="s">
        <v>22</v>
      </c>
    </row>
    <row r="4312" spans="1:11" ht="42" customHeight="1">
      <c r="A4312" s="4" t="s">
        <v>9528</v>
      </c>
      <c r="B4312" s="5" t="s">
        <v>9529</v>
      </c>
      <c r="C4312" s="5" t="s">
        <v>69</v>
      </c>
      <c r="D4312" s="5" t="s">
        <v>70</v>
      </c>
      <c r="E4312" s="5" t="s">
        <v>455</v>
      </c>
      <c r="F4312" s="9">
        <v>85</v>
      </c>
      <c r="G4312" s="9">
        <v>873</v>
      </c>
      <c r="H4312" s="5" t="s">
        <v>20</v>
      </c>
      <c r="I4312" s="5" t="s">
        <v>9530</v>
      </c>
      <c r="J4312" s="12" t="str">
        <f>HYPERLINK("https://www.boe.es/gazeta/dias/1806/10/17/pdfs/GMD-1806-85.pdf#page=1","Abrir facsímil")</f>
        <v>Abrir facsímil</v>
      </c>
      <c r="K4312" s="15" t="s">
        <v>22</v>
      </c>
    </row>
    <row r="4313" spans="1:11" ht="42" customHeight="1">
      <c r="A4313" s="4" t="s">
        <v>9531</v>
      </c>
      <c r="B4313" s="5" t="s">
        <v>9532</v>
      </c>
      <c r="C4313" s="5" t="s">
        <v>31</v>
      </c>
      <c r="D4313" s="5" t="s">
        <v>32</v>
      </c>
      <c r="E4313" s="5" t="s">
        <v>271</v>
      </c>
      <c r="F4313" s="9">
        <v>6</v>
      </c>
      <c r="G4313" s="9">
        <v>54</v>
      </c>
      <c r="H4313" s="5" t="s">
        <v>20</v>
      </c>
      <c r="I4313" s="5" t="s">
        <v>9533</v>
      </c>
      <c r="J4313" s="12" t="str">
        <f>HYPERLINK("https://www.boe.es/gazeta/dias/1806/01/17/pdfs/GMD-1806-6.pdf#page=10","Abrir facsímil")</f>
        <v>Abrir facsímil</v>
      </c>
      <c r="K4313" s="15" t="s">
        <v>22</v>
      </c>
    </row>
    <row r="4314" spans="1:11" ht="42" customHeight="1">
      <c r="A4314" s="4" t="s">
        <v>9534</v>
      </c>
      <c r="B4314" s="5" t="s">
        <v>9534</v>
      </c>
      <c r="C4314" s="5" t="s">
        <v>69</v>
      </c>
      <c r="D4314" s="5" t="s">
        <v>70</v>
      </c>
      <c r="E4314" s="5" t="s">
        <v>661</v>
      </c>
      <c r="F4314" s="9">
        <v>38</v>
      </c>
      <c r="G4314" s="9">
        <v>369</v>
      </c>
      <c r="H4314" s="5" t="s">
        <v>20</v>
      </c>
      <c r="I4314" s="5" t="s">
        <v>9535</v>
      </c>
      <c r="J4314" s="12" t="str">
        <f>HYPERLINK("https://www.boe.es/gazeta/dias/1806/05/06/pdfs/GMD-1806-38.pdf#page=5","Abrir facsímil")</f>
        <v>Abrir facsímil</v>
      </c>
      <c r="K4314" s="15" t="s">
        <v>22</v>
      </c>
    </row>
    <row r="4315" spans="1:11" ht="42" customHeight="1">
      <c r="A4315" s="4" t="s">
        <v>9536</v>
      </c>
      <c r="B4315" s="5" t="s">
        <v>9537</v>
      </c>
      <c r="C4315" s="5" t="s">
        <v>17</v>
      </c>
      <c r="D4315" s="5" t="s">
        <v>18</v>
      </c>
      <c r="E4315" s="5" t="s">
        <v>494</v>
      </c>
      <c r="F4315" s="9">
        <v>69</v>
      </c>
      <c r="G4315" s="9">
        <v>721</v>
      </c>
      <c r="H4315" s="5" t="s">
        <v>20</v>
      </c>
      <c r="I4315" s="5" t="s">
        <v>9538</v>
      </c>
      <c r="J4315" s="12" t="str">
        <f>HYPERLINK("https://www.boe.es/gazeta/dias/1806/08/22/pdfs/GMD-1806-69.pdf#page=9","Abrir facsímil")</f>
        <v>Abrir facsímil</v>
      </c>
      <c r="K4315" s="15" t="s">
        <v>22</v>
      </c>
    </row>
    <row r="4316" spans="1:11" ht="42" customHeight="1">
      <c r="A4316" s="4" t="s">
        <v>9539</v>
      </c>
      <c r="B4316" s="5" t="s">
        <v>9539</v>
      </c>
      <c r="C4316" s="5" t="s">
        <v>17</v>
      </c>
      <c r="D4316" s="5" t="s">
        <v>18</v>
      </c>
      <c r="E4316" s="5" t="s">
        <v>76</v>
      </c>
      <c r="F4316" s="9">
        <v>98</v>
      </c>
      <c r="G4316" s="9">
        <v>1033</v>
      </c>
      <c r="H4316" s="5" t="s">
        <v>20</v>
      </c>
      <c r="I4316" s="5" t="s">
        <v>9540</v>
      </c>
      <c r="J4316" s="12" t="str">
        <f>HYPERLINK("https://www.boe.es/gazeta/dias/1806/12/02/pdfs/GMD-1806-98.pdf#page=1","Abrir facsímil")</f>
        <v>Abrir facsímil</v>
      </c>
      <c r="K4316" s="15" t="s">
        <v>22</v>
      </c>
    </row>
    <row r="4317" spans="1:11" ht="42" customHeight="1">
      <c r="A4317" s="4" t="s">
        <v>9541</v>
      </c>
      <c r="B4317" s="5" t="s">
        <v>9542</v>
      </c>
      <c r="C4317" s="5" t="s">
        <v>75</v>
      </c>
      <c r="D4317" s="5" t="s">
        <v>43</v>
      </c>
      <c r="E4317" s="5" t="s">
        <v>28</v>
      </c>
      <c r="F4317" s="9">
        <v>102</v>
      </c>
      <c r="G4317" s="9">
        <v>1086</v>
      </c>
      <c r="H4317" s="5" t="s">
        <v>20</v>
      </c>
      <c r="I4317" s="5" t="s">
        <v>9543</v>
      </c>
      <c r="J4317" s="12" t="str">
        <f>HYPERLINK("https://www.boe.es/gazeta/dias/1806/12/16/pdfs/GMD-1806-102.pdf#page=10","Abrir facsímil")</f>
        <v>Abrir facsímil</v>
      </c>
      <c r="K4317" s="15" t="s">
        <v>22</v>
      </c>
    </row>
    <row r="4318" spans="1:11" ht="42" customHeight="1">
      <c r="A4318" s="4" t="s">
        <v>9544</v>
      </c>
      <c r="B4318" s="5" t="s">
        <v>9545</v>
      </c>
      <c r="C4318" s="5" t="s">
        <v>75</v>
      </c>
      <c r="D4318" s="5" t="s">
        <v>43</v>
      </c>
      <c r="E4318" s="5" t="s">
        <v>290</v>
      </c>
      <c r="F4318" s="9">
        <v>1</v>
      </c>
      <c r="G4318" s="9">
        <v>10</v>
      </c>
      <c r="H4318" s="5" t="s">
        <v>20</v>
      </c>
      <c r="I4318" s="5" t="s">
        <v>9546</v>
      </c>
      <c r="J4318" s="12" t="str">
        <f>HYPERLINK("https://www.boe.es/gazeta/dias/1806/01/03/pdfs/GMD-1806-1.pdf#page=10","Abrir facsímil")</f>
        <v>Abrir facsímil</v>
      </c>
      <c r="K4318" s="15" t="s">
        <v>22</v>
      </c>
    </row>
    <row r="4319" spans="1:11" ht="42" customHeight="1">
      <c r="A4319" s="4" t="s">
        <v>9544</v>
      </c>
      <c r="B4319" s="5" t="s">
        <v>9545</v>
      </c>
      <c r="C4319" s="5" t="s">
        <v>31</v>
      </c>
      <c r="D4319" s="5" t="s">
        <v>32</v>
      </c>
      <c r="E4319" s="5" t="s">
        <v>100</v>
      </c>
      <c r="F4319" s="9">
        <v>7</v>
      </c>
      <c r="G4319" s="9">
        <v>66</v>
      </c>
      <c r="H4319" s="5" t="s">
        <v>20</v>
      </c>
      <c r="I4319" s="5" t="s">
        <v>9547</v>
      </c>
      <c r="J4319" s="12" t="str">
        <f>HYPERLINK("https://www.boe.es/gazeta/dias/1806/01/21/pdfs/GMD-1806-7.pdf#page=10","Abrir facsímil")</f>
        <v>Abrir facsímil</v>
      </c>
      <c r="K4319" s="15" t="s">
        <v>22</v>
      </c>
    </row>
    <row r="4320" spans="1:11" ht="42" customHeight="1">
      <c r="A4320" s="4" t="s">
        <v>9544</v>
      </c>
      <c r="B4320" s="5" t="s">
        <v>9545</v>
      </c>
      <c r="C4320" s="5" t="s">
        <v>75</v>
      </c>
      <c r="D4320" s="5" t="s">
        <v>43</v>
      </c>
      <c r="E4320" s="5" t="s">
        <v>118</v>
      </c>
      <c r="F4320" s="9">
        <v>15</v>
      </c>
      <c r="G4320" s="9">
        <v>135</v>
      </c>
      <c r="H4320" s="5" t="s">
        <v>20</v>
      </c>
      <c r="I4320" s="5" t="s">
        <v>9548</v>
      </c>
      <c r="J4320" s="12" t="str">
        <f>HYPERLINK("https://www.boe.es/gazeta/dias/1806/02/14/pdfs/GMD-1806-15.pdf#page=11","Abrir facsímil")</f>
        <v>Abrir facsímil</v>
      </c>
      <c r="K4320" s="15" t="s">
        <v>22</v>
      </c>
    </row>
    <row r="4321" spans="1:11" ht="42" customHeight="1">
      <c r="A4321" s="4" t="s">
        <v>9544</v>
      </c>
      <c r="B4321" s="5" t="s">
        <v>9545</v>
      </c>
      <c r="C4321" s="5" t="s">
        <v>75</v>
      </c>
      <c r="D4321" s="5" t="s">
        <v>43</v>
      </c>
      <c r="E4321" s="5" t="s">
        <v>59</v>
      </c>
      <c r="F4321" s="9">
        <v>21</v>
      </c>
      <c r="G4321" s="9">
        <v>199</v>
      </c>
      <c r="H4321" s="5" t="s">
        <v>20</v>
      </c>
      <c r="I4321" s="5" t="s">
        <v>9549</v>
      </c>
      <c r="J4321" s="12" t="str">
        <f>HYPERLINK("https://www.boe.es/gazeta/dias/1806/03/07/pdfs/GMD-1806-21.pdf#page=11","Abrir facsímil")</f>
        <v>Abrir facsímil</v>
      </c>
      <c r="K4321" s="15" t="s">
        <v>22</v>
      </c>
    </row>
    <row r="4322" spans="1:11" ht="42" customHeight="1">
      <c r="A4322" s="4" t="s">
        <v>9544</v>
      </c>
      <c r="B4322" s="5" t="s">
        <v>9545</v>
      </c>
      <c r="C4322" s="5" t="s">
        <v>75</v>
      </c>
      <c r="D4322" s="5" t="s">
        <v>43</v>
      </c>
      <c r="E4322" s="5" t="s">
        <v>400</v>
      </c>
      <c r="F4322" s="9">
        <v>22</v>
      </c>
      <c r="G4322" s="9">
        <v>210</v>
      </c>
      <c r="H4322" s="5" t="s">
        <v>20</v>
      </c>
      <c r="I4322" s="5" t="s">
        <v>9550</v>
      </c>
      <c r="J4322" s="12" t="str">
        <f>HYPERLINK("https://www.boe.es/gazeta/dias/1806/03/11/pdfs/GMD-1806-22.pdf#page=10","Abrir facsímil")</f>
        <v>Abrir facsímil</v>
      </c>
      <c r="K4322" s="15" t="s">
        <v>22</v>
      </c>
    </row>
    <row r="4323" spans="1:11" ht="42" customHeight="1">
      <c r="A4323" s="4" t="s">
        <v>9544</v>
      </c>
      <c r="B4323" s="5" t="s">
        <v>9545</v>
      </c>
      <c r="C4323" s="5" t="s">
        <v>17</v>
      </c>
      <c r="D4323" s="5" t="s">
        <v>18</v>
      </c>
      <c r="E4323" s="5" t="s">
        <v>220</v>
      </c>
      <c r="F4323" s="9">
        <v>24</v>
      </c>
      <c r="G4323" s="9">
        <v>232</v>
      </c>
      <c r="H4323" s="5" t="s">
        <v>20</v>
      </c>
      <c r="I4323" s="5" t="s">
        <v>9551</v>
      </c>
      <c r="J4323" s="12" t="str">
        <f>HYPERLINK("https://www.boe.es/gazeta/dias/1806/03/18/pdfs/GMD-1806-24.pdf#page=8","Abrir facsímil")</f>
        <v>Abrir facsímil</v>
      </c>
      <c r="K4323" s="15" t="s">
        <v>22</v>
      </c>
    </row>
    <row r="4324" spans="1:11" ht="42" customHeight="1">
      <c r="A4324" s="4" t="s">
        <v>9544</v>
      </c>
      <c r="B4324" s="5" t="s">
        <v>9545</v>
      </c>
      <c r="C4324" s="5" t="s">
        <v>17</v>
      </c>
      <c r="D4324" s="5" t="s">
        <v>18</v>
      </c>
      <c r="E4324" s="5" t="s">
        <v>202</v>
      </c>
      <c r="F4324" s="9">
        <v>30</v>
      </c>
      <c r="G4324" s="9">
        <v>296</v>
      </c>
      <c r="H4324" s="5" t="s">
        <v>20</v>
      </c>
      <c r="I4324" s="5" t="s">
        <v>9552</v>
      </c>
      <c r="J4324" s="12" t="str">
        <f>HYPERLINK("https://www.boe.es/gazeta/dias/1806/04/08/pdfs/GMD-1806-30.pdf#page=8","Abrir facsímil")</f>
        <v>Abrir facsímil</v>
      </c>
      <c r="K4324" s="15" t="s">
        <v>22</v>
      </c>
    </row>
    <row r="4325" spans="1:11" ht="42" customHeight="1">
      <c r="A4325" s="4" t="s">
        <v>9553</v>
      </c>
      <c r="B4325" s="5" t="s">
        <v>9554</v>
      </c>
      <c r="C4325" s="5" t="s">
        <v>69</v>
      </c>
      <c r="D4325" s="5" t="s">
        <v>70</v>
      </c>
      <c r="E4325" s="5" t="s">
        <v>113</v>
      </c>
      <c r="F4325" s="9">
        <v>28</v>
      </c>
      <c r="G4325" s="9">
        <v>275</v>
      </c>
      <c r="H4325" s="5" t="s">
        <v>20</v>
      </c>
      <c r="I4325" s="5" t="s">
        <v>9555</v>
      </c>
      <c r="J4325" s="12" t="str">
        <f>HYPERLINK("https://www.boe.es/gazeta/dias/1806/04/01/pdfs/GMD-1806-28.pdf#page=3","Abrir facsímil")</f>
        <v>Abrir facsímil</v>
      </c>
      <c r="K4325" s="15" t="s">
        <v>22</v>
      </c>
    </row>
    <row r="4326" spans="1:11" ht="42" customHeight="1">
      <c r="A4326" s="4" t="s">
        <v>9556</v>
      </c>
      <c r="B4326" s="5" t="s">
        <v>9557</v>
      </c>
      <c r="C4326" s="5" t="s">
        <v>17</v>
      </c>
      <c r="D4326" s="5" t="s">
        <v>18</v>
      </c>
      <c r="E4326" s="5" t="s">
        <v>28</v>
      </c>
      <c r="F4326" s="9">
        <v>102</v>
      </c>
      <c r="G4326" s="9">
        <v>1085</v>
      </c>
      <c r="H4326" s="5" t="s">
        <v>20</v>
      </c>
      <c r="I4326" s="5" t="s">
        <v>9558</v>
      </c>
      <c r="J4326" s="12" t="str">
        <f>HYPERLINK("https://www.boe.es/gazeta/dias/1806/12/16/pdfs/GMD-1806-102.pdf#page=9","Abrir facsímil")</f>
        <v>Abrir facsímil</v>
      </c>
      <c r="K4326" s="15" t="s">
        <v>22</v>
      </c>
    </row>
    <row r="4327" spans="1:11" ht="42" customHeight="1">
      <c r="A4327" s="4" t="s">
        <v>9559</v>
      </c>
      <c r="B4327" s="5" t="s">
        <v>9560</v>
      </c>
      <c r="C4327" s="5" t="s">
        <v>69</v>
      </c>
      <c r="D4327" s="5" t="s">
        <v>70</v>
      </c>
      <c r="E4327" s="5" t="s">
        <v>400</v>
      </c>
      <c r="F4327" s="9">
        <v>22</v>
      </c>
      <c r="G4327" s="9">
        <v>201</v>
      </c>
      <c r="H4327" s="5" t="s">
        <v>20</v>
      </c>
      <c r="I4327" s="5" t="s">
        <v>9561</v>
      </c>
      <c r="J4327" s="12" t="str">
        <f>HYPERLINK("https://www.boe.es/gazeta/dias/1806/03/11/pdfs/GMD-1806-22.pdf#page=1","Abrir facsímil")</f>
        <v>Abrir facsímil</v>
      </c>
      <c r="K4327" s="15" t="s">
        <v>22</v>
      </c>
    </row>
    <row r="4328" spans="1:11" ht="42" customHeight="1">
      <c r="A4328" s="4" t="s">
        <v>9562</v>
      </c>
      <c r="B4328" s="5" t="s">
        <v>9563</v>
      </c>
      <c r="C4328" s="5" t="s">
        <v>31</v>
      </c>
      <c r="D4328" s="5" t="s">
        <v>32</v>
      </c>
      <c r="E4328" s="5" t="s">
        <v>79</v>
      </c>
      <c r="F4328" s="9">
        <v>68</v>
      </c>
      <c r="G4328" s="9">
        <v>706</v>
      </c>
      <c r="H4328" s="5" t="s">
        <v>20</v>
      </c>
      <c r="I4328" s="5" t="s">
        <v>9564</v>
      </c>
      <c r="J4328" s="12" t="str">
        <f>HYPERLINK("https://www.boe.es/gazeta/dias/1806/08/19/pdfs/GMD-1806-68.pdf#page=2","Abrir facsímil")</f>
        <v>Abrir facsímil</v>
      </c>
      <c r="K4328" s="15" t="s">
        <v>22</v>
      </c>
    </row>
    <row r="4329" spans="1:11" ht="42" customHeight="1">
      <c r="A4329" s="4" t="s">
        <v>9562</v>
      </c>
      <c r="B4329" s="5" t="s">
        <v>9563</v>
      </c>
      <c r="C4329" s="5" t="s">
        <v>31</v>
      </c>
      <c r="D4329" s="5" t="s">
        <v>32</v>
      </c>
      <c r="E4329" s="5" t="s">
        <v>140</v>
      </c>
      <c r="F4329" s="9">
        <v>83</v>
      </c>
      <c r="G4329" s="9">
        <v>853</v>
      </c>
      <c r="H4329" s="5" t="s">
        <v>20</v>
      </c>
      <c r="I4329" s="5" t="s">
        <v>9565</v>
      </c>
      <c r="J4329" s="12" t="str">
        <f>HYPERLINK("https://www.boe.es/gazeta/dias/1806/10/10/pdfs/GMD-1806-83.pdf#page=1","Abrir facsímil")</f>
        <v>Abrir facsímil</v>
      </c>
      <c r="K4329" s="15" t="s">
        <v>22</v>
      </c>
    </row>
    <row r="4330" spans="1:11" ht="42" customHeight="1">
      <c r="A4330" s="4" t="s">
        <v>9566</v>
      </c>
      <c r="B4330" s="5" t="s">
        <v>9567</v>
      </c>
      <c r="C4330" s="5" t="s">
        <v>31</v>
      </c>
      <c r="D4330" s="5" t="s">
        <v>32</v>
      </c>
      <c r="E4330" s="5" t="s">
        <v>148</v>
      </c>
      <c r="F4330" s="9">
        <v>78</v>
      </c>
      <c r="G4330" s="9">
        <v>801</v>
      </c>
      <c r="H4330" s="5" t="s">
        <v>20</v>
      </c>
      <c r="I4330" s="5" t="s">
        <v>9568</v>
      </c>
      <c r="J4330" s="12" t="str">
        <f>HYPERLINK("https://www.boe.es/gazeta/dias/1806/09/23/pdfs/GMD-1806-78.pdf#page=5","Abrir facsímil")</f>
        <v>Abrir facsímil</v>
      </c>
      <c r="K4330" s="15" t="s">
        <v>22</v>
      </c>
    </row>
    <row r="4331" spans="1:11" ht="42" customHeight="1">
      <c r="A4331" s="4" t="s">
        <v>9569</v>
      </c>
      <c r="B4331" s="5" t="s">
        <v>9570</v>
      </c>
      <c r="C4331" s="5" t="s">
        <v>31</v>
      </c>
      <c r="D4331" s="5" t="s">
        <v>32</v>
      </c>
      <c r="E4331" s="5" t="s">
        <v>279</v>
      </c>
      <c r="F4331" s="9">
        <v>52</v>
      </c>
      <c r="G4331" s="9">
        <v>533</v>
      </c>
      <c r="H4331" s="5" t="s">
        <v>20</v>
      </c>
      <c r="I4331" s="5" t="s">
        <v>9571</v>
      </c>
      <c r="J4331" s="12" t="str">
        <f>HYPERLINK("https://www.boe.es/gazeta/dias/1806/06/24/pdfs/GMD-1806-52.pdf#page=1","Abrir facsímil")</f>
        <v>Abrir facsímil</v>
      </c>
      <c r="K4331" s="15" t="s">
        <v>22</v>
      </c>
    </row>
    <row r="4332" spans="1:11" ht="42" customHeight="1">
      <c r="A4332" s="4" t="s">
        <v>9572</v>
      </c>
      <c r="B4332" s="5" t="s">
        <v>9573</v>
      </c>
      <c r="C4332" s="5" t="s">
        <v>31</v>
      </c>
      <c r="D4332" s="5" t="s">
        <v>32</v>
      </c>
      <c r="E4332" s="5" t="s">
        <v>76</v>
      </c>
      <c r="F4332" s="9">
        <v>98</v>
      </c>
      <c r="G4332" s="9">
        <v>1043</v>
      </c>
      <c r="H4332" s="5" t="s">
        <v>20</v>
      </c>
      <c r="I4332" s="5" t="s">
        <v>9574</v>
      </c>
      <c r="J4332" s="12" t="str">
        <f>HYPERLINK("https://www.boe.es/gazeta/dias/1806/12/02/pdfs/GMD-1806-98.pdf#page=11","Abrir facsímil")</f>
        <v>Abrir facsímil</v>
      </c>
      <c r="K4332" s="15" t="s">
        <v>22</v>
      </c>
    </row>
    <row r="4333" spans="1:11" ht="42" customHeight="1">
      <c r="A4333" s="4" t="s">
        <v>9575</v>
      </c>
      <c r="B4333" s="5" t="s">
        <v>9575</v>
      </c>
      <c r="C4333" s="5" t="s">
        <v>31</v>
      </c>
      <c r="D4333" s="5" t="s">
        <v>32</v>
      </c>
      <c r="E4333" s="5" t="s">
        <v>124</v>
      </c>
      <c r="F4333" s="9">
        <v>25</v>
      </c>
      <c r="G4333" s="9">
        <v>245</v>
      </c>
      <c r="H4333" s="5" t="s">
        <v>20</v>
      </c>
      <c r="I4333" s="5" t="s">
        <v>9576</v>
      </c>
      <c r="J4333" s="12" t="str">
        <f>HYPERLINK("https://www.boe.es/gazeta/dias/1806/03/21/pdfs/GMD-1806-25.pdf#page=9","Abrir facsímil")</f>
        <v>Abrir facsímil</v>
      </c>
      <c r="K4333" s="15" t="s">
        <v>22</v>
      </c>
    </row>
    <row r="4334" spans="1:11" ht="42" customHeight="1">
      <c r="A4334" s="4" t="s">
        <v>9577</v>
      </c>
      <c r="B4334" s="5" t="s">
        <v>9578</v>
      </c>
      <c r="C4334" s="5" t="s">
        <v>69</v>
      </c>
      <c r="D4334" s="5" t="s">
        <v>70</v>
      </c>
      <c r="E4334" s="5" t="s">
        <v>810</v>
      </c>
      <c r="F4334" s="9">
        <v>71</v>
      </c>
      <c r="G4334" s="9">
        <v>737</v>
      </c>
      <c r="H4334" s="5" t="s">
        <v>20</v>
      </c>
      <c r="I4334" s="5" t="s">
        <v>9579</v>
      </c>
      <c r="J4334" s="12" t="str">
        <f>HYPERLINK("https://www.boe.es/gazeta/dias/1806/08/29/pdfs/GMD-1806-71.pdf#page=5","Abrir facsímil")</f>
        <v>Abrir facsímil</v>
      </c>
      <c r="K4334" s="15" t="s">
        <v>22</v>
      </c>
    </row>
    <row r="4335" spans="1:11" ht="42" customHeight="1">
      <c r="A4335" s="4" t="s">
        <v>9580</v>
      </c>
      <c r="B4335" s="5" t="s">
        <v>9581</v>
      </c>
      <c r="C4335" s="5" t="s">
        <v>69</v>
      </c>
      <c r="D4335" s="5" t="s">
        <v>70</v>
      </c>
      <c r="E4335" s="5" t="s">
        <v>121</v>
      </c>
      <c r="F4335" s="9">
        <v>19</v>
      </c>
      <c r="G4335" s="9">
        <v>169</v>
      </c>
      <c r="H4335" s="5" t="s">
        <v>20</v>
      </c>
      <c r="I4335" s="5" t="s">
        <v>9582</v>
      </c>
      <c r="J4335" s="12" t="str">
        <f>HYPERLINK("https://www.boe.es/gazeta/dias/1806/02/28/pdfs/GMD-1806-19.pdf#page=5","Abrir facsímil")</f>
        <v>Abrir facsímil</v>
      </c>
      <c r="K4335" s="15" t="s">
        <v>22</v>
      </c>
    </row>
    <row r="4336" spans="1:11" ht="42" customHeight="1">
      <c r="A4336" s="4" t="s">
        <v>9580</v>
      </c>
      <c r="B4336" s="5" t="s">
        <v>9581</v>
      </c>
      <c r="C4336" s="5" t="s">
        <v>75</v>
      </c>
      <c r="D4336" s="5" t="s">
        <v>43</v>
      </c>
      <c r="E4336" s="5" t="s">
        <v>702</v>
      </c>
      <c r="F4336" s="9">
        <v>43</v>
      </c>
      <c r="G4336" s="9">
        <v>428</v>
      </c>
      <c r="H4336" s="5" t="s">
        <v>20</v>
      </c>
      <c r="I4336" s="5" t="s">
        <v>9583</v>
      </c>
      <c r="J4336" s="12" t="str">
        <f>HYPERLINK("https://www.boe.es/gazeta/dias/1806/05/23/pdfs/GMD-1806-43.pdf#page=4","Abrir facsímil")</f>
        <v>Abrir facsímil</v>
      </c>
      <c r="K4336" s="15" t="s">
        <v>22</v>
      </c>
    </row>
    <row r="4337" spans="1:11" ht="42" customHeight="1">
      <c r="A4337" s="4" t="s">
        <v>9580</v>
      </c>
      <c r="B4337" s="5" t="s">
        <v>9581</v>
      </c>
      <c r="C4337" s="5" t="s">
        <v>42</v>
      </c>
      <c r="D4337" s="5" t="s">
        <v>43</v>
      </c>
      <c r="E4337" s="5" t="s">
        <v>810</v>
      </c>
      <c r="F4337" s="9">
        <v>71</v>
      </c>
      <c r="G4337" s="9">
        <v>736</v>
      </c>
      <c r="H4337" s="5" t="s">
        <v>20</v>
      </c>
      <c r="I4337" s="5" t="s">
        <v>9584</v>
      </c>
      <c r="J4337" s="12" t="str">
        <f>HYPERLINK("https://www.boe.es/gazeta/dias/1806/08/29/pdfs/GMD-1806-71.pdf#page=4","Abrir facsímil")</f>
        <v>Abrir facsímil</v>
      </c>
      <c r="K4337" s="15" t="s">
        <v>22</v>
      </c>
    </row>
    <row r="4338" spans="1:11" ht="42" customHeight="1">
      <c r="A4338" s="4" t="s">
        <v>9585</v>
      </c>
      <c r="B4338" s="5" t="s">
        <v>9586</v>
      </c>
      <c r="C4338" s="5" t="s">
        <v>31</v>
      </c>
      <c r="D4338" s="5" t="s">
        <v>32</v>
      </c>
      <c r="E4338" s="5" t="s">
        <v>540</v>
      </c>
      <c r="F4338" s="9">
        <v>51</v>
      </c>
      <c r="G4338" s="9">
        <v>530</v>
      </c>
      <c r="H4338" s="5" t="s">
        <v>20</v>
      </c>
      <c r="I4338" s="5" t="s">
        <v>9587</v>
      </c>
      <c r="J4338" s="12" t="str">
        <f>HYPERLINK("https://www.boe.es/gazeta/dias/1806/06/20/pdfs/GMD-1806-51.pdf#page=10","Abrir facsímil")</f>
        <v>Abrir facsímil</v>
      </c>
      <c r="K4338" s="15" t="s">
        <v>22</v>
      </c>
    </row>
    <row r="4339" spans="1:11" ht="42" customHeight="1">
      <c r="A4339" s="4" t="s">
        <v>9588</v>
      </c>
      <c r="B4339" s="5" t="s">
        <v>9589</v>
      </c>
      <c r="C4339" s="5" t="s">
        <v>36</v>
      </c>
      <c r="D4339" s="5" t="s">
        <v>37</v>
      </c>
      <c r="E4339" s="5" t="s">
        <v>1080</v>
      </c>
      <c r="F4339" s="9">
        <v>49</v>
      </c>
      <c r="G4339" s="9">
        <v>508</v>
      </c>
      <c r="H4339" s="5" t="s">
        <v>20</v>
      </c>
      <c r="I4339" s="5" t="s">
        <v>9590</v>
      </c>
      <c r="J4339" s="12" t="str">
        <f>HYPERLINK("https://www.boe.es/gazeta/dias/1806/06/13/pdfs/GMD-1806-49.pdf#page=8","Abrir facsímil")</f>
        <v>Abrir facsímil</v>
      </c>
      <c r="K4339" s="15" t="s">
        <v>22</v>
      </c>
    </row>
    <row r="4340" spans="1:11" ht="42" customHeight="1">
      <c r="A4340" s="4" t="s">
        <v>9591</v>
      </c>
      <c r="B4340" s="5" t="s">
        <v>9591</v>
      </c>
      <c r="C4340" s="5" t="s">
        <v>17</v>
      </c>
      <c r="D4340" s="5" t="s">
        <v>18</v>
      </c>
      <c r="E4340" s="5" t="s">
        <v>76</v>
      </c>
      <c r="F4340" s="9">
        <v>98</v>
      </c>
      <c r="G4340" s="9">
        <v>1033</v>
      </c>
      <c r="H4340" s="5" t="s">
        <v>20</v>
      </c>
      <c r="I4340" s="5" t="s">
        <v>9592</v>
      </c>
      <c r="J4340" s="12" t="str">
        <f>HYPERLINK("https://www.boe.es/gazeta/dias/1806/12/02/pdfs/GMD-1806-98.pdf#page=1","Abrir facsímil")</f>
        <v>Abrir facsímil</v>
      </c>
      <c r="K4340" s="15" t="s">
        <v>22</v>
      </c>
    </row>
    <row r="4341" spans="1:11" ht="42" customHeight="1">
      <c r="A4341" s="4" t="s">
        <v>9593</v>
      </c>
      <c r="B4341" s="5" t="s">
        <v>9593</v>
      </c>
      <c r="C4341" s="5" t="s">
        <v>69</v>
      </c>
      <c r="D4341" s="5" t="s">
        <v>70</v>
      </c>
      <c r="E4341" s="5" t="s">
        <v>405</v>
      </c>
      <c r="F4341" s="9">
        <v>80</v>
      </c>
      <c r="G4341" s="9">
        <v>824</v>
      </c>
      <c r="H4341" s="5" t="s">
        <v>20</v>
      </c>
      <c r="I4341" s="5" t="s">
        <v>9594</v>
      </c>
      <c r="J4341" s="12" t="str">
        <f>HYPERLINK("https://www.boe.es/gazeta/dias/1806/09/30/pdfs/GMD-1806-80.pdf#page=4","Abrir facsímil")</f>
        <v>Abrir facsímil</v>
      </c>
      <c r="K4341" s="15" t="s">
        <v>22</v>
      </c>
    </row>
    <row r="4342" spans="1:11" ht="42" customHeight="1">
      <c r="A4342" s="4" t="s">
        <v>9595</v>
      </c>
      <c r="B4342" s="5" t="s">
        <v>9596</v>
      </c>
      <c r="C4342" s="5" t="s">
        <v>31</v>
      </c>
      <c r="D4342" s="5" t="s">
        <v>32</v>
      </c>
      <c r="E4342" s="5" t="s">
        <v>554</v>
      </c>
      <c r="F4342" s="9">
        <v>90</v>
      </c>
      <c r="G4342" s="9">
        <v>934</v>
      </c>
      <c r="H4342" s="5" t="s">
        <v>20</v>
      </c>
      <c r="I4342" s="5" t="s">
        <v>9597</v>
      </c>
      <c r="J4342" s="12" t="str">
        <f>HYPERLINK("https://www.boe.es/gazeta/dias/1806/11/04/pdfs/GMD-1806-90.pdf#page=10","Abrir facsímil")</f>
        <v>Abrir facsímil</v>
      </c>
      <c r="K4342" s="15" t="s">
        <v>22</v>
      </c>
    </row>
    <row r="4343" spans="1:11" ht="42" customHeight="1">
      <c r="A4343" s="4" t="s">
        <v>9598</v>
      </c>
      <c r="B4343" s="5" t="s">
        <v>9599</v>
      </c>
      <c r="C4343" s="5" t="s">
        <v>31</v>
      </c>
      <c r="D4343" s="5" t="s">
        <v>32</v>
      </c>
      <c r="E4343" s="5" t="s">
        <v>271</v>
      </c>
      <c r="F4343" s="9">
        <v>6</v>
      </c>
      <c r="G4343" s="9">
        <v>54</v>
      </c>
      <c r="H4343" s="5" t="s">
        <v>20</v>
      </c>
      <c r="I4343" s="5" t="s">
        <v>9600</v>
      </c>
      <c r="J4343" s="12" t="str">
        <f>HYPERLINK("https://www.boe.es/gazeta/dias/1806/01/17/pdfs/GMD-1806-6.pdf#page=10","Abrir facsímil")</f>
        <v>Abrir facsímil</v>
      </c>
      <c r="K4343" s="15" t="s">
        <v>22</v>
      </c>
    </row>
    <row r="4344" spans="1:11" ht="42" customHeight="1">
      <c r="A4344" s="4" t="s">
        <v>9601</v>
      </c>
      <c r="B4344" s="5" t="s">
        <v>9602</v>
      </c>
      <c r="C4344" s="5" t="s">
        <v>31</v>
      </c>
      <c r="D4344" s="5" t="s">
        <v>32</v>
      </c>
      <c r="E4344" s="5" t="s">
        <v>130</v>
      </c>
      <c r="F4344" s="9">
        <v>66</v>
      </c>
      <c r="G4344" s="9">
        <v>691</v>
      </c>
      <c r="H4344" s="5" t="s">
        <v>20</v>
      </c>
      <c r="I4344" s="5" t="s">
        <v>9603</v>
      </c>
      <c r="J4344" s="12" t="str">
        <f>HYPERLINK("https://www.boe.es/gazeta/dias/1806/08/12/pdfs/GMD-1806-66.pdf#page=7","Abrir facsímil")</f>
        <v>Abrir facsímil</v>
      </c>
      <c r="K4344" s="15" t="s">
        <v>22</v>
      </c>
    </row>
    <row r="4345" spans="1:11" ht="42" customHeight="1">
      <c r="A4345" s="4" t="s">
        <v>9604</v>
      </c>
      <c r="B4345" s="5" t="s">
        <v>9605</v>
      </c>
      <c r="C4345" s="5" t="s">
        <v>31</v>
      </c>
      <c r="D4345" s="5" t="s">
        <v>32</v>
      </c>
      <c r="E4345" s="5" t="s">
        <v>48</v>
      </c>
      <c r="F4345" s="9">
        <v>67</v>
      </c>
      <c r="G4345" s="9">
        <v>699</v>
      </c>
      <c r="H4345" s="5" t="s">
        <v>20</v>
      </c>
      <c r="I4345" s="5" t="s">
        <v>9606</v>
      </c>
      <c r="J4345" s="12" t="str">
        <f>HYPERLINK("https://www.boe.es/gazeta/dias/1806/08/15/pdfs/GMD-1806-67.pdf#page=7","Abrir facsímil")</f>
        <v>Abrir facsímil</v>
      </c>
      <c r="K4345" s="15" t="s">
        <v>22</v>
      </c>
    </row>
    <row r="4346" spans="1:11" ht="42" customHeight="1">
      <c r="A4346" s="4" t="s">
        <v>9604</v>
      </c>
      <c r="B4346" s="5" t="s">
        <v>9605</v>
      </c>
      <c r="C4346" s="5" t="s">
        <v>31</v>
      </c>
      <c r="D4346" s="5" t="s">
        <v>32</v>
      </c>
      <c r="E4346" s="5" t="s">
        <v>405</v>
      </c>
      <c r="F4346" s="9">
        <v>80</v>
      </c>
      <c r="G4346" s="9">
        <v>830</v>
      </c>
      <c r="H4346" s="5" t="s">
        <v>20</v>
      </c>
      <c r="I4346" s="5" t="s">
        <v>9607</v>
      </c>
      <c r="J4346" s="12" t="str">
        <f>HYPERLINK("https://www.boe.es/gazeta/dias/1806/09/30/pdfs/GMD-1806-80.pdf#page=10","Abrir facsímil")</f>
        <v>Abrir facsímil</v>
      </c>
      <c r="K4346" s="15" t="s">
        <v>22</v>
      </c>
    </row>
    <row r="4347" spans="1:11" ht="42" customHeight="1">
      <c r="A4347" s="4" t="s">
        <v>9608</v>
      </c>
      <c r="B4347" s="5" t="s">
        <v>9609</v>
      </c>
      <c r="C4347" s="5" t="s">
        <v>31</v>
      </c>
      <c r="D4347" s="5" t="s">
        <v>32</v>
      </c>
      <c r="E4347" s="5" t="s">
        <v>19</v>
      </c>
      <c r="F4347" s="9">
        <v>3</v>
      </c>
      <c r="G4347" s="9">
        <v>25</v>
      </c>
      <c r="H4347" s="5" t="s">
        <v>20</v>
      </c>
      <c r="I4347" s="5" t="s">
        <v>9610</v>
      </c>
      <c r="J4347" s="12" t="str">
        <f>HYPERLINK("https://www.boe.es/gazeta/dias/1806/01/10/pdfs/GMD-1806-3.pdf#page=5","Abrir facsímil")</f>
        <v>Abrir facsímil</v>
      </c>
      <c r="K4347" s="15" t="s">
        <v>22</v>
      </c>
    </row>
    <row r="4348" spans="1:11" ht="42" customHeight="1">
      <c r="A4348" s="4" t="s">
        <v>9611</v>
      </c>
      <c r="B4348" s="5" t="s">
        <v>9612</v>
      </c>
      <c r="C4348" s="5" t="s">
        <v>706</v>
      </c>
      <c r="D4348" s="5" t="s">
        <v>707</v>
      </c>
      <c r="E4348" s="5" t="s">
        <v>195</v>
      </c>
      <c r="F4348" s="9" t="s">
        <v>708</v>
      </c>
      <c r="G4348" s="9">
        <v>43</v>
      </c>
      <c r="H4348" s="5" t="s">
        <v>20</v>
      </c>
      <c r="I4348" s="5" t="s">
        <v>9613</v>
      </c>
      <c r="J4348" s="12" t="str">
        <f>HYPERLINK("https://www.boe.es/gazeta/dias/1806/01/14/pdfs/GMD-1806-5E.pdf#page=3","Abrir facsímil")</f>
        <v>Abrir facsímil</v>
      </c>
      <c r="K4348" s="15" t="s">
        <v>22</v>
      </c>
    </row>
    <row r="4349" spans="1:11" ht="42" customHeight="1">
      <c r="A4349" s="4" t="s">
        <v>9611</v>
      </c>
      <c r="B4349" s="5" t="s">
        <v>9612</v>
      </c>
      <c r="C4349" s="5" t="s">
        <v>69</v>
      </c>
      <c r="D4349" s="5" t="s">
        <v>70</v>
      </c>
      <c r="E4349" s="5" t="s">
        <v>474</v>
      </c>
      <c r="F4349" s="9">
        <v>10</v>
      </c>
      <c r="G4349" s="9">
        <v>86</v>
      </c>
      <c r="H4349" s="5" t="s">
        <v>20</v>
      </c>
      <c r="I4349" s="5" t="s">
        <v>9614</v>
      </c>
      <c r="J4349" s="12" t="str">
        <f>HYPERLINK("https://www.boe.es/gazeta/dias/1806/01/28/pdfs/GMD-1806-10.pdf#page=2","Abrir facsímil")</f>
        <v>Abrir facsímil</v>
      </c>
      <c r="K4349" s="15" t="s">
        <v>22</v>
      </c>
    </row>
    <row r="4350" spans="1:11" ht="42" customHeight="1">
      <c r="A4350" s="4" t="s">
        <v>9611</v>
      </c>
      <c r="B4350" s="5" t="s">
        <v>9612</v>
      </c>
      <c r="C4350" s="5" t="s">
        <v>17</v>
      </c>
      <c r="D4350" s="5" t="s">
        <v>18</v>
      </c>
      <c r="E4350" s="5" t="s">
        <v>118</v>
      </c>
      <c r="F4350" s="9">
        <v>15</v>
      </c>
      <c r="G4350" s="9">
        <v>132</v>
      </c>
      <c r="H4350" s="5" t="s">
        <v>20</v>
      </c>
      <c r="I4350" s="5" t="s">
        <v>9615</v>
      </c>
      <c r="J4350" s="12" t="str">
        <f>HYPERLINK("https://www.boe.es/gazeta/dias/1806/02/14/pdfs/GMD-1806-15.pdf#page=8","Abrir facsímil")</f>
        <v>Abrir facsímil</v>
      </c>
      <c r="K4350" s="15" t="s">
        <v>22</v>
      </c>
    </row>
    <row r="4351" spans="1:11" ht="42" customHeight="1">
      <c r="A4351" s="4" t="s">
        <v>9611</v>
      </c>
      <c r="B4351" s="5" t="s">
        <v>9612</v>
      </c>
      <c r="C4351" s="5" t="s">
        <v>17</v>
      </c>
      <c r="D4351" s="5" t="s">
        <v>18</v>
      </c>
      <c r="E4351" s="5" t="s">
        <v>202</v>
      </c>
      <c r="F4351" s="9">
        <v>30</v>
      </c>
      <c r="G4351" s="9">
        <v>294</v>
      </c>
      <c r="H4351" s="5" t="s">
        <v>20</v>
      </c>
      <c r="I4351" s="5" t="s">
        <v>9616</v>
      </c>
      <c r="J4351" s="12" t="str">
        <f>HYPERLINK("https://www.boe.es/gazeta/dias/1806/04/08/pdfs/GMD-1806-30.pdf#page=6","Abrir facsímil")</f>
        <v>Abrir facsímil</v>
      </c>
      <c r="K4351" s="15" t="s">
        <v>22</v>
      </c>
    </row>
    <row r="4352" spans="1:11" ht="42" customHeight="1">
      <c r="A4352" s="4" t="s">
        <v>9611</v>
      </c>
      <c r="B4352" s="5" t="s">
        <v>9612</v>
      </c>
      <c r="C4352" s="5" t="s">
        <v>69</v>
      </c>
      <c r="D4352" s="5" t="s">
        <v>70</v>
      </c>
      <c r="E4352" s="5" t="s">
        <v>340</v>
      </c>
      <c r="F4352" s="9">
        <v>31</v>
      </c>
      <c r="G4352" s="9">
        <v>303</v>
      </c>
      <c r="H4352" s="5" t="s">
        <v>20</v>
      </c>
      <c r="I4352" s="5" t="s">
        <v>9617</v>
      </c>
      <c r="J4352" s="12" t="str">
        <f>HYPERLINK("https://www.boe.es/gazeta/dias/1806/04/11/pdfs/GMD-1806-31.pdf#page=7","Abrir facsímil")</f>
        <v>Abrir facsímil</v>
      </c>
      <c r="K4352" s="15" t="s">
        <v>22</v>
      </c>
    </row>
    <row r="4353" spans="1:11" ht="42" customHeight="1">
      <c r="A4353" s="4" t="s">
        <v>9611</v>
      </c>
      <c r="B4353" s="5" t="s">
        <v>9612</v>
      </c>
      <c r="C4353" s="5" t="s">
        <v>69</v>
      </c>
      <c r="D4353" s="5" t="s">
        <v>70</v>
      </c>
      <c r="E4353" s="5" t="s">
        <v>24</v>
      </c>
      <c r="F4353" s="9">
        <v>32</v>
      </c>
      <c r="G4353" s="9">
        <v>310</v>
      </c>
      <c r="H4353" s="5" t="s">
        <v>20</v>
      </c>
      <c r="I4353" s="5" t="s">
        <v>9618</v>
      </c>
      <c r="J4353" s="12" t="str">
        <f>HYPERLINK("https://www.boe.es/gazeta/dias/1806/04/15/pdfs/GMD-1806-32.pdf#page=2","Abrir facsímil")</f>
        <v>Abrir facsímil</v>
      </c>
      <c r="K4353" s="15" t="s">
        <v>22</v>
      </c>
    </row>
    <row r="4354" spans="1:11" ht="42" customHeight="1">
      <c r="A4354" s="4" t="s">
        <v>9611</v>
      </c>
      <c r="B4354" s="5" t="s">
        <v>9612</v>
      </c>
      <c r="C4354" s="5" t="s">
        <v>75</v>
      </c>
      <c r="D4354" s="5" t="s">
        <v>43</v>
      </c>
      <c r="E4354" s="5" t="s">
        <v>259</v>
      </c>
      <c r="F4354" s="9">
        <v>34</v>
      </c>
      <c r="G4354" s="9">
        <v>335</v>
      </c>
      <c r="H4354" s="5" t="s">
        <v>20</v>
      </c>
      <c r="I4354" s="5" t="s">
        <v>9619</v>
      </c>
      <c r="J4354" s="12" t="str">
        <f>HYPERLINK("https://www.boe.es/gazeta/dias/1806/04/22/pdfs/GMD-1806-34.pdf#page=7","Abrir facsímil")</f>
        <v>Abrir facsímil</v>
      </c>
      <c r="K4354" s="15" t="s">
        <v>22</v>
      </c>
    </row>
    <row r="4355" spans="1:11" ht="42" customHeight="1">
      <c r="A4355" s="4" t="s">
        <v>9611</v>
      </c>
      <c r="B4355" s="5" t="s">
        <v>9612</v>
      </c>
      <c r="C4355" s="5" t="s">
        <v>36</v>
      </c>
      <c r="D4355" s="5" t="s">
        <v>37</v>
      </c>
      <c r="E4355" s="5" t="s">
        <v>702</v>
      </c>
      <c r="F4355" s="9">
        <v>43</v>
      </c>
      <c r="G4355" s="9">
        <v>433</v>
      </c>
      <c r="H4355" s="5" t="s">
        <v>20</v>
      </c>
      <c r="I4355" s="5" t="s">
        <v>9620</v>
      </c>
      <c r="J4355" s="12" t="str">
        <f>HYPERLINK("https://www.boe.es/gazeta/dias/1806/05/23/pdfs/GMD-1806-43.pdf#page=9","Abrir facsímil")</f>
        <v>Abrir facsímil</v>
      </c>
      <c r="K4355" s="15" t="s">
        <v>22</v>
      </c>
    </row>
    <row r="4356" spans="1:11" ht="42" customHeight="1">
      <c r="A4356" s="4" t="s">
        <v>9611</v>
      </c>
      <c r="B4356" s="5" t="s">
        <v>9612</v>
      </c>
      <c r="C4356" s="5" t="s">
        <v>69</v>
      </c>
      <c r="D4356" s="5" t="s">
        <v>70</v>
      </c>
      <c r="E4356" s="5" t="s">
        <v>348</v>
      </c>
      <c r="F4356" s="9">
        <v>88</v>
      </c>
      <c r="G4356" s="9">
        <v>907</v>
      </c>
      <c r="H4356" s="5" t="s">
        <v>20</v>
      </c>
      <c r="I4356" s="5" t="s">
        <v>9621</v>
      </c>
      <c r="J4356" s="12" t="str">
        <f>HYPERLINK("https://www.boe.es/gazeta/dias/1806/10/28/pdfs/GMD-1806-88.pdf#page=3","Abrir facsímil")</f>
        <v>Abrir facsímil</v>
      </c>
      <c r="K4356" s="15" t="s">
        <v>22</v>
      </c>
    </row>
    <row r="4357" spans="1:11" ht="42" customHeight="1">
      <c r="A4357" s="4" t="s">
        <v>9622</v>
      </c>
      <c r="B4357" s="5" t="s">
        <v>9623</v>
      </c>
      <c r="C4357" s="5" t="s">
        <v>31</v>
      </c>
      <c r="D4357" s="5" t="s">
        <v>32</v>
      </c>
      <c r="E4357" s="5" t="s">
        <v>113</v>
      </c>
      <c r="F4357" s="9">
        <v>28</v>
      </c>
      <c r="G4357" s="9">
        <v>273</v>
      </c>
      <c r="H4357" s="5" t="s">
        <v>20</v>
      </c>
      <c r="I4357" s="5" t="s">
        <v>9624</v>
      </c>
      <c r="J4357" s="12" t="str">
        <f>HYPERLINK("https://www.boe.es/gazeta/dias/1806/04/01/pdfs/GMD-1806-28.pdf#page=1","Abrir facsímil")</f>
        <v>Abrir facsímil</v>
      </c>
      <c r="K4357" s="15" t="s">
        <v>22</v>
      </c>
    </row>
    <row r="4358" spans="1:11" ht="42" customHeight="1">
      <c r="A4358" s="4" t="s">
        <v>9625</v>
      </c>
      <c r="B4358" s="5" t="s">
        <v>9626</v>
      </c>
      <c r="C4358" s="5" t="s">
        <v>17</v>
      </c>
      <c r="D4358" s="5" t="s">
        <v>18</v>
      </c>
      <c r="E4358" s="5" t="s">
        <v>76</v>
      </c>
      <c r="F4358" s="9">
        <v>98</v>
      </c>
      <c r="G4358" s="9">
        <v>1033</v>
      </c>
      <c r="H4358" s="5" t="s">
        <v>20</v>
      </c>
      <c r="I4358" s="5" t="s">
        <v>9627</v>
      </c>
      <c r="J4358" s="12" t="str">
        <f>HYPERLINK("https://www.boe.es/gazeta/dias/1806/12/02/pdfs/GMD-1806-98.pdf#page=1","Abrir facsímil")</f>
        <v>Abrir facsímil</v>
      </c>
      <c r="K4358" s="15" t="s">
        <v>22</v>
      </c>
    </row>
    <row r="4359" spans="1:11" ht="42" customHeight="1">
      <c r="A4359" s="4" t="s">
        <v>9625</v>
      </c>
      <c r="B4359" s="5" t="s">
        <v>9626</v>
      </c>
      <c r="C4359" s="5" t="s">
        <v>69</v>
      </c>
      <c r="D4359" s="5" t="s">
        <v>70</v>
      </c>
      <c r="E4359" s="5" t="s">
        <v>28</v>
      </c>
      <c r="F4359" s="9">
        <v>102</v>
      </c>
      <c r="G4359" s="9">
        <v>1082</v>
      </c>
      <c r="H4359" s="5" t="s">
        <v>20</v>
      </c>
      <c r="I4359" s="5" t="s">
        <v>9628</v>
      </c>
      <c r="J4359" s="12" t="str">
        <f>HYPERLINK("https://www.boe.es/gazeta/dias/1806/12/16/pdfs/GMD-1806-102.pdf#page=6","Abrir facsímil")</f>
        <v>Abrir facsímil</v>
      </c>
      <c r="K4359" s="15" t="s">
        <v>22</v>
      </c>
    </row>
    <row r="4360" spans="1:11" ht="42" customHeight="1">
      <c r="A4360" s="4" t="s">
        <v>9625</v>
      </c>
      <c r="B4360" s="5" t="s">
        <v>9626</v>
      </c>
      <c r="C4360" s="5" t="s">
        <v>69</v>
      </c>
      <c r="D4360" s="5" t="s">
        <v>70</v>
      </c>
      <c r="E4360" s="5" t="s">
        <v>327</v>
      </c>
      <c r="F4360" s="9">
        <v>104</v>
      </c>
      <c r="G4360" s="9">
        <v>1104</v>
      </c>
      <c r="H4360" s="5" t="s">
        <v>20</v>
      </c>
      <c r="I4360" s="5" t="s">
        <v>9629</v>
      </c>
      <c r="J4360" s="12" t="str">
        <f>HYPERLINK("https://www.boe.es/gazeta/dias/1806/12/23/pdfs/GMD-1806-104.pdf#page=4","Abrir facsímil")</f>
        <v>Abrir facsímil</v>
      </c>
      <c r="K4360" s="15" t="s">
        <v>22</v>
      </c>
    </row>
    <row r="4361" spans="1:11" ht="42" customHeight="1">
      <c r="A4361" s="4" t="s">
        <v>9630</v>
      </c>
      <c r="B4361" s="5" t="s">
        <v>9631</v>
      </c>
      <c r="C4361" s="5" t="s">
        <v>31</v>
      </c>
      <c r="D4361" s="5" t="s">
        <v>32</v>
      </c>
      <c r="E4361" s="5" t="s">
        <v>172</v>
      </c>
      <c r="F4361" s="9">
        <v>17</v>
      </c>
      <c r="G4361" s="9">
        <v>151</v>
      </c>
      <c r="H4361" s="5" t="s">
        <v>20</v>
      </c>
      <c r="I4361" s="5" t="s">
        <v>9632</v>
      </c>
      <c r="J4361" s="12" t="str">
        <f>HYPERLINK("https://www.boe.es/gazeta/dias/1806/02/21/pdfs/GMD-1806-17.pdf#page=7","Abrir facsímil")</f>
        <v>Abrir facsímil</v>
      </c>
      <c r="K4361" s="15" t="s">
        <v>22</v>
      </c>
    </row>
    <row r="4362" spans="1:11" ht="42" customHeight="1">
      <c r="A4362" s="4" t="s">
        <v>9633</v>
      </c>
      <c r="B4362" s="5" t="s">
        <v>9634</v>
      </c>
      <c r="C4362" s="5" t="s">
        <v>69</v>
      </c>
      <c r="D4362" s="5" t="s">
        <v>70</v>
      </c>
      <c r="E4362" s="5" t="s">
        <v>430</v>
      </c>
      <c r="F4362" s="9">
        <v>12</v>
      </c>
      <c r="G4362" s="9">
        <v>103</v>
      </c>
      <c r="H4362" s="5" t="s">
        <v>20</v>
      </c>
      <c r="I4362" s="5" t="s">
        <v>9635</v>
      </c>
      <c r="J4362" s="12" t="str">
        <f>HYPERLINK("https://www.boe.es/gazeta/dias/1806/02/04/pdfs/GMD-1806-12.pdf#page=3","Abrir facsímil")</f>
        <v>Abrir facsímil</v>
      </c>
      <c r="K4362" s="15" t="s">
        <v>22</v>
      </c>
    </row>
    <row r="4363" spans="1:11" ht="42" customHeight="1">
      <c r="A4363" s="4" t="s">
        <v>9636</v>
      </c>
      <c r="B4363" s="5" t="s">
        <v>9636</v>
      </c>
      <c r="C4363" s="5" t="s">
        <v>75</v>
      </c>
      <c r="D4363" s="5" t="s">
        <v>43</v>
      </c>
      <c r="E4363" s="5" t="s">
        <v>48</v>
      </c>
      <c r="F4363" s="9">
        <v>67</v>
      </c>
      <c r="G4363" s="9">
        <v>700</v>
      </c>
      <c r="H4363" s="5" t="s">
        <v>20</v>
      </c>
      <c r="I4363" s="5" t="s">
        <v>9637</v>
      </c>
      <c r="J4363" s="12" t="str">
        <f>HYPERLINK("https://www.boe.es/gazeta/dias/1806/08/15/pdfs/GMD-1806-67.pdf#page=8","Abrir facsímil")</f>
        <v>Abrir facsímil</v>
      </c>
      <c r="K4363" s="15" t="s">
        <v>22</v>
      </c>
    </row>
    <row r="4364" spans="1:11" ht="42" customHeight="1">
      <c r="A4364" s="4" t="s">
        <v>9638</v>
      </c>
      <c r="B4364" s="5" t="s">
        <v>9639</v>
      </c>
      <c r="C4364" s="5" t="s">
        <v>69</v>
      </c>
      <c r="D4364" s="5" t="s">
        <v>70</v>
      </c>
      <c r="E4364" s="5" t="s">
        <v>859</v>
      </c>
      <c r="F4364" s="9">
        <v>63</v>
      </c>
      <c r="G4364" s="9">
        <v>659</v>
      </c>
      <c r="H4364" s="5" t="s">
        <v>20</v>
      </c>
      <c r="I4364" s="5" t="s">
        <v>9640</v>
      </c>
      <c r="J4364" s="12" t="str">
        <f>HYPERLINK("https://www.boe.es/gazeta/dias/1806/08/01/pdfs/GMD-1806-63.pdf#page=7","Abrir facsímil")</f>
        <v>Abrir facsímil</v>
      </c>
      <c r="K4364" s="15" t="s">
        <v>22</v>
      </c>
    </row>
    <row r="4365" spans="1:11" ht="42" customHeight="1">
      <c r="A4365" s="4" t="s">
        <v>9641</v>
      </c>
      <c r="B4365" s="5" t="s">
        <v>9641</v>
      </c>
      <c r="C4365" s="5" t="s">
        <v>69</v>
      </c>
      <c r="D4365" s="5" t="s">
        <v>70</v>
      </c>
      <c r="E4365" s="5" t="s">
        <v>1005</v>
      </c>
      <c r="F4365" s="9">
        <v>76</v>
      </c>
      <c r="G4365" s="9">
        <v>781</v>
      </c>
      <c r="H4365" s="5" t="s">
        <v>20</v>
      </c>
      <c r="I4365" s="5" t="s">
        <v>9642</v>
      </c>
      <c r="J4365" s="12" t="str">
        <f>HYPERLINK("https://www.boe.es/gazeta/dias/1806/09/16/pdfs/GMD-1806-76.pdf#page=1","Abrir facsímil")</f>
        <v>Abrir facsímil</v>
      </c>
      <c r="K4365" s="15" t="s">
        <v>22</v>
      </c>
    </row>
    <row r="4366" spans="1:11" ht="42" customHeight="1">
      <c r="A4366" s="4" t="s">
        <v>9643</v>
      </c>
      <c r="B4366" s="5" t="s">
        <v>9644</v>
      </c>
      <c r="C4366" s="5" t="s">
        <v>31</v>
      </c>
      <c r="D4366" s="5" t="s">
        <v>32</v>
      </c>
      <c r="E4366" s="5" t="s">
        <v>127</v>
      </c>
      <c r="F4366" s="9">
        <v>81</v>
      </c>
      <c r="G4366" s="9">
        <v>837</v>
      </c>
      <c r="H4366" s="5" t="s">
        <v>20</v>
      </c>
      <c r="I4366" s="5" t="s">
        <v>9645</v>
      </c>
      <c r="J4366" s="12" t="str">
        <f>HYPERLINK("https://www.boe.es/gazeta/dias/1806/10/03/pdfs/GMD-1806-81.pdf#page=5","Abrir facsímil")</f>
        <v>Abrir facsímil</v>
      </c>
      <c r="K4366" s="15" t="s">
        <v>22</v>
      </c>
    </row>
    <row r="4367" spans="1:11" ht="42" customHeight="1">
      <c r="A4367" s="4" t="s">
        <v>9646</v>
      </c>
      <c r="B4367" s="5" t="s">
        <v>9646</v>
      </c>
      <c r="C4367" s="5" t="s">
        <v>69</v>
      </c>
      <c r="D4367" s="5" t="s">
        <v>70</v>
      </c>
      <c r="E4367" s="5" t="s">
        <v>71</v>
      </c>
      <c r="F4367" s="9">
        <v>29</v>
      </c>
      <c r="G4367" s="9">
        <v>282</v>
      </c>
      <c r="H4367" s="5" t="s">
        <v>20</v>
      </c>
      <c r="I4367" s="5" t="s">
        <v>9647</v>
      </c>
      <c r="J4367" s="12" t="str">
        <f>HYPERLINK("https://www.boe.es/gazeta/dias/1806/04/04/pdfs/GMD-1806-29.pdf#page=2","Abrir facsímil")</f>
        <v>Abrir facsímil</v>
      </c>
      <c r="K4367" s="15" t="s">
        <v>22</v>
      </c>
    </row>
    <row r="4368" spans="1:11" ht="42" customHeight="1">
      <c r="A4368" s="4" t="s">
        <v>9648</v>
      </c>
      <c r="B4368" s="5" t="s">
        <v>9649</v>
      </c>
      <c r="C4368" s="5" t="s">
        <v>31</v>
      </c>
      <c r="D4368" s="5" t="s">
        <v>32</v>
      </c>
      <c r="E4368" s="5" t="s">
        <v>716</v>
      </c>
      <c r="F4368" s="9">
        <v>56</v>
      </c>
      <c r="G4368" s="9">
        <v>577</v>
      </c>
      <c r="H4368" s="5" t="s">
        <v>20</v>
      </c>
      <c r="I4368" s="5" t="s">
        <v>9650</v>
      </c>
      <c r="J4368" s="12" t="str">
        <f>HYPERLINK("https://www.boe.es/gazeta/dias/1806/07/08/pdfs/GMD-1806-56.pdf#page=1","Abrir facsímil")</f>
        <v>Abrir facsímil</v>
      </c>
      <c r="K4368" s="15" t="s">
        <v>22</v>
      </c>
    </row>
    <row r="4369" spans="1:11" ht="42" customHeight="1">
      <c r="A4369" s="4" t="s">
        <v>9651</v>
      </c>
      <c r="B4369" s="5" t="s">
        <v>9652</v>
      </c>
      <c r="C4369" s="5" t="s">
        <v>31</v>
      </c>
      <c r="D4369" s="5" t="s">
        <v>32</v>
      </c>
      <c r="E4369" s="5" t="s">
        <v>716</v>
      </c>
      <c r="F4369" s="9">
        <v>56</v>
      </c>
      <c r="G4369" s="9">
        <v>586</v>
      </c>
      <c r="H4369" s="5" t="s">
        <v>20</v>
      </c>
      <c r="I4369" s="5" t="s">
        <v>9653</v>
      </c>
      <c r="J4369" s="12" t="str">
        <f>HYPERLINK("https://www.boe.es/gazeta/dias/1806/07/08/pdfs/GMD-1806-56.pdf#page=10","Abrir facsímil")</f>
        <v>Abrir facsímil</v>
      </c>
      <c r="K4369" s="15" t="s">
        <v>22</v>
      </c>
    </row>
    <row r="4370" spans="1:11" ht="42" customHeight="1">
      <c r="A4370" s="4" t="s">
        <v>9654</v>
      </c>
      <c r="B4370" s="5" t="s">
        <v>9654</v>
      </c>
      <c r="C4370" s="5" t="s">
        <v>31</v>
      </c>
      <c r="D4370" s="5" t="s">
        <v>32</v>
      </c>
      <c r="E4370" s="5" t="s">
        <v>103</v>
      </c>
      <c r="F4370" s="9">
        <v>61</v>
      </c>
      <c r="G4370" s="9">
        <v>633</v>
      </c>
      <c r="H4370" s="5" t="s">
        <v>20</v>
      </c>
      <c r="I4370" s="5" t="s">
        <v>9655</v>
      </c>
      <c r="J4370" s="12" t="str">
        <f>HYPERLINK("https://www.boe.es/gazeta/dias/1806/07/25/pdfs/GMD-1806-61.pdf#page=5","Abrir facsímil")</f>
        <v>Abrir facsímil</v>
      </c>
      <c r="K4370" s="15" t="s">
        <v>22</v>
      </c>
    </row>
    <row r="4371" spans="1:11" ht="42" customHeight="1">
      <c r="A4371" s="4" t="s">
        <v>9656</v>
      </c>
      <c r="B4371" s="5" t="s">
        <v>9657</v>
      </c>
      <c r="C4371" s="5" t="s">
        <v>69</v>
      </c>
      <c r="D4371" s="5" t="s">
        <v>70</v>
      </c>
      <c r="E4371" s="5" t="s">
        <v>540</v>
      </c>
      <c r="F4371" s="9">
        <v>51</v>
      </c>
      <c r="G4371" s="9">
        <v>524</v>
      </c>
      <c r="H4371" s="5" t="s">
        <v>20</v>
      </c>
      <c r="I4371" s="5" t="s">
        <v>9658</v>
      </c>
      <c r="J4371" s="12" t="str">
        <f>HYPERLINK("https://www.boe.es/gazeta/dias/1806/06/20/pdfs/GMD-1806-51.pdf#page=4","Abrir facsímil")</f>
        <v>Abrir facsímil</v>
      </c>
      <c r="K4371" s="15" t="s">
        <v>22</v>
      </c>
    </row>
    <row r="4372" spans="1:11" ht="42" customHeight="1">
      <c r="A4372" s="4" t="s">
        <v>9656</v>
      </c>
      <c r="B4372" s="5" t="s">
        <v>9657</v>
      </c>
      <c r="C4372" s="5" t="s">
        <v>69</v>
      </c>
      <c r="D4372" s="5" t="s">
        <v>70</v>
      </c>
      <c r="E4372" s="5" t="s">
        <v>312</v>
      </c>
      <c r="F4372" s="9">
        <v>100</v>
      </c>
      <c r="G4372" s="9">
        <v>1062</v>
      </c>
      <c r="H4372" s="5" t="s">
        <v>20</v>
      </c>
      <c r="I4372" s="5" t="s">
        <v>9659</v>
      </c>
      <c r="J4372" s="12" t="str">
        <f>HYPERLINK("https://www.boe.es/gazeta/dias/1806/12/09/pdfs/GMD-1806-100.pdf#page=6","Abrir facsímil")</f>
        <v>Abrir facsímil</v>
      </c>
      <c r="K4372" s="15" t="s">
        <v>22</v>
      </c>
    </row>
    <row r="4373" spans="1:11" ht="42" customHeight="1">
      <c r="A4373" s="4" t="s">
        <v>9660</v>
      </c>
      <c r="B4373" s="5" t="s">
        <v>9661</v>
      </c>
      <c r="C4373" s="5" t="s">
        <v>31</v>
      </c>
      <c r="D4373" s="5" t="s">
        <v>32</v>
      </c>
      <c r="E4373" s="5" t="s">
        <v>540</v>
      </c>
      <c r="F4373" s="9">
        <v>51</v>
      </c>
      <c r="G4373" s="9">
        <v>527</v>
      </c>
      <c r="H4373" s="5" t="s">
        <v>20</v>
      </c>
      <c r="I4373" s="5" t="s">
        <v>9662</v>
      </c>
      <c r="J4373" s="12" t="str">
        <f>HYPERLINK("https://www.boe.es/gazeta/dias/1806/06/20/pdfs/GMD-1806-51.pdf#page=7","Abrir facsímil")</f>
        <v>Abrir facsímil</v>
      </c>
      <c r="K4373" s="15" t="s">
        <v>22</v>
      </c>
    </row>
    <row r="4374" spans="1:11" ht="42" customHeight="1">
      <c r="A4374" s="4" t="s">
        <v>9660</v>
      </c>
      <c r="B4374" s="5" t="s">
        <v>9661</v>
      </c>
      <c r="C4374" s="5" t="s">
        <v>17</v>
      </c>
      <c r="D4374" s="5" t="s">
        <v>18</v>
      </c>
      <c r="E4374" s="5" t="s">
        <v>79</v>
      </c>
      <c r="F4374" s="9">
        <v>68</v>
      </c>
      <c r="G4374" s="9">
        <v>710</v>
      </c>
      <c r="H4374" s="5" t="s">
        <v>20</v>
      </c>
      <c r="I4374" s="5" t="s">
        <v>9663</v>
      </c>
      <c r="J4374" s="12" t="str">
        <f>HYPERLINK("https://www.boe.es/gazeta/dias/1806/08/19/pdfs/GMD-1806-68.pdf#page=6","Abrir facsímil")</f>
        <v>Abrir facsímil</v>
      </c>
      <c r="K4374" s="15" t="s">
        <v>22</v>
      </c>
    </row>
    <row r="4375" spans="1:11" ht="42" customHeight="1">
      <c r="A4375" s="4" t="s">
        <v>9664</v>
      </c>
      <c r="B4375" s="5" t="s">
        <v>9665</v>
      </c>
      <c r="C4375" s="5" t="s">
        <v>31</v>
      </c>
      <c r="D4375" s="5" t="s">
        <v>32</v>
      </c>
      <c r="E4375" s="5" t="s">
        <v>494</v>
      </c>
      <c r="F4375" s="9">
        <v>69</v>
      </c>
      <c r="G4375" s="9">
        <v>722</v>
      </c>
      <c r="H4375" s="5" t="s">
        <v>20</v>
      </c>
      <c r="I4375" s="5" t="s">
        <v>9666</v>
      </c>
      <c r="J4375" s="12" t="str">
        <f>HYPERLINK("https://www.boe.es/gazeta/dias/1806/08/22/pdfs/GMD-1806-69.pdf#page=10","Abrir facsímil")</f>
        <v>Abrir facsímil</v>
      </c>
      <c r="K4375" s="15" t="s">
        <v>22</v>
      </c>
    </row>
    <row r="4376" spans="1:11" ht="42" customHeight="1">
      <c r="A4376" s="4" t="s">
        <v>9667</v>
      </c>
      <c r="B4376" s="5" t="s">
        <v>9668</v>
      </c>
      <c r="C4376" s="5" t="s">
        <v>31</v>
      </c>
      <c r="D4376" s="5" t="s">
        <v>32</v>
      </c>
      <c r="E4376" s="5" t="s">
        <v>348</v>
      </c>
      <c r="F4376" s="9">
        <v>88</v>
      </c>
      <c r="G4376" s="9">
        <v>910</v>
      </c>
      <c r="H4376" s="5" t="s">
        <v>20</v>
      </c>
      <c r="I4376" s="5" t="s">
        <v>9669</v>
      </c>
      <c r="J4376" s="12" t="str">
        <f>HYPERLINK("https://www.boe.es/gazeta/dias/1806/10/28/pdfs/GMD-1806-88.pdf#page=6","Abrir facsímil")</f>
        <v>Abrir facsímil</v>
      </c>
      <c r="K4376" s="15" t="s">
        <v>22</v>
      </c>
    </row>
    <row r="4377" spans="1:11" ht="42" customHeight="1">
      <c r="A4377" s="4" t="s">
        <v>9670</v>
      </c>
      <c r="B4377" s="5" t="s">
        <v>9670</v>
      </c>
      <c r="C4377" s="5" t="s">
        <v>31</v>
      </c>
      <c r="D4377" s="5" t="s">
        <v>32</v>
      </c>
      <c r="E4377" s="5" t="s">
        <v>82</v>
      </c>
      <c r="F4377" s="9">
        <v>48</v>
      </c>
      <c r="G4377" s="9">
        <v>496</v>
      </c>
      <c r="H4377" s="5" t="s">
        <v>20</v>
      </c>
      <c r="I4377" s="5" t="s">
        <v>9671</v>
      </c>
      <c r="J4377" s="12" t="str">
        <f>HYPERLINK("https://www.boe.es/gazeta/dias/1806/06/10/pdfs/GMD-1806-48.pdf#page=8","Abrir facsímil")</f>
        <v>Abrir facsímil</v>
      </c>
      <c r="K4377" s="15" t="s">
        <v>22</v>
      </c>
    </row>
    <row r="4378" spans="1:11" ht="42" customHeight="1">
      <c r="A4378" s="4" t="s">
        <v>9672</v>
      </c>
      <c r="B4378" s="5" t="s">
        <v>9672</v>
      </c>
      <c r="C4378" s="5" t="s">
        <v>31</v>
      </c>
      <c r="D4378" s="5" t="s">
        <v>32</v>
      </c>
      <c r="E4378" s="5" t="s">
        <v>185</v>
      </c>
      <c r="F4378" s="9">
        <v>46</v>
      </c>
      <c r="G4378" s="9">
        <v>469</v>
      </c>
      <c r="H4378" s="5" t="s">
        <v>20</v>
      </c>
      <c r="I4378" s="5" t="s">
        <v>9673</v>
      </c>
      <c r="J4378" s="12" t="str">
        <f>HYPERLINK("https://www.boe.es/gazeta/dias/1806/06/03/pdfs/GMD-1806-46.pdf#page=9","Abrir facsímil")</f>
        <v>Abrir facsímil</v>
      </c>
      <c r="K4378" s="15" t="s">
        <v>22</v>
      </c>
    </row>
    <row r="4379" spans="1:11" ht="42" customHeight="1">
      <c r="A4379" s="4" t="s">
        <v>9674</v>
      </c>
      <c r="B4379" s="5" t="s">
        <v>9674</v>
      </c>
      <c r="C4379" s="5" t="s">
        <v>17</v>
      </c>
      <c r="D4379" s="5" t="s">
        <v>18</v>
      </c>
      <c r="E4379" s="5" t="s">
        <v>113</v>
      </c>
      <c r="F4379" s="9">
        <v>28</v>
      </c>
      <c r="G4379" s="9">
        <v>277</v>
      </c>
      <c r="H4379" s="5" t="s">
        <v>20</v>
      </c>
      <c r="I4379" s="5" t="s">
        <v>9675</v>
      </c>
      <c r="J4379" s="12" t="str">
        <f>HYPERLINK("https://www.boe.es/gazeta/dias/1806/04/01/pdfs/GMD-1806-28.pdf#page=5","Abrir facsímil")</f>
        <v>Abrir facsímil</v>
      </c>
      <c r="K4379" s="15" t="s">
        <v>22</v>
      </c>
    </row>
    <row r="4380" spans="1:11" ht="42" customHeight="1">
      <c r="A4380" s="4" t="s">
        <v>9676</v>
      </c>
      <c r="B4380" s="5" t="s">
        <v>9676</v>
      </c>
      <c r="C4380" s="5" t="s">
        <v>75</v>
      </c>
      <c r="D4380" s="5" t="s">
        <v>43</v>
      </c>
      <c r="E4380" s="5" t="s">
        <v>434</v>
      </c>
      <c r="F4380" s="9">
        <v>74</v>
      </c>
      <c r="G4380" s="9" t="s">
        <v>1084</v>
      </c>
      <c r="H4380" s="5" t="s">
        <v>20</v>
      </c>
      <c r="I4380" s="5" t="s">
        <v>9677</v>
      </c>
      <c r="J4380" s="12" t="str">
        <f>HYPERLINK("https://www.boe.es/gazeta/dias/1806/09/09/pdfs/GMD-C-1806-74.pdf#page=4","Abrir facsímil")</f>
        <v>Abrir facsímil</v>
      </c>
      <c r="K4380" s="15" t="s">
        <v>22</v>
      </c>
    </row>
    <row r="4381" spans="1:11" ht="42" customHeight="1">
      <c r="A4381" s="4" t="s">
        <v>9678</v>
      </c>
      <c r="B4381" s="5" t="s">
        <v>9679</v>
      </c>
      <c r="C4381" s="5" t="s">
        <v>31</v>
      </c>
      <c r="D4381" s="5" t="s">
        <v>32</v>
      </c>
      <c r="E4381" s="5" t="s">
        <v>28</v>
      </c>
      <c r="F4381" s="9">
        <v>102</v>
      </c>
      <c r="G4381" s="9">
        <v>1085</v>
      </c>
      <c r="H4381" s="5" t="s">
        <v>20</v>
      </c>
      <c r="I4381" s="5" t="s">
        <v>9680</v>
      </c>
      <c r="J4381" s="12" t="str">
        <f>HYPERLINK("https://www.boe.es/gazeta/dias/1806/12/16/pdfs/GMD-1806-102.pdf#page=9","Abrir facsímil")</f>
        <v>Abrir facsímil</v>
      </c>
      <c r="K4381" s="15" t="s">
        <v>22</v>
      </c>
    </row>
    <row r="4382" spans="1:11" ht="42" customHeight="1">
      <c r="A4382" s="4" t="s">
        <v>9681</v>
      </c>
      <c r="B4382" s="5" t="s">
        <v>9682</v>
      </c>
      <c r="C4382" s="5" t="s">
        <v>31</v>
      </c>
      <c r="D4382" s="5" t="s">
        <v>32</v>
      </c>
      <c r="E4382" s="5" t="s">
        <v>285</v>
      </c>
      <c r="F4382" s="9">
        <v>13</v>
      </c>
      <c r="G4382" s="9">
        <v>114</v>
      </c>
      <c r="H4382" s="5" t="s">
        <v>20</v>
      </c>
      <c r="I4382" s="5" t="s">
        <v>9683</v>
      </c>
      <c r="J4382" s="12" t="str">
        <f>HYPERLINK("https://www.boe.es/gazeta/dias/1806/02/07/pdfs/GMD-1806-13.pdf#page=6","Abrir facsímil")</f>
        <v>Abrir facsímil</v>
      </c>
      <c r="K4382" s="15" t="s">
        <v>22</v>
      </c>
    </row>
    <row r="4383" spans="1:11" ht="42" customHeight="1">
      <c r="A4383" s="4" t="s">
        <v>9684</v>
      </c>
      <c r="B4383" s="5" t="s">
        <v>9685</v>
      </c>
      <c r="C4383" s="5" t="s">
        <v>75</v>
      </c>
      <c r="D4383" s="5" t="s">
        <v>43</v>
      </c>
      <c r="E4383" s="5" t="s">
        <v>19</v>
      </c>
      <c r="F4383" s="9">
        <v>3</v>
      </c>
      <c r="G4383" s="9">
        <v>27</v>
      </c>
      <c r="H4383" s="5" t="s">
        <v>20</v>
      </c>
      <c r="I4383" s="5" t="s">
        <v>9686</v>
      </c>
      <c r="J4383" s="12" t="str">
        <f>HYPERLINK("https://www.boe.es/gazeta/dias/1806/01/10/pdfs/GMD-1806-3.pdf#page=7","Abrir facsímil")</f>
        <v>Abrir facsímil</v>
      </c>
      <c r="K4383" s="15" t="s">
        <v>22</v>
      </c>
    </row>
    <row r="4384" spans="1:11" ht="42" customHeight="1">
      <c r="A4384" s="4" t="s">
        <v>9684</v>
      </c>
      <c r="B4384" s="5" t="s">
        <v>9685</v>
      </c>
      <c r="C4384" s="5" t="s">
        <v>75</v>
      </c>
      <c r="D4384" s="5" t="s">
        <v>43</v>
      </c>
      <c r="E4384" s="5" t="s">
        <v>144</v>
      </c>
      <c r="F4384" s="9">
        <v>79</v>
      </c>
      <c r="G4384" s="9">
        <v>819</v>
      </c>
      <c r="H4384" s="5" t="s">
        <v>20</v>
      </c>
      <c r="I4384" s="5" t="s">
        <v>9687</v>
      </c>
      <c r="J4384" s="12" t="str">
        <f>HYPERLINK("https://www.boe.es/gazeta/dias/1806/09/26/pdfs/GMD-1806-79.pdf#page=11","Abrir facsímil")</f>
        <v>Abrir facsímil</v>
      </c>
      <c r="K4384" s="15" t="s">
        <v>22</v>
      </c>
    </row>
    <row r="4385" spans="1:11" ht="42" customHeight="1">
      <c r="A4385" s="4" t="s">
        <v>9688</v>
      </c>
      <c r="B4385" s="5" t="s">
        <v>9689</v>
      </c>
      <c r="C4385" s="5" t="s">
        <v>42</v>
      </c>
      <c r="D4385" s="5" t="s">
        <v>43</v>
      </c>
      <c r="E4385" s="5" t="s">
        <v>175</v>
      </c>
      <c r="F4385" s="9">
        <v>40</v>
      </c>
      <c r="G4385" s="9">
        <v>394</v>
      </c>
      <c r="H4385" s="5" t="s">
        <v>20</v>
      </c>
      <c r="I4385" s="5" t="s">
        <v>9690</v>
      </c>
      <c r="J4385" s="12" t="str">
        <f>HYPERLINK("https://www.boe.es/gazeta/dias/1806/05/13/pdfs/GMD-1806-40.pdf#page=6","Abrir facsímil")</f>
        <v>Abrir facsímil</v>
      </c>
      <c r="K4385" s="15" t="s">
        <v>22</v>
      </c>
    </row>
    <row r="4386" spans="1:11" ht="42" customHeight="1">
      <c r="A4386" s="4" t="s">
        <v>9691</v>
      </c>
      <c r="B4386" s="5" t="s">
        <v>9692</v>
      </c>
      <c r="C4386" s="5" t="s">
        <v>17</v>
      </c>
      <c r="D4386" s="5" t="s">
        <v>18</v>
      </c>
      <c r="E4386" s="5" t="s">
        <v>220</v>
      </c>
      <c r="F4386" s="9">
        <v>24</v>
      </c>
      <c r="G4386" s="9">
        <v>231</v>
      </c>
      <c r="H4386" s="5" t="s">
        <v>20</v>
      </c>
      <c r="I4386" s="5" t="s">
        <v>9693</v>
      </c>
      <c r="J4386" s="12" t="str">
        <f>HYPERLINK("https://www.boe.es/gazeta/dias/1806/03/18/pdfs/GMD-1806-24.pdf#page=7","Abrir facsímil")</f>
        <v>Abrir facsímil</v>
      </c>
      <c r="K4386" s="15" t="s">
        <v>22</v>
      </c>
    </row>
    <row r="4387" spans="1:11" ht="42" customHeight="1">
      <c r="A4387" s="4" t="s">
        <v>9694</v>
      </c>
      <c r="B4387" s="5" t="s">
        <v>9695</v>
      </c>
      <c r="C4387" s="5" t="s">
        <v>17</v>
      </c>
      <c r="D4387" s="5" t="s">
        <v>18</v>
      </c>
      <c r="E4387" s="5" t="s">
        <v>580</v>
      </c>
      <c r="F4387" s="9">
        <v>23</v>
      </c>
      <c r="G4387" s="9">
        <v>219</v>
      </c>
      <c r="H4387" s="5" t="s">
        <v>20</v>
      </c>
      <c r="I4387" s="5" t="s">
        <v>9696</v>
      </c>
      <c r="J4387" s="12" t="str">
        <f>HYPERLINK("https://www.boe.es/gazeta/dias/1806/03/14/pdfs/GMD-1806-23.pdf#page=7","Abrir facsímil")</f>
        <v>Abrir facsímil</v>
      </c>
      <c r="K4387" s="15" t="s">
        <v>22</v>
      </c>
    </row>
    <row r="4388" spans="1:11" ht="42" customHeight="1">
      <c r="A4388" s="4" t="s">
        <v>9697</v>
      </c>
      <c r="B4388" s="5" t="s">
        <v>9698</v>
      </c>
      <c r="C4388" s="5" t="s">
        <v>31</v>
      </c>
      <c r="D4388" s="5" t="s">
        <v>32</v>
      </c>
      <c r="E4388" s="5" t="s">
        <v>100</v>
      </c>
      <c r="F4388" s="9">
        <v>7</v>
      </c>
      <c r="G4388" s="9">
        <v>65</v>
      </c>
      <c r="H4388" s="5" t="s">
        <v>20</v>
      </c>
      <c r="I4388" s="5" t="s">
        <v>9699</v>
      </c>
      <c r="J4388" s="12" t="str">
        <f>HYPERLINK("https://www.boe.es/gazeta/dias/1806/01/21/pdfs/GMD-1806-7.pdf#page=9","Abrir facsímil")</f>
        <v>Abrir facsímil</v>
      </c>
      <c r="K4388" s="15" t="s">
        <v>22</v>
      </c>
    </row>
    <row r="4389" spans="1:11" ht="42" customHeight="1">
      <c r="A4389" s="4" t="s">
        <v>9700</v>
      </c>
      <c r="B4389" s="5" t="s">
        <v>9701</v>
      </c>
      <c r="C4389" s="5" t="s">
        <v>17</v>
      </c>
      <c r="D4389" s="5" t="s">
        <v>18</v>
      </c>
      <c r="E4389" s="5" t="s">
        <v>661</v>
      </c>
      <c r="F4389" s="9">
        <v>38</v>
      </c>
      <c r="G4389" s="9">
        <v>374</v>
      </c>
      <c r="H4389" s="5" t="s">
        <v>20</v>
      </c>
      <c r="I4389" s="5" t="s">
        <v>9702</v>
      </c>
      <c r="J4389" s="12" t="str">
        <f>HYPERLINK("https://www.boe.es/gazeta/dias/1806/05/06/pdfs/GMD-1806-38.pdf#page=10","Abrir facsímil")</f>
        <v>Abrir facsímil</v>
      </c>
      <c r="K4389" s="15" t="s">
        <v>22</v>
      </c>
    </row>
    <row r="4390" spans="1:11" ht="42" customHeight="1">
      <c r="A4390" s="4" t="s">
        <v>9703</v>
      </c>
      <c r="B4390" s="5" t="s">
        <v>9704</v>
      </c>
      <c r="C4390" s="5" t="s">
        <v>31</v>
      </c>
      <c r="D4390" s="5" t="s">
        <v>32</v>
      </c>
      <c r="E4390" s="5" t="s">
        <v>19</v>
      </c>
      <c r="F4390" s="9">
        <v>3</v>
      </c>
      <c r="G4390" s="9">
        <v>27</v>
      </c>
      <c r="H4390" s="5" t="s">
        <v>20</v>
      </c>
      <c r="I4390" s="5" t="s">
        <v>9705</v>
      </c>
      <c r="J4390" s="12" t="str">
        <f>HYPERLINK("https://www.boe.es/gazeta/dias/1806/01/10/pdfs/GMD-1806-3.pdf#page=7","Abrir facsímil")</f>
        <v>Abrir facsímil</v>
      </c>
      <c r="K4390" s="15" t="s">
        <v>22</v>
      </c>
    </row>
    <row r="4391" spans="1:11" ht="42" customHeight="1">
      <c r="A4391" s="4" t="s">
        <v>9703</v>
      </c>
      <c r="B4391" s="5" t="s">
        <v>9704</v>
      </c>
      <c r="C4391" s="5" t="s">
        <v>31</v>
      </c>
      <c r="D4391" s="5" t="s">
        <v>32</v>
      </c>
      <c r="E4391" s="5" t="s">
        <v>474</v>
      </c>
      <c r="F4391" s="9">
        <v>10</v>
      </c>
      <c r="G4391" s="9">
        <v>91</v>
      </c>
      <c r="H4391" s="5" t="s">
        <v>20</v>
      </c>
      <c r="I4391" s="5" t="s">
        <v>9706</v>
      </c>
      <c r="J4391" s="12" t="str">
        <f>HYPERLINK("https://www.boe.es/gazeta/dias/1806/01/28/pdfs/GMD-1806-10.pdf#page=7","Abrir facsímil")</f>
        <v>Abrir facsímil</v>
      </c>
      <c r="K4391" s="15" t="s">
        <v>22</v>
      </c>
    </row>
    <row r="4392" spans="1:11" ht="42" customHeight="1">
      <c r="A4392" s="4" t="s">
        <v>9703</v>
      </c>
      <c r="B4392" s="5" t="s">
        <v>9704</v>
      </c>
      <c r="C4392" s="5" t="s">
        <v>36</v>
      </c>
      <c r="D4392" s="5" t="s">
        <v>37</v>
      </c>
      <c r="E4392" s="5" t="s">
        <v>71</v>
      </c>
      <c r="F4392" s="9">
        <v>29</v>
      </c>
      <c r="G4392" s="9">
        <v>288</v>
      </c>
      <c r="H4392" s="5" t="s">
        <v>20</v>
      </c>
      <c r="I4392" s="5" t="s">
        <v>9707</v>
      </c>
      <c r="J4392" s="12" t="str">
        <f>HYPERLINK("https://www.boe.es/gazeta/dias/1806/04/04/pdfs/GMD-1806-29.pdf#page=8","Abrir facsímil")</f>
        <v>Abrir facsímil</v>
      </c>
      <c r="K4392" s="15" t="s">
        <v>22</v>
      </c>
    </row>
    <row r="4393" spans="1:11" ht="42" customHeight="1">
      <c r="A4393" s="4" t="s">
        <v>9703</v>
      </c>
      <c r="B4393" s="5" t="s">
        <v>9704</v>
      </c>
      <c r="C4393" s="5" t="s">
        <v>31</v>
      </c>
      <c r="D4393" s="5" t="s">
        <v>32</v>
      </c>
      <c r="E4393" s="5" t="s">
        <v>24</v>
      </c>
      <c r="F4393" s="9">
        <v>32</v>
      </c>
      <c r="G4393" s="9">
        <v>319</v>
      </c>
      <c r="H4393" s="5" t="s">
        <v>20</v>
      </c>
      <c r="I4393" s="5" t="s">
        <v>9708</v>
      </c>
      <c r="J4393" s="12" t="str">
        <f>HYPERLINK("https://www.boe.es/gazeta/dias/1806/04/15/pdfs/GMD-1806-32.pdf#page=11","Abrir facsímil")</f>
        <v>Abrir facsímil</v>
      </c>
      <c r="K4393" s="15" t="s">
        <v>22</v>
      </c>
    </row>
    <row r="4394" spans="1:11" ht="42" customHeight="1">
      <c r="A4394" s="4" t="s">
        <v>9703</v>
      </c>
      <c r="B4394" s="5" t="s">
        <v>9704</v>
      </c>
      <c r="C4394" s="5" t="s">
        <v>17</v>
      </c>
      <c r="D4394" s="5" t="s">
        <v>18</v>
      </c>
      <c r="E4394" s="5" t="s">
        <v>178</v>
      </c>
      <c r="F4394" s="9">
        <v>36</v>
      </c>
      <c r="G4394" s="9">
        <v>351</v>
      </c>
      <c r="H4394" s="5" t="s">
        <v>20</v>
      </c>
      <c r="I4394" s="5" t="s">
        <v>9709</v>
      </c>
      <c r="J4394" s="12" t="str">
        <f>HYPERLINK("https://www.boe.es/gazeta/dias/1806/04/29/pdfs/GMD-1806-36.pdf#page=7","Abrir facsímil")</f>
        <v>Abrir facsímil</v>
      </c>
      <c r="K4394" s="15" t="s">
        <v>22</v>
      </c>
    </row>
    <row r="4395" spans="1:11" ht="42" customHeight="1">
      <c r="A4395" s="4" t="s">
        <v>9703</v>
      </c>
      <c r="B4395" s="5" t="s">
        <v>9704</v>
      </c>
      <c r="C4395" s="5" t="s">
        <v>36</v>
      </c>
      <c r="D4395" s="5" t="s">
        <v>37</v>
      </c>
      <c r="E4395" s="5" t="s">
        <v>501</v>
      </c>
      <c r="F4395" s="9">
        <v>39</v>
      </c>
      <c r="G4395" s="9">
        <v>386</v>
      </c>
      <c r="H4395" s="5" t="s">
        <v>20</v>
      </c>
      <c r="I4395" s="5" t="s">
        <v>9710</v>
      </c>
      <c r="J4395" s="12" t="str">
        <f>HYPERLINK("https://www.boe.es/gazeta/dias/1806/05/09/pdfs/GMD-1806-39.pdf#page=10","Abrir facsímil")</f>
        <v>Abrir facsímil</v>
      </c>
      <c r="K4395" s="15" t="s">
        <v>22</v>
      </c>
    </row>
    <row r="4396" spans="1:11" ht="42" customHeight="1">
      <c r="A4396" s="4" t="s">
        <v>9703</v>
      </c>
      <c r="B4396" s="5" t="s">
        <v>9704</v>
      </c>
      <c r="C4396" s="5" t="s">
        <v>36</v>
      </c>
      <c r="D4396" s="5" t="s">
        <v>37</v>
      </c>
      <c r="E4396" s="5" t="s">
        <v>702</v>
      </c>
      <c r="F4396" s="9">
        <v>43</v>
      </c>
      <c r="G4396" s="9">
        <v>433</v>
      </c>
      <c r="H4396" s="5" t="s">
        <v>20</v>
      </c>
      <c r="I4396" s="5" t="s">
        <v>9711</v>
      </c>
      <c r="J4396" s="12" t="str">
        <f>HYPERLINK("https://www.boe.es/gazeta/dias/1806/05/23/pdfs/GMD-1806-43.pdf#page=9","Abrir facsímil")</f>
        <v>Abrir facsímil</v>
      </c>
      <c r="K4396" s="15" t="s">
        <v>22</v>
      </c>
    </row>
    <row r="4397" spans="1:11" ht="42" customHeight="1">
      <c r="A4397" s="4" t="s">
        <v>9703</v>
      </c>
      <c r="B4397" s="5" t="s">
        <v>9704</v>
      </c>
      <c r="C4397" s="5" t="s">
        <v>36</v>
      </c>
      <c r="D4397" s="5" t="s">
        <v>37</v>
      </c>
      <c r="E4397" s="5" t="s">
        <v>185</v>
      </c>
      <c r="F4397" s="9">
        <v>46</v>
      </c>
      <c r="G4397" s="9">
        <v>470</v>
      </c>
      <c r="H4397" s="5" t="s">
        <v>20</v>
      </c>
      <c r="I4397" s="5" t="s">
        <v>9712</v>
      </c>
      <c r="J4397" s="12" t="str">
        <f>HYPERLINK("https://www.boe.es/gazeta/dias/1806/06/03/pdfs/GMD-1806-46.pdf#page=10","Abrir facsímil")</f>
        <v>Abrir facsímil</v>
      </c>
      <c r="K4397" s="15" t="s">
        <v>22</v>
      </c>
    </row>
    <row r="4398" spans="1:11" ht="42" customHeight="1">
      <c r="A4398" s="4" t="s">
        <v>9703</v>
      </c>
      <c r="B4398" s="5" t="s">
        <v>9704</v>
      </c>
      <c r="C4398" s="5" t="s">
        <v>36</v>
      </c>
      <c r="D4398" s="5" t="s">
        <v>37</v>
      </c>
      <c r="E4398" s="5" t="s">
        <v>1080</v>
      </c>
      <c r="F4398" s="9">
        <v>49</v>
      </c>
      <c r="G4398" s="9">
        <v>506</v>
      </c>
      <c r="H4398" s="5" t="s">
        <v>20</v>
      </c>
      <c r="I4398" s="5" t="s">
        <v>9713</v>
      </c>
      <c r="J4398" s="12" t="str">
        <f>HYPERLINK("https://www.boe.es/gazeta/dias/1806/06/13/pdfs/GMD-1806-49.pdf#page=6","Abrir facsímil")</f>
        <v>Abrir facsímil</v>
      </c>
      <c r="K4398" s="15" t="s">
        <v>22</v>
      </c>
    </row>
    <row r="4399" spans="1:11" ht="42" customHeight="1">
      <c r="A4399" s="4" t="s">
        <v>9703</v>
      </c>
      <c r="B4399" s="5" t="s">
        <v>9704</v>
      </c>
      <c r="C4399" s="5" t="s">
        <v>36</v>
      </c>
      <c r="D4399" s="5" t="s">
        <v>37</v>
      </c>
      <c r="E4399" s="5" t="s">
        <v>279</v>
      </c>
      <c r="F4399" s="9">
        <v>52</v>
      </c>
      <c r="G4399" s="9">
        <v>542</v>
      </c>
      <c r="H4399" s="5" t="s">
        <v>20</v>
      </c>
      <c r="I4399" s="5" t="s">
        <v>9714</v>
      </c>
      <c r="J4399" s="12" t="str">
        <f>HYPERLINK("https://www.boe.es/gazeta/dias/1806/06/24/pdfs/GMD-1806-52.pdf#page=10","Abrir facsímil")</f>
        <v>Abrir facsímil</v>
      </c>
      <c r="K4399" s="15" t="s">
        <v>22</v>
      </c>
    </row>
    <row r="4400" spans="1:11" ht="42" customHeight="1">
      <c r="A4400" s="4" t="s">
        <v>9703</v>
      </c>
      <c r="B4400" s="5" t="s">
        <v>9704</v>
      </c>
      <c r="C4400" s="5" t="s">
        <v>36</v>
      </c>
      <c r="D4400" s="5" t="s">
        <v>37</v>
      </c>
      <c r="E4400" s="5" t="s">
        <v>483</v>
      </c>
      <c r="F4400" s="9">
        <v>58</v>
      </c>
      <c r="G4400" s="9">
        <v>603</v>
      </c>
      <c r="H4400" s="5" t="s">
        <v>20</v>
      </c>
      <c r="I4400" s="5" t="s">
        <v>9715</v>
      </c>
      <c r="J4400" s="12" t="str">
        <f>HYPERLINK("https://www.boe.es/gazeta/dias/1806/07/15/pdfs/GMD-1806-58.pdf#page=7","Abrir facsímil")</f>
        <v>Abrir facsímil</v>
      </c>
      <c r="K4400" s="15" t="s">
        <v>22</v>
      </c>
    </row>
    <row r="4401" spans="1:11" ht="42" customHeight="1">
      <c r="A4401" s="4" t="s">
        <v>9703</v>
      </c>
      <c r="B4401" s="5" t="s">
        <v>9704</v>
      </c>
      <c r="C4401" s="5" t="s">
        <v>36</v>
      </c>
      <c r="D4401" s="5" t="s">
        <v>37</v>
      </c>
      <c r="E4401" s="5" t="s">
        <v>103</v>
      </c>
      <c r="F4401" s="9">
        <v>61</v>
      </c>
      <c r="G4401" s="9">
        <v>637</v>
      </c>
      <c r="H4401" s="5" t="s">
        <v>20</v>
      </c>
      <c r="I4401" s="5" t="s">
        <v>9716</v>
      </c>
      <c r="J4401" s="12" t="str">
        <f>HYPERLINK("https://www.boe.es/gazeta/dias/1806/07/25/pdfs/GMD-1806-61.pdf#page=9","Abrir facsímil")</f>
        <v>Abrir facsímil</v>
      </c>
      <c r="K4401" s="15" t="s">
        <v>22</v>
      </c>
    </row>
    <row r="4402" spans="1:11" ht="42" customHeight="1">
      <c r="A4402" s="4" t="s">
        <v>9703</v>
      </c>
      <c r="B4402" s="5" t="s">
        <v>9704</v>
      </c>
      <c r="C4402" s="5" t="s">
        <v>36</v>
      </c>
      <c r="D4402" s="5" t="s">
        <v>37</v>
      </c>
      <c r="E4402" s="5" t="s">
        <v>79</v>
      </c>
      <c r="F4402" s="9">
        <v>68</v>
      </c>
      <c r="G4402" s="9">
        <v>710</v>
      </c>
      <c r="H4402" s="5" t="s">
        <v>20</v>
      </c>
      <c r="I4402" s="5" t="s">
        <v>9717</v>
      </c>
      <c r="J4402" s="12" t="str">
        <f>HYPERLINK("https://www.boe.es/gazeta/dias/1806/08/19/pdfs/GMD-1806-68.pdf#page=6","Abrir facsímil")</f>
        <v>Abrir facsímil</v>
      </c>
      <c r="K4402" s="15" t="s">
        <v>22</v>
      </c>
    </row>
    <row r="4403" spans="1:11" ht="42" customHeight="1">
      <c r="A4403" s="4" t="s">
        <v>9703</v>
      </c>
      <c r="B4403" s="5" t="s">
        <v>9704</v>
      </c>
      <c r="C4403" s="5" t="s">
        <v>36</v>
      </c>
      <c r="D4403" s="5" t="s">
        <v>37</v>
      </c>
      <c r="E4403" s="5" t="s">
        <v>213</v>
      </c>
      <c r="F4403" s="9">
        <v>73</v>
      </c>
      <c r="G4403" s="9">
        <v>759</v>
      </c>
      <c r="H4403" s="5" t="s">
        <v>20</v>
      </c>
      <c r="I4403" s="5" t="s">
        <v>9718</v>
      </c>
      <c r="J4403" s="12" t="str">
        <f>HYPERLINK("https://www.boe.es/gazeta/dias/1806/09/05/pdfs/GMD-1806-73.pdf#page=7","Abrir facsímil")</f>
        <v>Abrir facsímil</v>
      </c>
      <c r="K4403" s="15" t="s">
        <v>22</v>
      </c>
    </row>
    <row r="4404" spans="1:11" ht="42" customHeight="1">
      <c r="A4404" s="4" t="s">
        <v>9703</v>
      </c>
      <c r="B4404" s="5" t="s">
        <v>9704</v>
      </c>
      <c r="C4404" s="5" t="s">
        <v>36</v>
      </c>
      <c r="D4404" s="5" t="s">
        <v>37</v>
      </c>
      <c r="E4404" s="5" t="s">
        <v>1005</v>
      </c>
      <c r="F4404" s="9">
        <v>76</v>
      </c>
      <c r="G4404" s="9">
        <v>787</v>
      </c>
      <c r="H4404" s="5" t="s">
        <v>20</v>
      </c>
      <c r="I4404" s="5" t="s">
        <v>9719</v>
      </c>
      <c r="J4404" s="12" t="str">
        <f>HYPERLINK("https://www.boe.es/gazeta/dias/1806/09/16/pdfs/GMD-1806-76.pdf#page=7","Abrir facsímil")</f>
        <v>Abrir facsímil</v>
      </c>
      <c r="K4404" s="15" t="s">
        <v>22</v>
      </c>
    </row>
    <row r="4405" spans="1:11" ht="42" customHeight="1">
      <c r="A4405" s="4" t="s">
        <v>9703</v>
      </c>
      <c r="B4405" s="5" t="s">
        <v>9704</v>
      </c>
      <c r="C4405" s="5" t="s">
        <v>36</v>
      </c>
      <c r="D4405" s="5" t="s">
        <v>37</v>
      </c>
      <c r="E4405" s="5" t="s">
        <v>405</v>
      </c>
      <c r="F4405" s="9">
        <v>80</v>
      </c>
      <c r="G4405" s="9">
        <v>830</v>
      </c>
      <c r="H4405" s="5" t="s">
        <v>20</v>
      </c>
      <c r="I4405" s="5" t="s">
        <v>9720</v>
      </c>
      <c r="J4405" s="12" t="str">
        <f>HYPERLINK("https://www.boe.es/gazeta/dias/1806/09/30/pdfs/GMD-1806-80.pdf#page=10","Abrir facsímil")</f>
        <v>Abrir facsímil</v>
      </c>
      <c r="K4405" s="15" t="s">
        <v>22</v>
      </c>
    </row>
    <row r="4406" spans="1:11" ht="42" customHeight="1">
      <c r="A4406" s="4" t="s">
        <v>9703</v>
      </c>
      <c r="B4406" s="5" t="s">
        <v>9704</v>
      </c>
      <c r="C4406" s="5" t="s">
        <v>36</v>
      </c>
      <c r="D4406" s="5" t="s">
        <v>37</v>
      </c>
      <c r="E4406" s="5" t="s">
        <v>33</v>
      </c>
      <c r="F4406" s="9">
        <v>82</v>
      </c>
      <c r="G4406" s="9">
        <v>850</v>
      </c>
      <c r="H4406" s="5" t="s">
        <v>20</v>
      </c>
      <c r="I4406" s="5" t="s">
        <v>9721</v>
      </c>
      <c r="J4406" s="12" t="str">
        <f>HYPERLINK("https://www.boe.es/gazeta/dias/1806/10/07/pdfs/GMD-1806-82.pdf#page=10","Abrir facsímil")</f>
        <v>Abrir facsímil</v>
      </c>
      <c r="K4406" s="15" t="s">
        <v>22</v>
      </c>
    </row>
    <row r="4407" spans="1:11" ht="42" customHeight="1">
      <c r="A4407" s="4" t="s">
        <v>9703</v>
      </c>
      <c r="B4407" s="5" t="s">
        <v>9704</v>
      </c>
      <c r="C4407" s="5" t="s">
        <v>31</v>
      </c>
      <c r="D4407" s="5" t="s">
        <v>32</v>
      </c>
      <c r="E4407" s="5" t="s">
        <v>455</v>
      </c>
      <c r="F4407" s="9">
        <v>85</v>
      </c>
      <c r="G4407" s="9">
        <v>882</v>
      </c>
      <c r="H4407" s="5" t="s">
        <v>20</v>
      </c>
      <c r="I4407" s="5" t="s">
        <v>9722</v>
      </c>
      <c r="J4407" s="12" t="str">
        <f>HYPERLINK("https://www.boe.es/gazeta/dias/1806/10/17/pdfs/GMD-1806-85.pdf#page=10","Abrir facsímil")</f>
        <v>Abrir facsímil</v>
      </c>
      <c r="K4407" s="15" t="s">
        <v>22</v>
      </c>
    </row>
    <row r="4408" spans="1:11" ht="42" customHeight="1">
      <c r="A4408" s="4" t="s">
        <v>9703</v>
      </c>
      <c r="B4408" s="5" t="s">
        <v>9704</v>
      </c>
      <c r="C4408" s="5" t="s">
        <v>36</v>
      </c>
      <c r="D4408" s="5" t="s">
        <v>37</v>
      </c>
      <c r="E4408" s="5" t="s">
        <v>554</v>
      </c>
      <c r="F4408" s="9">
        <v>90</v>
      </c>
      <c r="G4408" s="9">
        <v>934</v>
      </c>
      <c r="H4408" s="5" t="s">
        <v>20</v>
      </c>
      <c r="I4408" s="5" t="s">
        <v>9723</v>
      </c>
      <c r="J4408" s="12" t="str">
        <f>HYPERLINK("https://www.boe.es/gazeta/dias/1806/11/04/pdfs/GMD-1806-90.pdf#page=10","Abrir facsímil")</f>
        <v>Abrir facsímil</v>
      </c>
      <c r="K4408" s="15" t="s">
        <v>22</v>
      </c>
    </row>
    <row r="4409" spans="1:11" ht="42" customHeight="1">
      <c r="A4409" s="4" t="s">
        <v>9703</v>
      </c>
      <c r="B4409" s="5" t="s">
        <v>9704</v>
      </c>
      <c r="C4409" s="5" t="s">
        <v>36</v>
      </c>
      <c r="D4409" s="5" t="s">
        <v>37</v>
      </c>
      <c r="E4409" s="5" t="s">
        <v>297</v>
      </c>
      <c r="F4409" s="9">
        <v>94</v>
      </c>
      <c r="G4409" s="9">
        <v>990</v>
      </c>
      <c r="H4409" s="5" t="s">
        <v>20</v>
      </c>
      <c r="I4409" s="5" t="s">
        <v>9724</v>
      </c>
      <c r="J4409" s="12" t="str">
        <f>HYPERLINK("https://www.boe.es/gazeta/dias/1806/11/18/pdfs/GMD-1806-94.pdf#page=10","Abrir facsímil")</f>
        <v>Abrir facsímil</v>
      </c>
      <c r="K4409" s="15" t="s">
        <v>22</v>
      </c>
    </row>
    <row r="4410" spans="1:11" ht="42" customHeight="1">
      <c r="A4410" s="4" t="s">
        <v>9725</v>
      </c>
      <c r="B4410" s="5" t="s">
        <v>9726</v>
      </c>
      <c r="C4410" s="5" t="s">
        <v>36</v>
      </c>
      <c r="D4410" s="5" t="s">
        <v>37</v>
      </c>
      <c r="E4410" s="5" t="s">
        <v>304</v>
      </c>
      <c r="F4410" s="9">
        <v>47</v>
      </c>
      <c r="G4410" s="9">
        <v>483</v>
      </c>
      <c r="H4410" s="5" t="s">
        <v>20</v>
      </c>
      <c r="I4410" s="5" t="s">
        <v>9727</v>
      </c>
      <c r="J4410" s="12" t="str">
        <f>HYPERLINK("https://www.boe.es/gazeta/dias/1806/06/06/pdfs/GMD-C-1806-47.pdf#page=3","Abrir facsímil")</f>
        <v>Abrir facsímil</v>
      </c>
      <c r="K4410" s="15" t="s">
        <v>22</v>
      </c>
    </row>
    <row r="4411" spans="1:11" ht="42" customHeight="1">
      <c r="A4411" s="4" t="s">
        <v>9728</v>
      </c>
      <c r="B4411" s="5" t="s">
        <v>9729</v>
      </c>
      <c r="C4411" s="5" t="s">
        <v>17</v>
      </c>
      <c r="D4411" s="5" t="s">
        <v>18</v>
      </c>
      <c r="E4411" s="5" t="s">
        <v>93</v>
      </c>
      <c r="F4411" s="9">
        <v>72</v>
      </c>
      <c r="G4411" s="9">
        <v>747</v>
      </c>
      <c r="H4411" s="5" t="s">
        <v>20</v>
      </c>
      <c r="I4411" s="5" t="s">
        <v>9730</v>
      </c>
      <c r="J4411" s="12" t="str">
        <f>HYPERLINK("https://www.boe.es/gazeta/dias/1806/09/02/pdfs/GMD-1806-72.pdf#page=7","Abrir facsímil")</f>
        <v>Abrir facsímil</v>
      </c>
      <c r="K4411" s="15" t="s">
        <v>22</v>
      </c>
    </row>
    <row r="4412" spans="1:11" ht="42" customHeight="1">
      <c r="A4412" s="4" t="s">
        <v>9731</v>
      </c>
      <c r="B4412" s="5" t="s">
        <v>9732</v>
      </c>
      <c r="C4412" s="5" t="s">
        <v>31</v>
      </c>
      <c r="D4412" s="5" t="s">
        <v>32</v>
      </c>
      <c r="E4412" s="5" t="s">
        <v>290</v>
      </c>
      <c r="F4412" s="9">
        <v>1</v>
      </c>
      <c r="G4412" s="9">
        <v>8</v>
      </c>
      <c r="H4412" s="5" t="s">
        <v>20</v>
      </c>
      <c r="I4412" s="5" t="s">
        <v>9733</v>
      </c>
      <c r="J4412" s="12" t="str">
        <f>HYPERLINK("https://www.boe.es/gazeta/dias/1806/01/03/pdfs/GMD-1806-1.pdf#page=8","Abrir facsímil")</f>
        <v>Abrir facsímil</v>
      </c>
      <c r="K4412" s="15" t="s">
        <v>22</v>
      </c>
    </row>
    <row r="4413" spans="1:11" ht="42" customHeight="1">
      <c r="A4413" s="4" t="s">
        <v>9734</v>
      </c>
      <c r="B4413" s="5" t="s">
        <v>9734</v>
      </c>
      <c r="C4413" s="5" t="s">
        <v>31</v>
      </c>
      <c r="D4413" s="5" t="s">
        <v>32</v>
      </c>
      <c r="E4413" s="5" t="s">
        <v>540</v>
      </c>
      <c r="F4413" s="9">
        <v>51</v>
      </c>
      <c r="G4413" s="9">
        <v>530</v>
      </c>
      <c r="H4413" s="5" t="s">
        <v>20</v>
      </c>
      <c r="I4413" s="5" t="s">
        <v>9735</v>
      </c>
      <c r="J4413" s="12" t="str">
        <f>HYPERLINK("https://www.boe.es/gazeta/dias/1806/06/20/pdfs/GMD-1806-51.pdf#page=10","Abrir facsímil")</f>
        <v>Abrir facsímil</v>
      </c>
      <c r="K4413" s="15" t="s">
        <v>22</v>
      </c>
    </row>
    <row r="4414" spans="1:11" ht="42" customHeight="1">
      <c r="A4414" s="4" t="s">
        <v>9736</v>
      </c>
      <c r="B4414" s="5" t="s">
        <v>9736</v>
      </c>
      <c r="C4414" s="5" t="s">
        <v>17</v>
      </c>
      <c r="D4414" s="5" t="s">
        <v>18</v>
      </c>
      <c r="E4414" s="5" t="s">
        <v>209</v>
      </c>
      <c r="F4414" s="9">
        <v>95</v>
      </c>
      <c r="G4414" s="9">
        <v>994</v>
      </c>
      <c r="H4414" s="5" t="s">
        <v>20</v>
      </c>
      <c r="I4414" s="5" t="s">
        <v>9737</v>
      </c>
      <c r="J4414" s="12" t="str">
        <f>HYPERLINK("https://www.boe.es/gazeta/dias/1806/11/21/pdfs/GMD-1806-95.pdf#page=2","Abrir facsímil")</f>
        <v>Abrir facsímil</v>
      </c>
      <c r="K4414" s="15" t="s">
        <v>22</v>
      </c>
    </row>
    <row r="4415" spans="1:11" ht="42" customHeight="1">
      <c r="A4415" s="4" t="s">
        <v>9738</v>
      </c>
      <c r="B4415" s="5" t="s">
        <v>9739</v>
      </c>
      <c r="C4415" s="5" t="s">
        <v>69</v>
      </c>
      <c r="D4415" s="5" t="s">
        <v>70</v>
      </c>
      <c r="E4415" s="5" t="s">
        <v>1778</v>
      </c>
      <c r="F4415" s="9">
        <v>16</v>
      </c>
      <c r="G4415" s="9">
        <v>140</v>
      </c>
      <c r="H4415" s="5" t="s">
        <v>20</v>
      </c>
      <c r="I4415" s="5" t="s">
        <v>9740</v>
      </c>
      <c r="J4415" s="12" t="str">
        <f>HYPERLINK("https://www.boe.es/gazeta/dias/1806/02/18/pdfs/GMD-1806-16.pdf#page=4","Abrir facsímil")</f>
        <v>Abrir facsímil</v>
      </c>
      <c r="K4415" s="15" t="s">
        <v>22</v>
      </c>
    </row>
    <row r="4416" spans="1:11" ht="42" customHeight="1">
      <c r="A4416" s="4" t="s">
        <v>9741</v>
      </c>
      <c r="B4416" s="5" t="s">
        <v>9742</v>
      </c>
      <c r="C4416" s="5" t="s">
        <v>75</v>
      </c>
      <c r="D4416" s="5" t="s">
        <v>43</v>
      </c>
      <c r="E4416" s="5" t="s">
        <v>100</v>
      </c>
      <c r="F4416" s="9">
        <v>7</v>
      </c>
      <c r="G4416" s="9">
        <v>68</v>
      </c>
      <c r="H4416" s="5" t="s">
        <v>20</v>
      </c>
      <c r="I4416" s="5" t="s">
        <v>9743</v>
      </c>
      <c r="J4416" s="12" t="str">
        <f>HYPERLINK("https://www.boe.es/gazeta/dias/1806/01/21/pdfs/GMD-1806-7.pdf#page=12","Abrir facsímil")</f>
        <v>Abrir facsímil</v>
      </c>
      <c r="K4416" s="15" t="s">
        <v>22</v>
      </c>
    </row>
    <row r="4417" spans="1:11" ht="42" customHeight="1">
      <c r="A4417" s="4" t="s">
        <v>9741</v>
      </c>
      <c r="B4417" s="5" t="s">
        <v>9742</v>
      </c>
      <c r="C4417" s="5" t="s">
        <v>36</v>
      </c>
      <c r="D4417" s="5" t="s">
        <v>37</v>
      </c>
      <c r="E4417" s="5" t="s">
        <v>161</v>
      </c>
      <c r="F4417" s="9">
        <v>11</v>
      </c>
      <c r="G4417" s="9">
        <v>100</v>
      </c>
      <c r="H4417" s="5" t="s">
        <v>20</v>
      </c>
      <c r="I4417" s="5" t="s">
        <v>9744</v>
      </c>
      <c r="J4417" s="12" t="str">
        <f>HYPERLINK("https://www.boe.es/gazeta/dias/1806/01/31/pdfs/GMD-1806-11.pdf#page=8","Abrir facsímil")</f>
        <v>Abrir facsímil</v>
      </c>
      <c r="K4417" s="15" t="s">
        <v>22</v>
      </c>
    </row>
    <row r="4418" spans="1:11" ht="42" customHeight="1">
      <c r="A4418" s="4" t="s">
        <v>9741</v>
      </c>
      <c r="B4418" s="5" t="s">
        <v>9742</v>
      </c>
      <c r="C4418" s="5" t="s">
        <v>36</v>
      </c>
      <c r="D4418" s="5" t="s">
        <v>37</v>
      </c>
      <c r="E4418" s="5" t="s">
        <v>400</v>
      </c>
      <c r="F4418" s="9">
        <v>22</v>
      </c>
      <c r="G4418" s="9">
        <v>212</v>
      </c>
      <c r="H4418" s="5" t="s">
        <v>20</v>
      </c>
      <c r="I4418" s="5" t="s">
        <v>9745</v>
      </c>
      <c r="J4418" s="12" t="str">
        <f>HYPERLINK("https://www.boe.es/gazeta/dias/1806/03/11/pdfs/GMD-1806-22.pdf#page=12","Abrir facsímil")</f>
        <v>Abrir facsímil</v>
      </c>
      <c r="K4418" s="15" t="s">
        <v>22</v>
      </c>
    </row>
    <row r="4419" spans="1:11" ht="42" customHeight="1">
      <c r="A4419" s="4" t="s">
        <v>9741</v>
      </c>
      <c r="B4419" s="5" t="s">
        <v>9742</v>
      </c>
      <c r="C4419" s="5" t="s">
        <v>17</v>
      </c>
      <c r="D4419" s="5" t="s">
        <v>18</v>
      </c>
      <c r="E4419" s="5" t="s">
        <v>175</v>
      </c>
      <c r="F4419" s="9">
        <v>40</v>
      </c>
      <c r="G4419" s="9">
        <v>397</v>
      </c>
      <c r="H4419" s="5" t="s">
        <v>20</v>
      </c>
      <c r="I4419" s="5" t="s">
        <v>9746</v>
      </c>
      <c r="J4419" s="12" t="str">
        <f>HYPERLINK("https://www.boe.es/gazeta/dias/1806/05/13/pdfs/GMD-1806-40.pdf#page=9","Abrir facsímil")</f>
        <v>Abrir facsímil</v>
      </c>
      <c r="K4419" s="15" t="s">
        <v>22</v>
      </c>
    </row>
    <row r="4420" spans="1:11" ht="42" customHeight="1">
      <c r="A4420" s="4" t="s">
        <v>9741</v>
      </c>
      <c r="B4420" s="5" t="s">
        <v>9742</v>
      </c>
      <c r="C4420" s="5" t="s">
        <v>42</v>
      </c>
      <c r="D4420" s="5" t="s">
        <v>43</v>
      </c>
      <c r="E4420" s="5" t="s">
        <v>702</v>
      </c>
      <c r="F4420" s="9">
        <v>43</v>
      </c>
      <c r="G4420" s="9">
        <v>434</v>
      </c>
      <c r="H4420" s="5" t="s">
        <v>20</v>
      </c>
      <c r="I4420" s="5" t="s">
        <v>9747</v>
      </c>
      <c r="J4420" s="12" t="str">
        <f>HYPERLINK("https://www.boe.es/gazeta/dias/1806/05/23/pdfs/GMD-1806-43.pdf#page=10","Abrir facsímil")</f>
        <v>Abrir facsímil</v>
      </c>
      <c r="K4420" s="15" t="s">
        <v>22</v>
      </c>
    </row>
    <row r="4421" spans="1:11" ht="42" customHeight="1">
      <c r="A4421" s="4" t="s">
        <v>9741</v>
      </c>
      <c r="B4421" s="5" t="s">
        <v>9742</v>
      </c>
      <c r="C4421" s="5" t="s">
        <v>36</v>
      </c>
      <c r="D4421" s="5" t="s">
        <v>37</v>
      </c>
      <c r="E4421" s="5" t="s">
        <v>859</v>
      </c>
      <c r="F4421" s="9">
        <v>63</v>
      </c>
      <c r="G4421" s="9">
        <v>664</v>
      </c>
      <c r="H4421" s="5" t="s">
        <v>20</v>
      </c>
      <c r="I4421" s="5" t="s">
        <v>9748</v>
      </c>
      <c r="J4421" s="12" t="str">
        <f>HYPERLINK("https://www.boe.es/gazeta/dias/1806/08/01/pdfs/GMD-1806-63.pdf#page=12","Abrir facsímil")</f>
        <v>Abrir facsímil</v>
      </c>
      <c r="K4421" s="15" t="s">
        <v>22</v>
      </c>
    </row>
    <row r="4422" spans="1:11" ht="42" customHeight="1">
      <c r="A4422" s="4" t="s">
        <v>9749</v>
      </c>
      <c r="B4422" s="5" t="s">
        <v>9750</v>
      </c>
      <c r="C4422" s="5" t="s">
        <v>31</v>
      </c>
      <c r="D4422" s="5" t="s">
        <v>32</v>
      </c>
      <c r="E4422" s="5" t="s">
        <v>400</v>
      </c>
      <c r="F4422" s="9">
        <v>22</v>
      </c>
      <c r="G4422" s="9">
        <v>212</v>
      </c>
      <c r="H4422" s="5" t="s">
        <v>20</v>
      </c>
      <c r="I4422" s="5" t="s">
        <v>9751</v>
      </c>
      <c r="J4422" s="12" t="str">
        <f>HYPERLINK("https://www.boe.es/gazeta/dias/1806/03/11/pdfs/GMD-1806-22.pdf#page=12","Abrir facsímil")</f>
        <v>Abrir facsímil</v>
      </c>
      <c r="K4422" s="15" t="s">
        <v>22</v>
      </c>
    </row>
    <row r="4423" spans="1:11" ht="42" customHeight="1">
      <c r="A4423" s="4" t="s">
        <v>9749</v>
      </c>
      <c r="B4423" s="5" t="s">
        <v>9750</v>
      </c>
      <c r="C4423" s="5" t="s">
        <v>69</v>
      </c>
      <c r="D4423" s="5" t="s">
        <v>70</v>
      </c>
      <c r="E4423" s="5" t="s">
        <v>501</v>
      </c>
      <c r="F4423" s="9">
        <v>39</v>
      </c>
      <c r="G4423" s="9">
        <v>379</v>
      </c>
      <c r="H4423" s="5" t="s">
        <v>20</v>
      </c>
      <c r="I4423" s="5" t="s">
        <v>9752</v>
      </c>
      <c r="J4423" s="12" t="str">
        <f>HYPERLINK("https://www.boe.es/gazeta/dias/1806/05/09/pdfs/GMD-1806-39.pdf#page=3","Abrir facsímil")</f>
        <v>Abrir facsímil</v>
      </c>
      <c r="K4423" s="15" t="s">
        <v>22</v>
      </c>
    </row>
    <row r="4424" spans="1:11" ht="42" customHeight="1">
      <c r="A4424" s="4" t="s">
        <v>9749</v>
      </c>
      <c r="B4424" s="5" t="s">
        <v>9750</v>
      </c>
      <c r="C4424" s="5" t="s">
        <v>69</v>
      </c>
      <c r="D4424" s="5" t="s">
        <v>70</v>
      </c>
      <c r="E4424" s="5" t="s">
        <v>82</v>
      </c>
      <c r="F4424" s="9">
        <v>48</v>
      </c>
      <c r="G4424" s="9">
        <v>492</v>
      </c>
      <c r="H4424" s="5" t="s">
        <v>20</v>
      </c>
      <c r="I4424" s="5" t="s">
        <v>9753</v>
      </c>
      <c r="J4424" s="12" t="str">
        <f>HYPERLINK("https://www.boe.es/gazeta/dias/1806/06/10/pdfs/GMD-1806-48.pdf#page=4","Abrir facsímil")</f>
        <v>Abrir facsímil</v>
      </c>
      <c r="K4424" s="15" t="s">
        <v>22</v>
      </c>
    </row>
    <row r="4425" spans="1:11" ht="42" customHeight="1">
      <c r="A4425" s="4" t="s">
        <v>9749</v>
      </c>
      <c r="B4425" s="5" t="s">
        <v>9750</v>
      </c>
      <c r="C4425" s="5" t="s">
        <v>42</v>
      </c>
      <c r="D4425" s="5" t="s">
        <v>43</v>
      </c>
      <c r="E4425" s="5" t="s">
        <v>1568</v>
      </c>
      <c r="F4425" s="9">
        <v>84</v>
      </c>
      <c r="G4425" s="9">
        <v>866</v>
      </c>
      <c r="H4425" s="5" t="s">
        <v>20</v>
      </c>
      <c r="I4425" s="5" t="s">
        <v>9754</v>
      </c>
      <c r="J4425" s="12" t="str">
        <f>HYPERLINK("https://www.boe.es/gazeta/dias/1806/10/14/pdfs/GMD-1806-84.pdf#page=2","Abrir facsímil")</f>
        <v>Abrir facsímil</v>
      </c>
      <c r="K4425" s="15" t="s">
        <v>22</v>
      </c>
    </row>
    <row r="4426" spans="1:11" ht="42" customHeight="1">
      <c r="A4426" s="4" t="s">
        <v>9749</v>
      </c>
      <c r="B4426" s="5" t="s">
        <v>9750</v>
      </c>
      <c r="C4426" s="5" t="s">
        <v>42</v>
      </c>
      <c r="D4426" s="5" t="s">
        <v>43</v>
      </c>
      <c r="E4426" s="5" t="s">
        <v>312</v>
      </c>
      <c r="F4426" s="9">
        <v>100</v>
      </c>
      <c r="G4426" s="9">
        <v>1059</v>
      </c>
      <c r="H4426" s="5" t="s">
        <v>20</v>
      </c>
      <c r="I4426" s="5" t="s">
        <v>9755</v>
      </c>
      <c r="J4426" s="12" t="str">
        <f>HYPERLINK("https://www.boe.es/gazeta/dias/1806/12/09/pdfs/GMD-1806-100.pdf#page=3","Abrir facsímil")</f>
        <v>Abrir facsímil</v>
      </c>
      <c r="K4426" s="15" t="s">
        <v>22</v>
      </c>
    </row>
    <row r="4427" spans="1:11" ht="42" customHeight="1">
      <c r="A4427" s="4" t="s">
        <v>9756</v>
      </c>
      <c r="B4427" s="5" t="s">
        <v>9756</v>
      </c>
      <c r="C4427" s="5" t="s">
        <v>31</v>
      </c>
      <c r="D4427" s="5" t="s">
        <v>32</v>
      </c>
      <c r="E4427" s="5" t="s">
        <v>297</v>
      </c>
      <c r="F4427" s="9">
        <v>94</v>
      </c>
      <c r="G4427" s="9">
        <v>989</v>
      </c>
      <c r="H4427" s="5" t="s">
        <v>20</v>
      </c>
      <c r="I4427" s="5" t="s">
        <v>9757</v>
      </c>
      <c r="J4427" s="12" t="str">
        <f>HYPERLINK("https://www.boe.es/gazeta/dias/1806/11/18/pdfs/GMD-1806-94.pdf#page=9","Abrir facsímil")</f>
        <v>Abrir facsímil</v>
      </c>
      <c r="K4427" s="15" t="s">
        <v>22</v>
      </c>
    </row>
    <row r="4428" spans="1:11" ht="42" customHeight="1">
      <c r="A4428" s="4" t="s">
        <v>9758</v>
      </c>
      <c r="B4428" s="5" t="s">
        <v>9759</v>
      </c>
      <c r="C4428" s="5" t="s">
        <v>706</v>
      </c>
      <c r="D4428" s="5" t="s">
        <v>707</v>
      </c>
      <c r="E4428" s="5" t="s">
        <v>195</v>
      </c>
      <c r="F4428" s="9" t="s">
        <v>708</v>
      </c>
      <c r="G4428" s="9">
        <v>41</v>
      </c>
      <c r="H4428" s="5" t="s">
        <v>20</v>
      </c>
      <c r="I4428" s="5" t="s">
        <v>9760</v>
      </c>
      <c r="J4428" s="12" t="str">
        <f>HYPERLINK("https://www.boe.es/gazeta/dias/1806/01/14/pdfs/GMD-1806-5E.pdf#page=1","Abrir facsímil")</f>
        <v>Abrir facsímil</v>
      </c>
      <c r="K4428" s="15" t="s">
        <v>22</v>
      </c>
    </row>
    <row r="4429" spans="1:11" ht="42" customHeight="1">
      <c r="A4429" s="4" t="s">
        <v>9758</v>
      </c>
      <c r="B4429" s="5" t="s">
        <v>9759</v>
      </c>
      <c r="C4429" s="5" t="s">
        <v>69</v>
      </c>
      <c r="D4429" s="5" t="s">
        <v>70</v>
      </c>
      <c r="E4429" s="5" t="s">
        <v>100</v>
      </c>
      <c r="F4429" s="9">
        <v>7</v>
      </c>
      <c r="G4429" s="9">
        <v>60</v>
      </c>
      <c r="H4429" s="5" t="s">
        <v>20</v>
      </c>
      <c r="I4429" s="5" t="s">
        <v>9761</v>
      </c>
      <c r="J4429" s="12" t="str">
        <f>HYPERLINK("https://www.boe.es/gazeta/dias/1806/01/21/pdfs/GMD-1806-7.pdf#page=4","Abrir facsímil")</f>
        <v>Abrir facsímil</v>
      </c>
      <c r="K4429" s="15" t="s">
        <v>22</v>
      </c>
    </row>
    <row r="4430" spans="1:11" ht="42" customHeight="1">
      <c r="A4430" s="4" t="s">
        <v>9758</v>
      </c>
      <c r="B4430" s="5" t="s">
        <v>9759</v>
      </c>
      <c r="C4430" s="5" t="s">
        <v>69</v>
      </c>
      <c r="D4430" s="5" t="s">
        <v>70</v>
      </c>
      <c r="E4430" s="5" t="s">
        <v>124</v>
      </c>
      <c r="F4430" s="9">
        <v>25</v>
      </c>
      <c r="G4430" s="9">
        <v>240</v>
      </c>
      <c r="H4430" s="5" t="s">
        <v>20</v>
      </c>
      <c r="I4430" s="5" t="s">
        <v>9762</v>
      </c>
      <c r="J4430" s="12" t="str">
        <f>HYPERLINK("https://www.boe.es/gazeta/dias/1806/03/21/pdfs/GMD-1806-25.pdf#page=4","Abrir facsímil")</f>
        <v>Abrir facsímil</v>
      </c>
      <c r="K4430" s="15" t="s">
        <v>22</v>
      </c>
    </row>
    <row r="4431" spans="1:11" ht="42" customHeight="1">
      <c r="A4431" s="4" t="s">
        <v>9758</v>
      </c>
      <c r="B4431" s="5" t="s">
        <v>9759</v>
      </c>
      <c r="C4431" s="5" t="s">
        <v>17</v>
      </c>
      <c r="D4431" s="5" t="s">
        <v>18</v>
      </c>
      <c r="E4431" s="5" t="s">
        <v>689</v>
      </c>
      <c r="F4431" s="9">
        <v>37</v>
      </c>
      <c r="G4431" s="9">
        <v>355</v>
      </c>
      <c r="H4431" s="5" t="s">
        <v>20</v>
      </c>
      <c r="I4431" s="5" t="s">
        <v>9763</v>
      </c>
      <c r="J4431" s="12" t="str">
        <f>HYPERLINK("https://www.boe.es/gazeta/dias/1806/05/02/pdfs/GMD-1806-37.pdf#page=3","Abrir facsímil")</f>
        <v>Abrir facsímil</v>
      </c>
      <c r="K4431" s="15" t="s">
        <v>22</v>
      </c>
    </row>
    <row r="4432" spans="1:11" ht="42" customHeight="1">
      <c r="A4432" s="4" t="s">
        <v>9758</v>
      </c>
      <c r="B4432" s="5" t="s">
        <v>9759</v>
      </c>
      <c r="C4432" s="5" t="s">
        <v>17</v>
      </c>
      <c r="D4432" s="5" t="s">
        <v>18</v>
      </c>
      <c r="E4432" s="5" t="s">
        <v>689</v>
      </c>
      <c r="F4432" s="9">
        <v>37</v>
      </c>
      <c r="G4432" s="9">
        <v>356</v>
      </c>
      <c r="H4432" s="5" t="s">
        <v>20</v>
      </c>
      <c r="I4432" s="5" t="s">
        <v>9764</v>
      </c>
      <c r="J4432" s="12" t="str">
        <f>HYPERLINK("https://www.boe.es/gazeta/dias/1806/05/02/pdfs/GMD-1806-37.pdf#page=4","Abrir facsímil")</f>
        <v>Abrir facsímil</v>
      </c>
      <c r="K4432" s="15" t="s">
        <v>22</v>
      </c>
    </row>
    <row r="4433" spans="1:11" ht="42" customHeight="1">
      <c r="A4433" s="4" t="s">
        <v>9758</v>
      </c>
      <c r="B4433" s="5" t="s">
        <v>9759</v>
      </c>
      <c r="C4433" s="5" t="s">
        <v>69</v>
      </c>
      <c r="D4433" s="5" t="s">
        <v>70</v>
      </c>
      <c r="E4433" s="5" t="s">
        <v>309</v>
      </c>
      <c r="F4433" s="9">
        <v>41</v>
      </c>
      <c r="G4433" s="9">
        <v>401</v>
      </c>
      <c r="H4433" s="5" t="s">
        <v>20</v>
      </c>
      <c r="I4433" s="5" t="s">
        <v>9765</v>
      </c>
      <c r="J4433" s="12" t="str">
        <f>HYPERLINK("https://www.boe.es/gazeta/dias/1806/05/16/pdfs/GMD-1806-41.pdf#page=1","Abrir facsímil")</f>
        <v>Abrir facsímil</v>
      </c>
      <c r="K4433" s="15" t="s">
        <v>22</v>
      </c>
    </row>
    <row r="4434" spans="1:11" ht="42" customHeight="1">
      <c r="A4434" s="4" t="s">
        <v>9758</v>
      </c>
      <c r="B4434" s="5" t="s">
        <v>9759</v>
      </c>
      <c r="C4434" s="5" t="s">
        <v>69</v>
      </c>
      <c r="D4434" s="5" t="s">
        <v>70</v>
      </c>
      <c r="E4434" s="5" t="s">
        <v>185</v>
      </c>
      <c r="F4434" s="9">
        <v>46</v>
      </c>
      <c r="G4434" s="9">
        <v>463</v>
      </c>
      <c r="H4434" s="5" t="s">
        <v>20</v>
      </c>
      <c r="I4434" s="5" t="s">
        <v>9766</v>
      </c>
      <c r="J4434" s="12" t="str">
        <f>HYPERLINK("https://www.boe.es/gazeta/dias/1806/06/03/pdfs/GMD-1806-46.pdf#page=3","Abrir facsímil")</f>
        <v>Abrir facsímil</v>
      </c>
      <c r="K4434" s="15" t="s">
        <v>22</v>
      </c>
    </row>
    <row r="4435" spans="1:11" ht="42" customHeight="1">
      <c r="A4435" s="4" t="s">
        <v>9758</v>
      </c>
      <c r="B4435" s="5" t="s">
        <v>9759</v>
      </c>
      <c r="C4435" s="5" t="s">
        <v>69</v>
      </c>
      <c r="D4435" s="5" t="s">
        <v>70</v>
      </c>
      <c r="E4435" s="5" t="s">
        <v>540</v>
      </c>
      <c r="F4435" s="9">
        <v>51</v>
      </c>
      <c r="G4435" s="9">
        <v>524</v>
      </c>
      <c r="H4435" s="5" t="s">
        <v>20</v>
      </c>
      <c r="I4435" s="5" t="s">
        <v>9767</v>
      </c>
      <c r="J4435" s="12" t="str">
        <f>HYPERLINK("https://www.boe.es/gazeta/dias/1806/06/20/pdfs/GMD-1806-51.pdf#page=4","Abrir facsímil")</f>
        <v>Abrir facsímil</v>
      </c>
      <c r="K4435" s="15" t="s">
        <v>22</v>
      </c>
    </row>
    <row r="4436" spans="1:11" ht="42" customHeight="1">
      <c r="A4436" s="4" t="s">
        <v>9758</v>
      </c>
      <c r="B4436" s="5" t="s">
        <v>9759</v>
      </c>
      <c r="C4436" s="5" t="s">
        <v>69</v>
      </c>
      <c r="D4436" s="5" t="s">
        <v>70</v>
      </c>
      <c r="E4436" s="5" t="s">
        <v>86</v>
      </c>
      <c r="F4436" s="9">
        <v>53</v>
      </c>
      <c r="G4436" s="9">
        <v>551</v>
      </c>
      <c r="H4436" s="5" t="s">
        <v>20</v>
      </c>
      <c r="I4436" s="5" t="s">
        <v>9768</v>
      </c>
      <c r="J4436" s="12" t="str">
        <f>HYPERLINK("https://www.boe.es/gazeta/dias/1806/06/27/pdfs/GMD-1806-53.pdf#page=7","Abrir facsímil")</f>
        <v>Abrir facsímil</v>
      </c>
      <c r="K4436" s="15" t="s">
        <v>22</v>
      </c>
    </row>
    <row r="4437" spans="1:11" ht="42" customHeight="1">
      <c r="A4437" s="4" t="s">
        <v>9758</v>
      </c>
      <c r="B4437" s="5" t="s">
        <v>9759</v>
      </c>
      <c r="C4437" s="5" t="s">
        <v>17</v>
      </c>
      <c r="D4437" s="5" t="s">
        <v>18</v>
      </c>
      <c r="E4437" s="5" t="s">
        <v>1005</v>
      </c>
      <c r="F4437" s="9">
        <v>76</v>
      </c>
      <c r="G4437" s="9">
        <v>786</v>
      </c>
      <c r="H4437" s="5" t="s">
        <v>20</v>
      </c>
      <c r="I4437" s="5" t="s">
        <v>9769</v>
      </c>
      <c r="J4437" s="12" t="str">
        <f>HYPERLINK("https://www.boe.es/gazeta/dias/1806/09/16/pdfs/GMD-1806-76.pdf#page=6","Abrir facsímil")</f>
        <v>Abrir facsímil</v>
      </c>
      <c r="K4437" s="15" t="s">
        <v>22</v>
      </c>
    </row>
    <row r="4438" spans="1:11" ht="42" customHeight="1">
      <c r="A4438" s="4" t="s">
        <v>9758</v>
      </c>
      <c r="B4438" s="5" t="s">
        <v>9759</v>
      </c>
      <c r="C4438" s="5" t="s">
        <v>75</v>
      </c>
      <c r="D4438" s="5" t="s">
        <v>43</v>
      </c>
      <c r="E4438" s="5" t="s">
        <v>348</v>
      </c>
      <c r="F4438" s="9">
        <v>88</v>
      </c>
      <c r="G4438" s="9">
        <v>907</v>
      </c>
      <c r="H4438" s="5" t="s">
        <v>20</v>
      </c>
      <c r="I4438" s="5" t="s">
        <v>9770</v>
      </c>
      <c r="J4438" s="12" t="str">
        <f>HYPERLINK("https://www.boe.es/gazeta/dias/1806/10/28/pdfs/GMD-1806-88.pdf#page=3","Abrir facsímil")</f>
        <v>Abrir facsímil</v>
      </c>
      <c r="K4438" s="15" t="s">
        <v>22</v>
      </c>
    </row>
    <row r="4439" spans="1:11" ht="42" customHeight="1">
      <c r="A4439" s="4" t="s">
        <v>9758</v>
      </c>
      <c r="B4439" s="5" t="s">
        <v>9759</v>
      </c>
      <c r="C4439" s="5" t="s">
        <v>69</v>
      </c>
      <c r="D4439" s="5" t="s">
        <v>70</v>
      </c>
      <c r="E4439" s="5" t="s">
        <v>554</v>
      </c>
      <c r="F4439" s="9">
        <v>90</v>
      </c>
      <c r="G4439" s="9">
        <v>929</v>
      </c>
      <c r="H4439" s="5" t="s">
        <v>20</v>
      </c>
      <c r="I4439" s="5" t="s">
        <v>9771</v>
      </c>
      <c r="J4439" s="12" t="str">
        <f>HYPERLINK("https://www.boe.es/gazeta/dias/1806/11/04/pdfs/GMD-1806-90.pdf#page=5","Abrir facsímil")</f>
        <v>Abrir facsímil</v>
      </c>
      <c r="K4439" s="15" t="s">
        <v>22</v>
      </c>
    </row>
    <row r="4440" spans="1:11" ht="42" customHeight="1">
      <c r="A4440" s="4" t="s">
        <v>9758</v>
      </c>
      <c r="B4440" s="5" t="s">
        <v>9759</v>
      </c>
      <c r="C4440" s="5" t="s">
        <v>69</v>
      </c>
      <c r="D4440" s="5" t="s">
        <v>70</v>
      </c>
      <c r="E4440" s="5" t="s">
        <v>554</v>
      </c>
      <c r="F4440" s="9">
        <v>90</v>
      </c>
      <c r="G4440" s="9">
        <v>931</v>
      </c>
      <c r="H4440" s="5" t="s">
        <v>20</v>
      </c>
      <c r="I4440" s="5" t="s">
        <v>9772</v>
      </c>
      <c r="J4440" s="12" t="str">
        <f>HYPERLINK("https://www.boe.es/gazeta/dias/1806/11/04/pdfs/GMD-1806-90.pdf#page=7","Abrir facsímil")</f>
        <v>Abrir facsímil</v>
      </c>
      <c r="K4440" s="15" t="s">
        <v>22</v>
      </c>
    </row>
    <row r="4441" spans="1:11" ht="42" customHeight="1">
      <c r="A4441" s="4" t="s">
        <v>9758</v>
      </c>
      <c r="B4441" s="5" t="s">
        <v>9759</v>
      </c>
      <c r="C4441" s="5" t="s">
        <v>69</v>
      </c>
      <c r="D4441" s="5" t="s">
        <v>70</v>
      </c>
      <c r="E4441" s="5" t="s">
        <v>38</v>
      </c>
      <c r="F4441" s="9">
        <v>92</v>
      </c>
      <c r="G4441" s="9">
        <v>950</v>
      </c>
      <c r="H4441" s="5" t="s">
        <v>20</v>
      </c>
      <c r="I4441" s="5" t="s">
        <v>9773</v>
      </c>
      <c r="J4441" s="12" t="str">
        <f>HYPERLINK("https://www.boe.es/gazeta/dias/1806/11/11/pdfs/GMD-1806-92.pdf#page=2","Abrir facsímil")</f>
        <v>Abrir facsímil</v>
      </c>
      <c r="K4441" s="15" t="s">
        <v>22</v>
      </c>
    </row>
    <row r="4442" spans="1:11" ht="42" customHeight="1">
      <c r="A4442" s="4" t="s">
        <v>9758</v>
      </c>
      <c r="B4442" s="5" t="s">
        <v>9759</v>
      </c>
      <c r="C4442" s="5" t="s">
        <v>36</v>
      </c>
      <c r="D4442" s="5" t="s">
        <v>37</v>
      </c>
      <c r="E4442" s="5" t="s">
        <v>38</v>
      </c>
      <c r="F4442" s="9">
        <v>92</v>
      </c>
      <c r="G4442" s="9">
        <v>952</v>
      </c>
      <c r="H4442" s="5" t="s">
        <v>20</v>
      </c>
      <c r="I4442" s="5" t="s">
        <v>9774</v>
      </c>
      <c r="J4442" s="12" t="str">
        <f>HYPERLINK("https://www.boe.es/gazeta/dias/1806/11/11/pdfs/GMD-1806-92.pdf#page=4","Abrir facsímil")</f>
        <v>Abrir facsímil</v>
      </c>
      <c r="K4442" s="15" t="s">
        <v>22</v>
      </c>
    </row>
    <row r="4443" spans="1:11" ht="42" customHeight="1">
      <c r="A4443" s="4" t="s">
        <v>9758</v>
      </c>
      <c r="B4443" s="5" t="s">
        <v>9759</v>
      </c>
      <c r="C4443" s="5" t="s">
        <v>69</v>
      </c>
      <c r="D4443" s="5" t="s">
        <v>70</v>
      </c>
      <c r="E4443" s="5" t="s">
        <v>570</v>
      </c>
      <c r="F4443" s="9">
        <v>93</v>
      </c>
      <c r="G4443" s="9">
        <v>972</v>
      </c>
      <c r="H4443" s="5" t="s">
        <v>20</v>
      </c>
      <c r="I4443" s="5" t="s">
        <v>9775</v>
      </c>
      <c r="J4443" s="12" t="str">
        <f>HYPERLINK("https://www.boe.es/gazeta/dias/1806/11/14/pdfs/GMD-1806-93.pdf#page=8","Abrir facsímil")</f>
        <v>Abrir facsímil</v>
      </c>
      <c r="K4443" s="15" t="s">
        <v>22</v>
      </c>
    </row>
    <row r="4444" spans="1:11" ht="42" customHeight="1">
      <c r="A4444" s="4" t="s">
        <v>9758</v>
      </c>
      <c r="B4444" s="5" t="s">
        <v>9759</v>
      </c>
      <c r="C4444" s="5" t="s">
        <v>69</v>
      </c>
      <c r="D4444" s="5" t="s">
        <v>70</v>
      </c>
      <c r="E4444" s="5" t="s">
        <v>657</v>
      </c>
      <c r="F4444" s="9">
        <v>96</v>
      </c>
      <c r="G4444" s="9">
        <v>1015</v>
      </c>
      <c r="H4444" s="5" t="s">
        <v>20</v>
      </c>
      <c r="I4444" s="5" t="s">
        <v>9776</v>
      </c>
      <c r="J4444" s="12" t="str">
        <f>HYPERLINK("https://www.boe.es/gazeta/dias/1806/11/25/pdfs/GMD-1806-96.pdf#page=7","Abrir facsímil")</f>
        <v>Abrir facsímil</v>
      </c>
      <c r="K4444" s="15" t="s">
        <v>22</v>
      </c>
    </row>
    <row r="4445" spans="1:11" ht="42" customHeight="1">
      <c r="A4445" s="4" t="s">
        <v>9758</v>
      </c>
      <c r="B4445" s="5" t="s">
        <v>9759</v>
      </c>
      <c r="C4445" s="5" t="s">
        <v>17</v>
      </c>
      <c r="D4445" s="5" t="s">
        <v>18</v>
      </c>
      <c r="E4445" s="5" t="s">
        <v>76</v>
      </c>
      <c r="F4445" s="9">
        <v>98</v>
      </c>
      <c r="G4445" s="9">
        <v>1035</v>
      </c>
      <c r="H4445" s="5" t="s">
        <v>20</v>
      </c>
      <c r="I4445" s="5" t="s">
        <v>9777</v>
      </c>
      <c r="J4445" s="12" t="str">
        <f>HYPERLINK("https://www.boe.es/gazeta/dias/1806/12/02/pdfs/GMD-1806-98.pdf#page=3","Abrir facsímil")</f>
        <v>Abrir facsímil</v>
      </c>
      <c r="K4445" s="15" t="s">
        <v>22</v>
      </c>
    </row>
    <row r="4446" spans="1:11" ht="42" customHeight="1">
      <c r="A4446" s="4" t="s">
        <v>9758</v>
      </c>
      <c r="B4446" s="5" t="s">
        <v>9759</v>
      </c>
      <c r="C4446" s="5" t="s">
        <v>17</v>
      </c>
      <c r="D4446" s="5" t="s">
        <v>18</v>
      </c>
      <c r="E4446" s="5" t="s">
        <v>76</v>
      </c>
      <c r="F4446" s="9">
        <v>98</v>
      </c>
      <c r="G4446" s="9">
        <v>1037</v>
      </c>
      <c r="H4446" s="5" t="s">
        <v>20</v>
      </c>
      <c r="I4446" s="5" t="s">
        <v>9778</v>
      </c>
      <c r="J4446" s="12" t="str">
        <f>HYPERLINK("https://www.boe.es/gazeta/dias/1806/12/02/pdfs/GMD-1806-98.pdf#page=5","Abrir facsímil")</f>
        <v>Abrir facsímil</v>
      </c>
      <c r="K4446" s="15" t="s">
        <v>22</v>
      </c>
    </row>
    <row r="4447" spans="1:11" ht="42" customHeight="1">
      <c r="A4447" s="4" t="s">
        <v>9758</v>
      </c>
      <c r="B4447" s="5" t="s">
        <v>9759</v>
      </c>
      <c r="C4447" s="5" t="s">
        <v>31</v>
      </c>
      <c r="D4447" s="5" t="s">
        <v>32</v>
      </c>
      <c r="E4447" s="5" t="s">
        <v>76</v>
      </c>
      <c r="F4447" s="9">
        <v>98</v>
      </c>
      <c r="G4447" s="9">
        <v>1040</v>
      </c>
      <c r="H4447" s="5" t="s">
        <v>20</v>
      </c>
      <c r="I4447" s="5" t="s">
        <v>9779</v>
      </c>
      <c r="J4447" s="12" t="str">
        <f>HYPERLINK("https://www.boe.es/gazeta/dias/1806/12/02/pdfs/GMD-1806-98.pdf#page=8","Abrir facsímil")</f>
        <v>Abrir facsímil</v>
      </c>
      <c r="K4447" s="15" t="s">
        <v>22</v>
      </c>
    </row>
    <row r="4448" spans="1:11" ht="42" customHeight="1">
      <c r="A4448" s="4" t="s">
        <v>9758</v>
      </c>
      <c r="B4448" s="5" t="s">
        <v>9759</v>
      </c>
      <c r="C4448" s="5" t="s">
        <v>69</v>
      </c>
      <c r="D4448" s="5" t="s">
        <v>70</v>
      </c>
      <c r="E4448" s="5" t="s">
        <v>181</v>
      </c>
      <c r="F4448" s="9">
        <v>99</v>
      </c>
      <c r="G4448" s="9">
        <v>1049</v>
      </c>
      <c r="H4448" s="5" t="s">
        <v>20</v>
      </c>
      <c r="I4448" s="5" t="s">
        <v>9780</v>
      </c>
      <c r="J4448" s="12" t="str">
        <f>HYPERLINK("https://www.boe.es/gazeta/dias/1806/12/05/pdfs/GMD-1806-99.pdf#page=5","Abrir facsímil")</f>
        <v>Abrir facsímil</v>
      </c>
      <c r="K4448" s="15" t="s">
        <v>22</v>
      </c>
    </row>
    <row r="4449" spans="1:11" ht="42" customHeight="1">
      <c r="A4449" s="4" t="s">
        <v>9758</v>
      </c>
      <c r="B4449" s="5" t="s">
        <v>9759</v>
      </c>
      <c r="C4449" s="5" t="s">
        <v>69</v>
      </c>
      <c r="D4449" s="5" t="s">
        <v>70</v>
      </c>
      <c r="E4449" s="5" t="s">
        <v>312</v>
      </c>
      <c r="F4449" s="9">
        <v>100</v>
      </c>
      <c r="G4449" s="9">
        <v>1061</v>
      </c>
      <c r="H4449" s="5" t="s">
        <v>20</v>
      </c>
      <c r="I4449" s="5" t="s">
        <v>9781</v>
      </c>
      <c r="J4449" s="12" t="str">
        <f>HYPERLINK("https://www.boe.es/gazeta/dias/1806/12/09/pdfs/GMD-1806-100.pdf#page=5","Abrir facsímil")</f>
        <v>Abrir facsímil</v>
      </c>
      <c r="K4449" s="15" t="s">
        <v>22</v>
      </c>
    </row>
    <row r="4450" spans="1:11" ht="42" customHeight="1">
      <c r="A4450" s="4" t="s">
        <v>9782</v>
      </c>
      <c r="B4450" s="5" t="s">
        <v>9782</v>
      </c>
      <c r="C4450" s="5" t="s">
        <v>17</v>
      </c>
      <c r="D4450" s="5" t="s">
        <v>18</v>
      </c>
      <c r="E4450" s="5" t="s">
        <v>494</v>
      </c>
      <c r="F4450" s="9">
        <v>69</v>
      </c>
      <c r="G4450" s="9">
        <v>721</v>
      </c>
      <c r="H4450" s="5" t="s">
        <v>20</v>
      </c>
      <c r="I4450" s="5" t="s">
        <v>9783</v>
      </c>
      <c r="J4450" s="12" t="str">
        <f>HYPERLINK("https://www.boe.es/gazeta/dias/1806/08/22/pdfs/GMD-1806-69.pdf#page=9","Abrir facsímil")</f>
        <v>Abrir facsímil</v>
      </c>
      <c r="K4450" s="15" t="s">
        <v>22</v>
      </c>
    </row>
    <row r="4451" spans="1:11" ht="42" customHeight="1">
      <c r="A4451" s="4" t="s">
        <v>9784</v>
      </c>
      <c r="B4451" s="5" t="s">
        <v>9784</v>
      </c>
      <c r="C4451" s="5" t="s">
        <v>31</v>
      </c>
      <c r="D4451" s="5" t="s">
        <v>32</v>
      </c>
      <c r="E4451" s="5" t="s">
        <v>28</v>
      </c>
      <c r="F4451" s="9">
        <v>102</v>
      </c>
      <c r="G4451" s="9">
        <v>1085</v>
      </c>
      <c r="H4451" s="5" t="s">
        <v>20</v>
      </c>
      <c r="I4451" s="5" t="s">
        <v>9785</v>
      </c>
      <c r="J4451" s="12" t="str">
        <f>HYPERLINK("https://www.boe.es/gazeta/dias/1806/12/16/pdfs/GMD-1806-102.pdf#page=9","Abrir facsímil")</f>
        <v>Abrir facsímil</v>
      </c>
      <c r="K4451" s="15" t="s">
        <v>22</v>
      </c>
    </row>
    <row r="4452" spans="1:11" ht="42" customHeight="1">
      <c r="A4452" s="4" t="s">
        <v>9786</v>
      </c>
      <c r="B4452" s="5" t="s">
        <v>9786</v>
      </c>
      <c r="C4452" s="5" t="s">
        <v>69</v>
      </c>
      <c r="D4452" s="5" t="s">
        <v>70</v>
      </c>
      <c r="E4452" s="5" t="s">
        <v>59</v>
      </c>
      <c r="F4452" s="9">
        <v>21</v>
      </c>
      <c r="G4452" s="9">
        <v>189</v>
      </c>
      <c r="H4452" s="5" t="s">
        <v>20</v>
      </c>
      <c r="I4452" s="5" t="s">
        <v>9787</v>
      </c>
      <c r="J4452" s="12" t="str">
        <f>HYPERLINK("https://www.boe.es/gazeta/dias/1806/03/07/pdfs/GMD-1806-21.pdf#page=1","Abrir facsímil")</f>
        <v>Abrir facsímil</v>
      </c>
      <c r="K4452" s="15" t="s">
        <v>22</v>
      </c>
    </row>
    <row r="4453" spans="1:11" ht="42" customHeight="1">
      <c r="A4453" s="4" t="s">
        <v>9786</v>
      </c>
      <c r="B4453" s="5" t="s">
        <v>9786</v>
      </c>
      <c r="C4453" s="5" t="s">
        <v>69</v>
      </c>
      <c r="D4453" s="5" t="s">
        <v>70</v>
      </c>
      <c r="E4453" s="5" t="s">
        <v>44</v>
      </c>
      <c r="F4453" s="9">
        <v>42</v>
      </c>
      <c r="G4453" s="9">
        <v>413</v>
      </c>
      <c r="H4453" s="5" t="s">
        <v>20</v>
      </c>
      <c r="I4453" s="5" t="s">
        <v>9788</v>
      </c>
      <c r="J4453" s="12" t="str">
        <f>HYPERLINK("https://www.boe.es/gazeta/dias/1806/05/20/pdfs/GMD-1806-42.pdf#page=1","Abrir facsímil")</f>
        <v>Abrir facsímil</v>
      </c>
      <c r="K4453" s="15" t="s">
        <v>22</v>
      </c>
    </row>
    <row r="4454" spans="1:11" ht="42" customHeight="1">
      <c r="A4454" s="4" t="s">
        <v>9789</v>
      </c>
      <c r="B4454" s="5" t="s">
        <v>9789</v>
      </c>
      <c r="C4454" s="5" t="s">
        <v>75</v>
      </c>
      <c r="D4454" s="5" t="s">
        <v>43</v>
      </c>
      <c r="E4454" s="5" t="s">
        <v>220</v>
      </c>
      <c r="F4454" s="9">
        <v>24</v>
      </c>
      <c r="G4454" s="9">
        <v>235</v>
      </c>
      <c r="H4454" s="5" t="s">
        <v>20</v>
      </c>
      <c r="I4454" s="5" t="s">
        <v>9790</v>
      </c>
      <c r="J4454" s="12" t="str">
        <f>HYPERLINK("https://www.boe.es/gazeta/dias/1806/03/18/pdfs/GMD-1806-24.pdf#page=11","Abrir facsímil")</f>
        <v>Abrir facsímil</v>
      </c>
      <c r="K4454" s="15" t="s">
        <v>22</v>
      </c>
    </row>
    <row r="4455" spans="1:11" ht="42" customHeight="1">
      <c r="A4455" s="4" t="s">
        <v>9791</v>
      </c>
      <c r="B4455" s="5" t="s">
        <v>9792</v>
      </c>
      <c r="C4455" s="5" t="s">
        <v>42</v>
      </c>
      <c r="D4455" s="5" t="s">
        <v>43</v>
      </c>
      <c r="E4455" s="5" t="s">
        <v>780</v>
      </c>
      <c r="F4455" s="9">
        <v>33</v>
      </c>
      <c r="G4455" s="9">
        <v>326</v>
      </c>
      <c r="H4455" s="5" t="s">
        <v>20</v>
      </c>
      <c r="I4455" s="5" t="s">
        <v>9793</v>
      </c>
      <c r="J4455" s="12" t="str">
        <f>HYPERLINK("https://www.boe.es/gazeta/dias/1806/04/18/pdfs/GMD-1806-33.pdf#page=6","Abrir facsímil")</f>
        <v>Abrir facsímil</v>
      </c>
      <c r="K4455" s="15" t="s">
        <v>22</v>
      </c>
    </row>
    <row r="4456" spans="1:11" ht="42" customHeight="1">
      <c r="A4456" s="4" t="s">
        <v>9791</v>
      </c>
      <c r="B4456" s="5" t="s">
        <v>9792</v>
      </c>
      <c r="C4456" s="5" t="s">
        <v>31</v>
      </c>
      <c r="D4456" s="5" t="s">
        <v>32</v>
      </c>
      <c r="E4456" s="5" t="s">
        <v>44</v>
      </c>
      <c r="F4456" s="9">
        <v>42</v>
      </c>
      <c r="G4456" s="9">
        <v>420</v>
      </c>
      <c r="H4456" s="5" t="s">
        <v>20</v>
      </c>
      <c r="I4456" s="5" t="s">
        <v>9794</v>
      </c>
      <c r="J4456" s="12" t="str">
        <f>HYPERLINK("https://www.boe.es/gazeta/dias/1806/05/20/pdfs/GMD-1806-42.pdf#page=8","Abrir facsímil")</f>
        <v>Abrir facsímil</v>
      </c>
      <c r="K4456" s="15" t="s">
        <v>22</v>
      </c>
    </row>
    <row r="4457" spans="1:11" ht="42" customHeight="1">
      <c r="A4457" s="4" t="s">
        <v>9795</v>
      </c>
      <c r="B4457" s="5" t="s">
        <v>9796</v>
      </c>
      <c r="C4457" s="5" t="s">
        <v>75</v>
      </c>
      <c r="D4457" s="5" t="s">
        <v>43</v>
      </c>
      <c r="E4457" s="5" t="s">
        <v>96</v>
      </c>
      <c r="F4457" s="9">
        <v>62</v>
      </c>
      <c r="G4457" s="9">
        <v>649</v>
      </c>
      <c r="H4457" s="5" t="s">
        <v>20</v>
      </c>
      <c r="I4457" s="5" t="s">
        <v>9797</v>
      </c>
      <c r="J4457" s="12" t="str">
        <f>HYPERLINK("https://www.boe.es/gazeta/dias/1806/07/29/pdfs/GMD-1806-62.pdf#page=9","Abrir facsímil")</f>
        <v>Abrir facsímil</v>
      </c>
      <c r="K4457" s="15" t="s">
        <v>22</v>
      </c>
    </row>
    <row r="4458" spans="1:11" ht="42" customHeight="1">
      <c r="A4458" s="4" t="s">
        <v>9798</v>
      </c>
      <c r="B4458" s="5" t="s">
        <v>9799</v>
      </c>
      <c r="C4458" s="5" t="s">
        <v>17</v>
      </c>
      <c r="D4458" s="5" t="s">
        <v>18</v>
      </c>
      <c r="E4458" s="5" t="s">
        <v>580</v>
      </c>
      <c r="F4458" s="9">
        <v>23</v>
      </c>
      <c r="G4458" s="9">
        <v>220</v>
      </c>
      <c r="H4458" s="5" t="s">
        <v>20</v>
      </c>
      <c r="I4458" s="5" t="s">
        <v>9800</v>
      </c>
      <c r="J4458" s="12" t="str">
        <f>HYPERLINK("https://www.boe.es/gazeta/dias/1806/03/14/pdfs/GMD-1806-23.pdf#page=8","Abrir facsímil")</f>
        <v>Abrir facsímil</v>
      </c>
      <c r="K4458" s="15" t="s">
        <v>22</v>
      </c>
    </row>
    <row r="4459" spans="1:11" ht="42" customHeight="1">
      <c r="A4459" s="4" t="s">
        <v>9801</v>
      </c>
      <c r="B4459" s="5" t="s">
        <v>9802</v>
      </c>
      <c r="C4459" s="5" t="s">
        <v>31</v>
      </c>
      <c r="D4459" s="5" t="s">
        <v>32</v>
      </c>
      <c r="E4459" s="5" t="s">
        <v>327</v>
      </c>
      <c r="F4459" s="9">
        <v>104</v>
      </c>
      <c r="G4459" s="9">
        <v>1110</v>
      </c>
      <c r="H4459" s="5" t="s">
        <v>20</v>
      </c>
      <c r="I4459" s="5" t="s">
        <v>9803</v>
      </c>
      <c r="J4459" s="12" t="str">
        <f>HYPERLINK("https://www.boe.es/gazeta/dias/1806/12/23/pdfs/GMD-1806-104.pdf#page=10","Abrir facsímil")</f>
        <v>Abrir facsímil</v>
      </c>
      <c r="K4459" s="15" t="s">
        <v>22</v>
      </c>
    </row>
    <row r="4460" spans="1:11" ht="42" customHeight="1">
      <c r="A4460" s="4" t="s">
        <v>9804</v>
      </c>
      <c r="B4460" s="5" t="s">
        <v>9804</v>
      </c>
      <c r="C4460" s="5" t="s">
        <v>36</v>
      </c>
      <c r="D4460" s="5" t="s">
        <v>37</v>
      </c>
      <c r="E4460" s="5" t="s">
        <v>279</v>
      </c>
      <c r="F4460" s="9">
        <v>52</v>
      </c>
      <c r="G4460" s="9">
        <v>544</v>
      </c>
      <c r="H4460" s="5" t="s">
        <v>20</v>
      </c>
      <c r="I4460" s="5" t="s">
        <v>9805</v>
      </c>
      <c r="J4460" s="12" t="str">
        <f>HYPERLINK("https://www.boe.es/gazeta/dias/1806/06/24/pdfs/GMD-1806-52.pdf#page=12","Abrir facsímil")</f>
        <v>Abrir facsímil</v>
      </c>
      <c r="K4460" s="15" t="s">
        <v>22</v>
      </c>
    </row>
    <row r="4461" spans="1:11" ht="42" customHeight="1">
      <c r="A4461" s="4" t="s">
        <v>9806</v>
      </c>
      <c r="B4461" s="5" t="s">
        <v>9807</v>
      </c>
      <c r="C4461" s="5" t="s">
        <v>17</v>
      </c>
      <c r="D4461" s="5" t="s">
        <v>18</v>
      </c>
      <c r="E4461" s="5" t="s">
        <v>191</v>
      </c>
      <c r="F4461" s="9">
        <v>103</v>
      </c>
      <c r="G4461" s="9">
        <v>1098</v>
      </c>
      <c r="H4461" s="5" t="s">
        <v>20</v>
      </c>
      <c r="I4461" s="5" t="s">
        <v>9808</v>
      </c>
      <c r="J4461" s="12" t="str">
        <f>HYPERLINK("https://www.boe.es/gazeta/dias/1806/12/19/pdfs/GMD-1806-103.pdf#page=10","Abrir facsímil")</f>
        <v>Abrir facsímil</v>
      </c>
      <c r="K4461" s="15" t="s">
        <v>22</v>
      </c>
    </row>
    <row r="4462" spans="1:11" ht="42" customHeight="1">
      <c r="A4462" s="4" t="s">
        <v>9809</v>
      </c>
      <c r="B4462" s="5" t="s">
        <v>9810</v>
      </c>
      <c r="C4462" s="5" t="s">
        <v>17</v>
      </c>
      <c r="D4462" s="5" t="s">
        <v>18</v>
      </c>
      <c r="E4462" s="5" t="s">
        <v>474</v>
      </c>
      <c r="F4462" s="9">
        <v>10</v>
      </c>
      <c r="G4462" s="9">
        <v>90</v>
      </c>
      <c r="H4462" s="5" t="s">
        <v>20</v>
      </c>
      <c r="I4462" s="5" t="s">
        <v>9811</v>
      </c>
      <c r="J4462" s="12" t="str">
        <f>HYPERLINK("https://www.boe.es/gazeta/dias/1806/01/28/pdfs/GMD-1806-10.pdf#page=6","Abrir facsímil")</f>
        <v>Abrir facsímil</v>
      </c>
      <c r="K4462" s="15" t="s">
        <v>22</v>
      </c>
    </row>
    <row r="4463" spans="1:11" ht="42" customHeight="1">
      <c r="A4463" s="4" t="s">
        <v>9809</v>
      </c>
      <c r="B4463" s="5" t="s">
        <v>9810</v>
      </c>
      <c r="C4463" s="5" t="s">
        <v>69</v>
      </c>
      <c r="D4463" s="5" t="s">
        <v>70</v>
      </c>
      <c r="E4463" s="5" t="s">
        <v>716</v>
      </c>
      <c r="F4463" s="9">
        <v>56</v>
      </c>
      <c r="G4463" s="9">
        <v>584</v>
      </c>
      <c r="H4463" s="5" t="s">
        <v>20</v>
      </c>
      <c r="I4463" s="5" t="s">
        <v>9812</v>
      </c>
      <c r="J4463" s="12" t="str">
        <f>HYPERLINK("https://www.boe.es/gazeta/dias/1806/07/08/pdfs/GMD-1806-56.pdf#page=8","Abrir facsímil")</f>
        <v>Abrir facsímil</v>
      </c>
      <c r="K4463" s="15" t="s">
        <v>22</v>
      </c>
    </row>
    <row r="4464" spans="1:11" ht="42" customHeight="1">
      <c r="A4464" s="4" t="s">
        <v>9813</v>
      </c>
      <c r="B4464" s="5" t="s">
        <v>9814</v>
      </c>
      <c r="C4464" s="5" t="s">
        <v>31</v>
      </c>
      <c r="D4464" s="5" t="s">
        <v>32</v>
      </c>
      <c r="E4464" s="5" t="s">
        <v>859</v>
      </c>
      <c r="F4464" s="9">
        <v>63</v>
      </c>
      <c r="G4464" s="9">
        <v>657</v>
      </c>
      <c r="H4464" s="5" t="s">
        <v>20</v>
      </c>
      <c r="I4464" s="5" t="s">
        <v>9815</v>
      </c>
      <c r="J4464" s="12" t="str">
        <f>HYPERLINK("https://www.boe.es/gazeta/dias/1806/08/01/pdfs/GMD-1806-63.pdf#page=5","Abrir facsímil")</f>
        <v>Abrir facsímil</v>
      </c>
      <c r="K4464" s="15" t="s">
        <v>22</v>
      </c>
    </row>
    <row r="4465" spans="1:11" ht="42" customHeight="1">
      <c r="A4465" s="4" t="s">
        <v>9816</v>
      </c>
      <c r="B4465" s="5" t="s">
        <v>9817</v>
      </c>
      <c r="C4465" s="5" t="s">
        <v>31</v>
      </c>
      <c r="D4465" s="5" t="s">
        <v>32</v>
      </c>
      <c r="E4465" s="5" t="s">
        <v>271</v>
      </c>
      <c r="F4465" s="9">
        <v>6</v>
      </c>
      <c r="G4465" s="9">
        <v>54</v>
      </c>
      <c r="H4465" s="5" t="s">
        <v>20</v>
      </c>
      <c r="I4465" s="5" t="s">
        <v>9818</v>
      </c>
      <c r="J4465" s="12" t="str">
        <f>HYPERLINK("https://www.boe.es/gazeta/dias/1806/01/17/pdfs/GMD-1806-6.pdf#page=10","Abrir facsímil")</f>
        <v>Abrir facsímil</v>
      </c>
      <c r="K4465" s="15" t="s">
        <v>22</v>
      </c>
    </row>
    <row r="4466" spans="1:11" ht="42" customHeight="1">
      <c r="A4466" s="4" t="s">
        <v>9819</v>
      </c>
      <c r="B4466" s="5" t="s">
        <v>9820</v>
      </c>
      <c r="C4466" s="5" t="s">
        <v>31</v>
      </c>
      <c r="D4466" s="5" t="s">
        <v>32</v>
      </c>
      <c r="E4466" s="5" t="s">
        <v>148</v>
      </c>
      <c r="F4466" s="9">
        <v>78</v>
      </c>
      <c r="G4466" s="9">
        <v>807</v>
      </c>
      <c r="H4466" s="5" t="s">
        <v>20</v>
      </c>
      <c r="I4466" s="5" t="s">
        <v>9821</v>
      </c>
      <c r="J4466" s="12" t="str">
        <f>HYPERLINK("https://www.boe.es/gazeta/dias/1806/09/23/pdfs/GMD-1806-78.pdf#page=11","Abrir facsímil")</f>
        <v>Abrir facsímil</v>
      </c>
      <c r="K4466" s="15" t="s">
        <v>22</v>
      </c>
    </row>
    <row r="4467" spans="1:11" ht="42" customHeight="1">
      <c r="A4467" s="4" t="s">
        <v>9819</v>
      </c>
      <c r="B4467" s="5" t="s">
        <v>9820</v>
      </c>
      <c r="C4467" s="5" t="s">
        <v>69</v>
      </c>
      <c r="D4467" s="5" t="s">
        <v>70</v>
      </c>
      <c r="E4467" s="5" t="s">
        <v>1568</v>
      </c>
      <c r="F4467" s="9">
        <v>84</v>
      </c>
      <c r="G4467" s="9">
        <v>866</v>
      </c>
      <c r="H4467" s="5" t="s">
        <v>20</v>
      </c>
      <c r="I4467" s="5" t="s">
        <v>9822</v>
      </c>
      <c r="J4467" s="12" t="str">
        <f>HYPERLINK("https://www.boe.es/gazeta/dias/1806/10/14/pdfs/GMD-1806-84.pdf#page=2","Abrir facsímil")</f>
        <v>Abrir facsímil</v>
      </c>
      <c r="K4467" s="15" t="s">
        <v>22</v>
      </c>
    </row>
    <row r="4468" spans="1:11" ht="42" customHeight="1">
      <c r="A4468" s="4" t="s">
        <v>9819</v>
      </c>
      <c r="B4468" s="5" t="s">
        <v>9820</v>
      </c>
      <c r="C4468" s="5" t="s">
        <v>31</v>
      </c>
      <c r="D4468" s="5" t="s">
        <v>32</v>
      </c>
      <c r="E4468" s="5" t="s">
        <v>1568</v>
      </c>
      <c r="F4468" s="9">
        <v>84</v>
      </c>
      <c r="G4468" s="9">
        <v>867</v>
      </c>
      <c r="H4468" s="5" t="s">
        <v>20</v>
      </c>
      <c r="I4468" s="5" t="s">
        <v>9823</v>
      </c>
      <c r="J4468" s="12" t="str">
        <f>HYPERLINK("https://www.boe.es/gazeta/dias/1806/10/14/pdfs/GMD-1806-84.pdf#page=3","Abrir facsímil")</f>
        <v>Abrir facsímil</v>
      </c>
      <c r="K4468" s="15" t="s">
        <v>22</v>
      </c>
    </row>
    <row r="4469" spans="1:11" ht="42" customHeight="1">
      <c r="A4469" s="4" t="s">
        <v>9824</v>
      </c>
      <c r="B4469" s="5" t="s">
        <v>9825</v>
      </c>
      <c r="C4469" s="5" t="s">
        <v>31</v>
      </c>
      <c r="D4469" s="5" t="s">
        <v>32</v>
      </c>
      <c r="E4469" s="5" t="s">
        <v>178</v>
      </c>
      <c r="F4469" s="9">
        <v>36</v>
      </c>
      <c r="G4469" s="9">
        <v>350</v>
      </c>
      <c r="H4469" s="5" t="s">
        <v>20</v>
      </c>
      <c r="I4469" s="5" t="s">
        <v>9826</v>
      </c>
      <c r="J4469" s="12" t="str">
        <f>HYPERLINK("https://www.boe.es/gazeta/dias/1806/04/29/pdfs/GMD-1806-36.pdf#page=6","Abrir facsímil")</f>
        <v>Abrir facsímil</v>
      </c>
      <c r="K4469" s="15" t="s">
        <v>22</v>
      </c>
    </row>
    <row r="4470" spans="1:11" ht="42" customHeight="1">
      <c r="A4470" s="4" t="s">
        <v>9827</v>
      </c>
      <c r="B4470" s="5" t="s">
        <v>9827</v>
      </c>
      <c r="C4470" s="5" t="s">
        <v>69</v>
      </c>
      <c r="D4470" s="5" t="s">
        <v>70</v>
      </c>
      <c r="E4470" s="5" t="s">
        <v>110</v>
      </c>
      <c r="F4470" s="9">
        <v>55</v>
      </c>
      <c r="G4470" s="9">
        <v>568</v>
      </c>
      <c r="H4470" s="5" t="s">
        <v>20</v>
      </c>
      <c r="I4470" s="5" t="s">
        <v>9828</v>
      </c>
      <c r="J4470" s="12" t="str">
        <f>HYPERLINK("https://www.boe.es/gazeta/dias/1806/07/04/pdfs/GMD-1806-55.pdf#page=4","Abrir facsímil")</f>
        <v>Abrir facsímil</v>
      </c>
      <c r="K4470" s="15" t="s">
        <v>22</v>
      </c>
    </row>
    <row r="4471" spans="1:11" ht="42" customHeight="1">
      <c r="A4471" s="4" t="s">
        <v>9829</v>
      </c>
      <c r="B4471" s="5" t="s">
        <v>9830</v>
      </c>
      <c r="C4471" s="5" t="s">
        <v>31</v>
      </c>
      <c r="D4471" s="5" t="s">
        <v>32</v>
      </c>
      <c r="E4471" s="5" t="s">
        <v>86</v>
      </c>
      <c r="F4471" s="9">
        <v>53</v>
      </c>
      <c r="G4471" s="9">
        <v>553</v>
      </c>
      <c r="H4471" s="5" t="s">
        <v>20</v>
      </c>
      <c r="I4471" s="5" t="s">
        <v>9831</v>
      </c>
      <c r="J4471" s="12" t="str">
        <f>HYPERLINK("https://www.boe.es/gazeta/dias/1806/06/27/pdfs/GMD-1806-53.pdf#page=9","Abrir facsímil")</f>
        <v>Abrir facsímil</v>
      </c>
      <c r="K4471" s="15" t="s">
        <v>22</v>
      </c>
    </row>
    <row r="4472" spans="1:11" ht="42" customHeight="1">
      <c r="A4472" s="4" t="s">
        <v>9832</v>
      </c>
      <c r="B4472" s="5" t="s">
        <v>9833</v>
      </c>
      <c r="C4472" s="5" t="s">
        <v>69</v>
      </c>
      <c r="D4472" s="5" t="s">
        <v>70</v>
      </c>
      <c r="E4472" s="5" t="s">
        <v>290</v>
      </c>
      <c r="F4472" s="9">
        <v>1</v>
      </c>
      <c r="G4472" s="9">
        <v>4</v>
      </c>
      <c r="H4472" s="5" t="s">
        <v>20</v>
      </c>
      <c r="I4472" s="5" t="s">
        <v>9834</v>
      </c>
      <c r="J4472" s="12" t="str">
        <f>HYPERLINK("https://www.boe.es/gazeta/dias/1806/01/03/pdfs/GMD-1806-1.pdf#page=4","Abrir facsímil")</f>
        <v>Abrir facsímil</v>
      </c>
      <c r="K4472" s="15" t="s">
        <v>22</v>
      </c>
    </row>
    <row r="4473" spans="1:11" ht="42" customHeight="1">
      <c r="A4473" s="4" t="s">
        <v>9835</v>
      </c>
      <c r="B4473" s="5" t="s">
        <v>9836</v>
      </c>
      <c r="C4473" s="5" t="s">
        <v>36</v>
      </c>
      <c r="D4473" s="5" t="s">
        <v>37</v>
      </c>
      <c r="E4473" s="5" t="s">
        <v>103</v>
      </c>
      <c r="F4473" s="9">
        <v>61</v>
      </c>
      <c r="G4473" s="9">
        <v>640</v>
      </c>
      <c r="H4473" s="5" t="s">
        <v>20</v>
      </c>
      <c r="I4473" s="5" t="s">
        <v>9837</v>
      </c>
      <c r="J4473" s="12" t="str">
        <f>HYPERLINK("https://www.boe.es/gazeta/dias/1806/07/25/pdfs/GMD-1806-61.pdf#page=12","Abrir facsímil")</f>
        <v>Abrir facsímil</v>
      </c>
      <c r="K4473" s="15" t="s">
        <v>22</v>
      </c>
    </row>
    <row r="4474" spans="1:11" ht="42" customHeight="1">
      <c r="A4474" s="4" t="s">
        <v>9838</v>
      </c>
      <c r="B4474" s="5" t="s">
        <v>9839</v>
      </c>
      <c r="C4474" s="5" t="s">
        <v>75</v>
      </c>
      <c r="D4474" s="5" t="s">
        <v>43</v>
      </c>
      <c r="E4474" s="5" t="s">
        <v>661</v>
      </c>
      <c r="F4474" s="9">
        <v>38</v>
      </c>
      <c r="G4474" s="9">
        <v>374</v>
      </c>
      <c r="H4474" s="5" t="s">
        <v>20</v>
      </c>
      <c r="I4474" s="5" t="s">
        <v>9840</v>
      </c>
      <c r="J4474" s="12" t="str">
        <f>HYPERLINK("https://www.boe.es/gazeta/dias/1806/05/06/pdfs/GMD-1806-38.pdf#page=10","Abrir facsímil")</f>
        <v>Abrir facsímil</v>
      </c>
      <c r="K4474" s="15" t="s">
        <v>22</v>
      </c>
    </row>
    <row r="4475" spans="1:11" ht="42" customHeight="1">
      <c r="A4475" s="4" t="s">
        <v>9841</v>
      </c>
      <c r="B4475" s="5" t="s">
        <v>9842</v>
      </c>
      <c r="C4475" s="5" t="s">
        <v>31</v>
      </c>
      <c r="D4475" s="5" t="s">
        <v>32</v>
      </c>
      <c r="E4475" s="5" t="s">
        <v>59</v>
      </c>
      <c r="F4475" s="9">
        <v>21</v>
      </c>
      <c r="G4475" s="9">
        <v>198</v>
      </c>
      <c r="H4475" s="5" t="s">
        <v>20</v>
      </c>
      <c r="I4475" s="5" t="s">
        <v>9843</v>
      </c>
      <c r="J4475" s="12" t="str">
        <f>HYPERLINK("https://www.boe.es/gazeta/dias/1806/03/07/pdfs/GMD-1806-21.pdf#page=10","Abrir facsímil")</f>
        <v>Abrir facsímil</v>
      </c>
      <c r="K4475" s="15" t="s">
        <v>22</v>
      </c>
    </row>
    <row r="4476" spans="1:11" ht="42" customHeight="1">
      <c r="A4476" s="4" t="s">
        <v>9841</v>
      </c>
      <c r="B4476" s="5" t="s">
        <v>9842</v>
      </c>
      <c r="C4476" s="5" t="s">
        <v>75</v>
      </c>
      <c r="D4476" s="5" t="s">
        <v>43</v>
      </c>
      <c r="E4476" s="5" t="s">
        <v>680</v>
      </c>
      <c r="F4476" s="9">
        <v>97</v>
      </c>
      <c r="G4476" s="9">
        <v>1031</v>
      </c>
      <c r="H4476" s="5" t="s">
        <v>20</v>
      </c>
      <c r="I4476" s="5" t="s">
        <v>9844</v>
      </c>
      <c r="J4476" s="12" t="str">
        <f>HYPERLINK("https://www.boe.es/gazeta/dias/1806/11/28/pdfs/GMD-1806-97.pdf#page=11","Abrir facsímil")</f>
        <v>Abrir facsímil</v>
      </c>
      <c r="K4476" s="15" t="s">
        <v>22</v>
      </c>
    </row>
    <row r="4477" spans="1:11" ht="42" customHeight="1">
      <c r="A4477" s="4" t="s">
        <v>9845</v>
      </c>
      <c r="B4477" s="5" t="s">
        <v>9846</v>
      </c>
      <c r="C4477" s="5" t="s">
        <v>75</v>
      </c>
      <c r="D4477" s="5" t="s">
        <v>43</v>
      </c>
      <c r="E4477" s="5" t="s">
        <v>716</v>
      </c>
      <c r="F4477" s="9">
        <v>56</v>
      </c>
      <c r="G4477" s="9">
        <v>587</v>
      </c>
      <c r="H4477" s="5" t="s">
        <v>20</v>
      </c>
      <c r="I4477" s="5" t="s">
        <v>9847</v>
      </c>
      <c r="J4477" s="12" t="str">
        <f>HYPERLINK("https://www.boe.es/gazeta/dias/1806/07/08/pdfs/GMD-1806-56.pdf#page=11","Abrir facsímil")</f>
        <v>Abrir facsímil</v>
      </c>
      <c r="K4477" s="15" t="s">
        <v>22</v>
      </c>
    </row>
    <row r="4478" spans="1:11" ht="42" customHeight="1">
      <c r="A4478" s="4" t="s">
        <v>9848</v>
      </c>
      <c r="B4478" s="5" t="s">
        <v>9849</v>
      </c>
      <c r="C4478" s="5" t="s">
        <v>31</v>
      </c>
      <c r="D4478" s="5" t="s">
        <v>32</v>
      </c>
      <c r="E4478" s="5" t="s">
        <v>127</v>
      </c>
      <c r="F4478" s="9">
        <v>81</v>
      </c>
      <c r="G4478" s="9">
        <v>837</v>
      </c>
      <c r="H4478" s="5" t="s">
        <v>20</v>
      </c>
      <c r="I4478" s="5" t="s">
        <v>9850</v>
      </c>
      <c r="J4478" s="12" t="str">
        <f>HYPERLINK("https://www.boe.es/gazeta/dias/1806/10/03/pdfs/GMD-1806-81.pdf#page=5","Abrir facsímil")</f>
        <v>Abrir facsímil</v>
      </c>
      <c r="K4478" s="15" t="s">
        <v>22</v>
      </c>
    </row>
    <row r="4479" spans="1:11" ht="42" customHeight="1">
      <c r="A4479" s="4" t="s">
        <v>9851</v>
      </c>
      <c r="B4479" s="5" t="s">
        <v>9852</v>
      </c>
      <c r="C4479" s="5" t="s">
        <v>36</v>
      </c>
      <c r="D4479" s="5" t="s">
        <v>37</v>
      </c>
      <c r="E4479" s="5" t="s">
        <v>59</v>
      </c>
      <c r="F4479" s="9">
        <v>21</v>
      </c>
      <c r="G4479" s="9">
        <v>198</v>
      </c>
      <c r="H4479" s="5" t="s">
        <v>20</v>
      </c>
      <c r="I4479" s="5" t="s">
        <v>9853</v>
      </c>
      <c r="J4479" s="12" t="str">
        <f>HYPERLINK("https://www.boe.es/gazeta/dias/1806/03/07/pdfs/GMD-1806-21.pdf#page=10","Abrir facsímil")</f>
        <v>Abrir facsímil</v>
      </c>
      <c r="K4479" s="15" t="s">
        <v>22</v>
      </c>
    </row>
    <row r="4480" spans="1:11" ht="42" customHeight="1">
      <c r="A4480" s="4" t="s">
        <v>9851</v>
      </c>
      <c r="B4480" s="5" t="s">
        <v>9852</v>
      </c>
      <c r="C4480" s="5" t="s">
        <v>17</v>
      </c>
      <c r="D4480" s="5" t="s">
        <v>18</v>
      </c>
      <c r="E4480" s="5" t="s">
        <v>680</v>
      </c>
      <c r="F4480" s="9">
        <v>97</v>
      </c>
      <c r="G4480" s="9">
        <v>1031</v>
      </c>
      <c r="H4480" s="5" t="s">
        <v>20</v>
      </c>
      <c r="I4480" s="5" t="s">
        <v>9854</v>
      </c>
      <c r="J4480" s="12" t="str">
        <f>HYPERLINK("https://www.boe.es/gazeta/dias/1806/11/28/pdfs/GMD-1806-97.pdf#page=11","Abrir facsímil")</f>
        <v>Abrir facsímil</v>
      </c>
      <c r="K4480" s="15" t="s">
        <v>22</v>
      </c>
    </row>
    <row r="4481" spans="1:11" ht="42" customHeight="1">
      <c r="A4481" s="4" t="s">
        <v>9855</v>
      </c>
      <c r="B4481" s="5" t="s">
        <v>9856</v>
      </c>
      <c r="C4481" s="5" t="s">
        <v>31</v>
      </c>
      <c r="D4481" s="5" t="s">
        <v>32</v>
      </c>
      <c r="E4481" s="5" t="s">
        <v>127</v>
      </c>
      <c r="F4481" s="9">
        <v>81</v>
      </c>
      <c r="G4481" s="9">
        <v>837</v>
      </c>
      <c r="H4481" s="5" t="s">
        <v>20</v>
      </c>
      <c r="I4481" s="5" t="s">
        <v>9857</v>
      </c>
      <c r="J4481" s="12" t="str">
        <f>HYPERLINK("https://www.boe.es/gazeta/dias/1806/10/03/pdfs/GMD-1806-81.pdf#page=5","Abrir facsímil")</f>
        <v>Abrir facsímil</v>
      </c>
      <c r="K4481" s="15" t="s">
        <v>22</v>
      </c>
    </row>
    <row r="4482" spans="1:11" ht="42" customHeight="1">
      <c r="A4482" s="4" t="s">
        <v>9858</v>
      </c>
      <c r="B4482" s="5" t="s">
        <v>9859</v>
      </c>
      <c r="C4482" s="5" t="s">
        <v>31</v>
      </c>
      <c r="D4482" s="5" t="s">
        <v>32</v>
      </c>
      <c r="E4482" s="5" t="s">
        <v>297</v>
      </c>
      <c r="F4482" s="9">
        <v>94</v>
      </c>
      <c r="G4482" s="9">
        <v>989</v>
      </c>
      <c r="H4482" s="5" t="s">
        <v>20</v>
      </c>
      <c r="I4482" s="5" t="s">
        <v>9860</v>
      </c>
      <c r="J4482" s="12" t="str">
        <f>HYPERLINK("https://www.boe.es/gazeta/dias/1806/11/18/pdfs/GMD-1806-94.pdf#page=9","Abrir facsímil")</f>
        <v>Abrir facsímil</v>
      </c>
      <c r="K4482" s="15" t="s">
        <v>22</v>
      </c>
    </row>
    <row r="4483" spans="1:11" ht="42" customHeight="1">
      <c r="A4483" s="4" t="s">
        <v>9861</v>
      </c>
      <c r="B4483" s="5" t="s">
        <v>9862</v>
      </c>
      <c r="C4483" s="5" t="s">
        <v>31</v>
      </c>
      <c r="D4483" s="5" t="s">
        <v>32</v>
      </c>
      <c r="E4483" s="5" t="s">
        <v>172</v>
      </c>
      <c r="F4483" s="9">
        <v>17</v>
      </c>
      <c r="G4483" s="9">
        <v>151</v>
      </c>
      <c r="H4483" s="5" t="s">
        <v>20</v>
      </c>
      <c r="I4483" s="5" t="s">
        <v>9863</v>
      </c>
      <c r="J4483" s="12" t="str">
        <f>HYPERLINK("https://www.boe.es/gazeta/dias/1806/02/21/pdfs/GMD-1806-17.pdf#page=7","Abrir facsímil")</f>
        <v>Abrir facsímil</v>
      </c>
      <c r="K4483" s="15" t="s">
        <v>22</v>
      </c>
    </row>
    <row r="4484" spans="1:11" ht="42" customHeight="1">
      <c r="A4484" s="4" t="s">
        <v>9864</v>
      </c>
      <c r="B4484" s="5" t="s">
        <v>9864</v>
      </c>
      <c r="C4484" s="5" t="s">
        <v>17</v>
      </c>
      <c r="D4484" s="5" t="s">
        <v>18</v>
      </c>
      <c r="E4484" s="5" t="s">
        <v>483</v>
      </c>
      <c r="F4484" s="9">
        <v>58</v>
      </c>
      <c r="G4484" s="9">
        <v>601</v>
      </c>
      <c r="H4484" s="5" t="s">
        <v>20</v>
      </c>
      <c r="I4484" s="5" t="s">
        <v>9865</v>
      </c>
      <c r="J4484" s="12" t="str">
        <f>HYPERLINK("https://www.boe.es/gazeta/dias/1806/07/15/pdfs/GMD-1806-58.pdf#page=5","Abrir facsímil")</f>
        <v>Abrir facsímil</v>
      </c>
      <c r="K4484" s="15" t="s">
        <v>22</v>
      </c>
    </row>
    <row r="4485" spans="1:11" ht="42" customHeight="1">
      <c r="A4485" s="4" t="s">
        <v>9866</v>
      </c>
      <c r="B4485" s="5" t="s">
        <v>9867</v>
      </c>
      <c r="C4485" s="5" t="s">
        <v>31</v>
      </c>
      <c r="D4485" s="5" t="s">
        <v>32</v>
      </c>
      <c r="E4485" s="5" t="s">
        <v>172</v>
      </c>
      <c r="F4485" s="9">
        <v>17</v>
      </c>
      <c r="G4485" s="9">
        <v>146</v>
      </c>
      <c r="H4485" s="5" t="s">
        <v>20</v>
      </c>
      <c r="I4485" s="5" t="s">
        <v>9868</v>
      </c>
      <c r="J4485" s="12" t="str">
        <f>HYPERLINK("https://www.boe.es/gazeta/dias/1806/02/21/pdfs/GMD-1806-17.pdf#page=2","Abrir facsímil")</f>
        <v>Abrir facsímil</v>
      </c>
      <c r="K4485" s="15" t="s">
        <v>22</v>
      </c>
    </row>
    <row r="4486" spans="1:11" ht="42" customHeight="1">
      <c r="A4486" s="4" t="s">
        <v>9869</v>
      </c>
      <c r="B4486" s="5" t="s">
        <v>9870</v>
      </c>
      <c r="C4486" s="5" t="s">
        <v>31</v>
      </c>
      <c r="D4486" s="5" t="s">
        <v>32</v>
      </c>
      <c r="E4486" s="5" t="s">
        <v>202</v>
      </c>
      <c r="F4486" s="9">
        <v>30</v>
      </c>
      <c r="G4486" s="9">
        <v>295</v>
      </c>
      <c r="H4486" s="5" t="s">
        <v>20</v>
      </c>
      <c r="I4486" s="5" t="s">
        <v>9871</v>
      </c>
      <c r="J4486" s="12" t="str">
        <f>HYPERLINK("https://www.boe.es/gazeta/dias/1806/04/08/pdfs/GMD-1806-30.pdf#page=7","Abrir facsímil")</f>
        <v>Abrir facsímil</v>
      </c>
      <c r="K4486" s="15" t="s">
        <v>22</v>
      </c>
    </row>
    <row r="4487" spans="1:11" ht="42" customHeight="1">
      <c r="A4487" s="4" t="s">
        <v>9872</v>
      </c>
      <c r="B4487" s="5" t="s">
        <v>9873</v>
      </c>
      <c r="C4487" s="5" t="s">
        <v>31</v>
      </c>
      <c r="D4487" s="5" t="s">
        <v>32</v>
      </c>
      <c r="E4487" s="5" t="s">
        <v>1005</v>
      </c>
      <c r="F4487" s="9">
        <v>76</v>
      </c>
      <c r="G4487" s="9">
        <v>787</v>
      </c>
      <c r="H4487" s="5" t="s">
        <v>20</v>
      </c>
      <c r="I4487" s="5" t="s">
        <v>9874</v>
      </c>
      <c r="J4487" s="12" t="str">
        <f>HYPERLINK("https://www.boe.es/gazeta/dias/1806/09/16/pdfs/GMD-1806-76.pdf#page=7","Abrir facsímil")</f>
        <v>Abrir facsímil</v>
      </c>
      <c r="K4487" s="15" t="s">
        <v>22</v>
      </c>
    </row>
    <row r="4488" spans="1:11" ht="42" customHeight="1">
      <c r="A4488" s="4" t="s">
        <v>9875</v>
      </c>
      <c r="B4488" s="5" t="s">
        <v>9876</v>
      </c>
      <c r="C4488" s="5" t="s">
        <v>36</v>
      </c>
      <c r="D4488" s="5" t="s">
        <v>37</v>
      </c>
      <c r="E4488" s="5" t="s">
        <v>570</v>
      </c>
      <c r="F4488" s="9">
        <v>93</v>
      </c>
      <c r="G4488" s="9">
        <v>980</v>
      </c>
      <c r="H4488" s="5" t="s">
        <v>20</v>
      </c>
      <c r="I4488" s="5" t="s">
        <v>9877</v>
      </c>
      <c r="J4488" s="12" t="str">
        <f>HYPERLINK("https://www.boe.es/gazeta/dias/1806/11/14/pdfs/GMD-1806-93.pdf#page=16","Abrir facsímil")</f>
        <v>Abrir facsímil</v>
      </c>
      <c r="K4488" s="15" t="s">
        <v>22</v>
      </c>
    </row>
    <row r="4489" spans="1:11" ht="42" customHeight="1">
      <c r="A4489" s="4" t="s">
        <v>9878</v>
      </c>
      <c r="B4489" s="5" t="s">
        <v>9879</v>
      </c>
      <c r="C4489" s="5" t="s">
        <v>31</v>
      </c>
      <c r="D4489" s="5" t="s">
        <v>32</v>
      </c>
      <c r="E4489" s="5" t="s">
        <v>185</v>
      </c>
      <c r="F4489" s="9">
        <v>46</v>
      </c>
      <c r="G4489" s="9">
        <v>469</v>
      </c>
      <c r="H4489" s="5" t="s">
        <v>20</v>
      </c>
      <c r="I4489" s="5" t="s">
        <v>9880</v>
      </c>
      <c r="J4489" s="12" t="str">
        <f>HYPERLINK("https://www.boe.es/gazeta/dias/1806/06/03/pdfs/GMD-1806-46.pdf#page=9","Abrir facsímil")</f>
        <v>Abrir facsímil</v>
      </c>
      <c r="K4489" s="15" t="s">
        <v>22</v>
      </c>
    </row>
    <row r="4490" spans="1:11" ht="42" customHeight="1">
      <c r="A4490" s="4" t="s">
        <v>9881</v>
      </c>
      <c r="B4490" s="5" t="s">
        <v>9882</v>
      </c>
      <c r="C4490" s="5" t="s">
        <v>17</v>
      </c>
      <c r="D4490" s="5" t="s">
        <v>18</v>
      </c>
      <c r="E4490" s="5" t="s">
        <v>136</v>
      </c>
      <c r="F4490" s="9">
        <v>50</v>
      </c>
      <c r="G4490" s="9">
        <v>515</v>
      </c>
      <c r="H4490" s="5" t="s">
        <v>20</v>
      </c>
      <c r="I4490" s="5" t="s">
        <v>9883</v>
      </c>
      <c r="J4490" s="12" t="str">
        <f>HYPERLINK("https://www.boe.es/gazeta/dias/1806/06/17/pdfs/GMD-1806-50.pdf#page=7","Abrir facsímil")</f>
        <v>Abrir facsímil</v>
      </c>
      <c r="K4490" s="15" t="s">
        <v>22</v>
      </c>
    </row>
    <row r="4491" spans="1:11" ht="42" customHeight="1">
      <c r="A4491" s="4" t="s">
        <v>9881</v>
      </c>
      <c r="B4491" s="5" t="s">
        <v>9882</v>
      </c>
      <c r="C4491" s="5" t="s">
        <v>17</v>
      </c>
      <c r="D4491" s="5" t="s">
        <v>18</v>
      </c>
      <c r="E4491" s="5" t="s">
        <v>140</v>
      </c>
      <c r="F4491" s="9">
        <v>83</v>
      </c>
      <c r="G4491" s="9">
        <v>860</v>
      </c>
      <c r="H4491" s="5" t="s">
        <v>20</v>
      </c>
      <c r="I4491" s="5" t="s">
        <v>9884</v>
      </c>
      <c r="J4491" s="12" t="str">
        <f>HYPERLINK("https://www.boe.es/gazeta/dias/1806/10/10/pdfs/GMD-1806-83.pdf#page=8","Abrir facsímil")</f>
        <v>Abrir facsímil</v>
      </c>
      <c r="K4491" s="15" t="s">
        <v>22</v>
      </c>
    </row>
    <row r="4492" spans="1:11" ht="42" customHeight="1">
      <c r="A4492" s="4" t="s">
        <v>9885</v>
      </c>
      <c r="B4492" s="5" t="s">
        <v>9885</v>
      </c>
      <c r="C4492" s="5" t="s">
        <v>17</v>
      </c>
      <c r="D4492" s="5" t="s">
        <v>18</v>
      </c>
      <c r="E4492" s="5" t="s">
        <v>309</v>
      </c>
      <c r="F4492" s="9">
        <v>41</v>
      </c>
      <c r="G4492" s="9">
        <v>407</v>
      </c>
      <c r="H4492" s="5" t="s">
        <v>20</v>
      </c>
      <c r="I4492" s="5" t="s">
        <v>9886</v>
      </c>
      <c r="J4492" s="12" t="str">
        <f>HYPERLINK("https://www.boe.es/gazeta/dias/1806/05/16/pdfs/GMD-1806-41.pdf#page=7","Abrir facsímil")</f>
        <v>Abrir facsímil</v>
      </c>
      <c r="K4492" s="15" t="s">
        <v>22</v>
      </c>
    </row>
    <row r="4493" spans="1:11" ht="42" customHeight="1">
      <c r="A4493" s="4" t="s">
        <v>9887</v>
      </c>
      <c r="B4493" s="5" t="s">
        <v>9888</v>
      </c>
      <c r="C4493" s="5" t="s">
        <v>31</v>
      </c>
      <c r="D4493" s="5" t="s">
        <v>32</v>
      </c>
      <c r="E4493" s="5" t="s">
        <v>38</v>
      </c>
      <c r="F4493" s="9">
        <v>92</v>
      </c>
      <c r="G4493" s="9">
        <v>963</v>
      </c>
      <c r="H4493" s="5" t="s">
        <v>20</v>
      </c>
      <c r="I4493" s="5" t="s">
        <v>9889</v>
      </c>
      <c r="J4493" s="12" t="str">
        <f>HYPERLINK("https://www.boe.es/gazeta/dias/1806/11/11/pdfs/GMD-1806-92.pdf#page=15","Abrir facsímil")</f>
        <v>Abrir facsímil</v>
      </c>
      <c r="K4493" s="15" t="s">
        <v>22</v>
      </c>
    </row>
    <row r="4494" spans="1:11" ht="42" customHeight="1">
      <c r="A4494" s="4" t="s">
        <v>9890</v>
      </c>
      <c r="B4494" s="5" t="s">
        <v>9890</v>
      </c>
      <c r="C4494" s="5" t="s">
        <v>31</v>
      </c>
      <c r="D4494" s="5" t="s">
        <v>32</v>
      </c>
      <c r="E4494" s="5" t="s">
        <v>810</v>
      </c>
      <c r="F4494" s="9">
        <v>71</v>
      </c>
      <c r="G4494" s="9">
        <v>739</v>
      </c>
      <c r="H4494" s="5" t="s">
        <v>20</v>
      </c>
      <c r="I4494" s="5" t="s">
        <v>9891</v>
      </c>
      <c r="J4494" s="12" t="str">
        <f>HYPERLINK("https://www.boe.es/gazeta/dias/1806/08/29/pdfs/GMD-1806-71.pdf#page=7","Abrir facsímil")</f>
        <v>Abrir facsímil</v>
      </c>
      <c r="K4494" s="15" t="s">
        <v>22</v>
      </c>
    </row>
    <row r="4495" spans="1:11" ht="42" customHeight="1">
      <c r="A4495" s="4" t="s">
        <v>9892</v>
      </c>
      <c r="B4495" s="5" t="s">
        <v>9892</v>
      </c>
      <c r="C4495" s="5" t="s">
        <v>31</v>
      </c>
      <c r="D4495" s="5" t="s">
        <v>32</v>
      </c>
      <c r="E4495" s="5" t="s">
        <v>124</v>
      </c>
      <c r="F4495" s="9">
        <v>25</v>
      </c>
      <c r="G4495" s="9">
        <v>245</v>
      </c>
      <c r="H4495" s="5" t="s">
        <v>20</v>
      </c>
      <c r="I4495" s="5" t="s">
        <v>9893</v>
      </c>
      <c r="J4495" s="12" t="str">
        <f>HYPERLINK("https://www.boe.es/gazeta/dias/1806/03/21/pdfs/GMD-1806-25.pdf#page=9","Abrir facsímil")</f>
        <v>Abrir facsímil</v>
      </c>
      <c r="K4495" s="15" t="s">
        <v>22</v>
      </c>
    </row>
    <row r="4496" spans="1:11" ht="42" customHeight="1">
      <c r="A4496" s="4" t="s">
        <v>9894</v>
      </c>
      <c r="B4496" s="5" t="s">
        <v>9894</v>
      </c>
      <c r="C4496" s="5" t="s">
        <v>36</v>
      </c>
      <c r="D4496" s="5" t="s">
        <v>37</v>
      </c>
      <c r="E4496" s="5" t="s">
        <v>103</v>
      </c>
      <c r="F4496" s="9">
        <v>61</v>
      </c>
      <c r="G4496" s="9">
        <v>635</v>
      </c>
      <c r="H4496" s="5" t="s">
        <v>20</v>
      </c>
      <c r="I4496" s="5" t="s">
        <v>9895</v>
      </c>
      <c r="J4496" s="12" t="str">
        <f>HYPERLINK("https://www.boe.es/gazeta/dias/1806/07/25/pdfs/GMD-1806-61.pdf#page=7","Abrir facsímil")</f>
        <v>Abrir facsímil</v>
      </c>
      <c r="K4496" s="15" t="s">
        <v>22</v>
      </c>
    </row>
    <row r="4497" spans="1:11" ht="42" customHeight="1">
      <c r="A4497" s="4" t="s">
        <v>9896</v>
      </c>
      <c r="B4497" s="5" t="s">
        <v>9897</v>
      </c>
      <c r="C4497" s="5" t="s">
        <v>42</v>
      </c>
      <c r="D4497" s="5" t="s">
        <v>43</v>
      </c>
      <c r="E4497" s="5" t="s">
        <v>911</v>
      </c>
      <c r="F4497" s="9">
        <v>64</v>
      </c>
      <c r="G4497" s="9">
        <v>671</v>
      </c>
      <c r="H4497" s="5" t="s">
        <v>20</v>
      </c>
      <c r="I4497" s="5" t="s">
        <v>9898</v>
      </c>
      <c r="J4497" s="12" t="str">
        <f>HYPERLINK("https://www.boe.es/gazeta/dias/1806/08/05/pdfs/GMD-1806-64.pdf#page=7","Abrir facsímil")</f>
        <v>Abrir facsímil</v>
      </c>
      <c r="K4497" s="15" t="s">
        <v>22</v>
      </c>
    </row>
    <row r="4498" spans="1:11" ht="42" customHeight="1">
      <c r="A4498" s="4" t="s">
        <v>9899</v>
      </c>
      <c r="B4498" s="5" t="s">
        <v>9900</v>
      </c>
      <c r="C4498" s="5" t="s">
        <v>75</v>
      </c>
      <c r="D4498" s="5" t="s">
        <v>43</v>
      </c>
      <c r="E4498" s="5" t="s">
        <v>455</v>
      </c>
      <c r="F4498" s="9">
        <v>85</v>
      </c>
      <c r="G4498" s="9">
        <v>883</v>
      </c>
      <c r="H4498" s="5" t="s">
        <v>20</v>
      </c>
      <c r="I4498" s="5" t="s">
        <v>9901</v>
      </c>
      <c r="J4498" s="12" t="str">
        <f>HYPERLINK("https://www.boe.es/gazeta/dias/1806/10/17/pdfs/GMD-1806-85.pdf#page=11","Abrir facsímil")</f>
        <v>Abrir facsímil</v>
      </c>
      <c r="K4498" s="15" t="s">
        <v>22</v>
      </c>
    </row>
    <row r="4499" spans="1:11" ht="42" customHeight="1">
      <c r="A4499" s="4" t="s">
        <v>9902</v>
      </c>
      <c r="B4499" s="5" t="s">
        <v>9903</v>
      </c>
      <c r="C4499" s="5" t="s">
        <v>75</v>
      </c>
      <c r="D4499" s="5" t="s">
        <v>43</v>
      </c>
      <c r="E4499" s="5" t="s">
        <v>213</v>
      </c>
      <c r="F4499" s="9">
        <v>73</v>
      </c>
      <c r="G4499" s="9">
        <v>759</v>
      </c>
      <c r="H4499" s="5" t="s">
        <v>20</v>
      </c>
      <c r="I4499" s="5" t="s">
        <v>9904</v>
      </c>
      <c r="J4499" s="12" t="str">
        <f>HYPERLINK("https://www.boe.es/gazeta/dias/1806/09/05/pdfs/GMD-1806-73.pdf#page=7","Abrir facsímil")</f>
        <v>Abrir facsímil</v>
      </c>
      <c r="K4499" s="15" t="s">
        <v>22</v>
      </c>
    </row>
    <row r="4500" spans="1:11" ht="42" customHeight="1">
      <c r="A4500" s="4" t="s">
        <v>9905</v>
      </c>
      <c r="B4500" s="5" t="s">
        <v>9906</v>
      </c>
      <c r="C4500" s="5" t="s">
        <v>42</v>
      </c>
      <c r="D4500" s="5" t="s">
        <v>43</v>
      </c>
      <c r="E4500" s="5" t="s">
        <v>570</v>
      </c>
      <c r="F4500" s="9">
        <v>93</v>
      </c>
      <c r="G4500" s="9">
        <v>978</v>
      </c>
      <c r="H4500" s="5" t="s">
        <v>20</v>
      </c>
      <c r="I4500" s="5" t="s">
        <v>9907</v>
      </c>
      <c r="J4500" s="12" t="str">
        <f>HYPERLINK("https://www.boe.es/gazeta/dias/1806/11/14/pdfs/GMD-1806-93.pdf#page=14","Abrir facsímil")</f>
        <v>Abrir facsímil</v>
      </c>
      <c r="K4500" s="15" t="s">
        <v>22</v>
      </c>
    </row>
    <row r="4501" spans="1:11" ht="42" customHeight="1">
      <c r="A4501" s="4" t="s">
        <v>9908</v>
      </c>
      <c r="B4501" s="5" t="s">
        <v>9908</v>
      </c>
      <c r="C4501" s="5" t="s">
        <v>31</v>
      </c>
      <c r="D4501" s="5" t="s">
        <v>32</v>
      </c>
      <c r="E4501" s="5" t="s">
        <v>161</v>
      </c>
      <c r="F4501" s="9">
        <v>11</v>
      </c>
      <c r="G4501" s="9">
        <v>98</v>
      </c>
      <c r="H4501" s="5" t="s">
        <v>20</v>
      </c>
      <c r="I4501" s="5" t="s">
        <v>9909</v>
      </c>
      <c r="J4501" s="12" t="str">
        <f>HYPERLINK("https://www.boe.es/gazeta/dias/1806/01/31/pdfs/GMD-1806-11.pdf#page=6","Abrir facsímil")</f>
        <v>Abrir facsímil</v>
      </c>
      <c r="K4501" s="15" t="s">
        <v>22</v>
      </c>
    </row>
    <row r="4502" spans="1:11" ht="42" customHeight="1">
      <c r="A4502" s="4" t="s">
        <v>9910</v>
      </c>
      <c r="B4502" s="5" t="s">
        <v>9910</v>
      </c>
      <c r="C4502" s="5" t="s">
        <v>31</v>
      </c>
      <c r="D4502" s="5" t="s">
        <v>32</v>
      </c>
      <c r="E4502" s="5" t="s">
        <v>367</v>
      </c>
      <c r="F4502" s="9">
        <v>87</v>
      </c>
      <c r="G4502" s="9">
        <v>901</v>
      </c>
      <c r="H4502" s="5" t="s">
        <v>20</v>
      </c>
      <c r="I4502" s="5" t="s">
        <v>9911</v>
      </c>
      <c r="J4502" s="12" t="str">
        <f>HYPERLINK("https://www.boe.es/gazeta/dias/1806/10/24/pdfs/GMD-1806-87.pdf#page=9","Abrir facsímil")</f>
        <v>Abrir facsímil</v>
      </c>
      <c r="K4502" s="15" t="s">
        <v>22</v>
      </c>
    </row>
    <row r="4503" spans="1:11" ht="42" customHeight="1">
      <c r="A4503" s="4" t="s">
        <v>9912</v>
      </c>
      <c r="B4503" s="5" t="s">
        <v>9912</v>
      </c>
      <c r="C4503" s="5" t="s">
        <v>17</v>
      </c>
      <c r="D4503" s="5" t="s">
        <v>18</v>
      </c>
      <c r="E4503" s="5" t="s">
        <v>82</v>
      </c>
      <c r="F4503" s="9">
        <v>48</v>
      </c>
      <c r="G4503" s="9">
        <v>495</v>
      </c>
      <c r="H4503" s="5" t="s">
        <v>20</v>
      </c>
      <c r="I4503" s="5" t="s">
        <v>9913</v>
      </c>
      <c r="J4503" s="12" t="str">
        <f>HYPERLINK("https://www.boe.es/gazeta/dias/1806/06/10/pdfs/GMD-1806-48.pdf#page=7","Abrir facsímil")</f>
        <v>Abrir facsímil</v>
      </c>
      <c r="K4503" s="15" t="s">
        <v>22</v>
      </c>
    </row>
    <row r="4504" spans="1:11" ht="42" customHeight="1">
      <c r="A4504" s="4" t="s">
        <v>9914</v>
      </c>
      <c r="B4504" s="5" t="s">
        <v>9915</v>
      </c>
      <c r="C4504" s="5" t="s">
        <v>17</v>
      </c>
      <c r="D4504" s="5" t="s">
        <v>18</v>
      </c>
      <c r="E4504" s="5" t="s">
        <v>438</v>
      </c>
      <c r="F4504" s="9">
        <v>70</v>
      </c>
      <c r="G4504" s="9">
        <v>728</v>
      </c>
      <c r="H4504" s="5" t="s">
        <v>20</v>
      </c>
      <c r="I4504" s="5" t="s">
        <v>9916</v>
      </c>
      <c r="J4504" s="12" t="str">
        <f>HYPERLINK("https://www.boe.es/gazeta/dias/1806/08/26/pdfs/GMD-1806-70.pdf#page=4","Abrir facsímil")</f>
        <v>Abrir facsímil</v>
      </c>
      <c r="K4504" s="15" t="s">
        <v>22</v>
      </c>
    </row>
    <row r="4505" spans="1:11" ht="42" customHeight="1">
      <c r="A4505" s="4" t="s">
        <v>9917</v>
      </c>
      <c r="B4505" s="5" t="s">
        <v>9917</v>
      </c>
      <c r="C4505" s="5" t="s">
        <v>17</v>
      </c>
      <c r="D4505" s="5" t="s">
        <v>18</v>
      </c>
      <c r="E4505" s="5" t="s">
        <v>175</v>
      </c>
      <c r="F4505" s="9">
        <v>40</v>
      </c>
      <c r="G4505" s="9">
        <v>399</v>
      </c>
      <c r="H4505" s="5" t="s">
        <v>20</v>
      </c>
      <c r="I4505" s="5" t="s">
        <v>9918</v>
      </c>
      <c r="J4505" s="12" t="str">
        <f>HYPERLINK("https://www.boe.es/gazeta/dias/1806/05/13/pdfs/GMD-1806-40.pdf#page=11","Abrir facsímil")</f>
        <v>Abrir facsímil</v>
      </c>
      <c r="K4505" s="15" t="s">
        <v>22</v>
      </c>
    </row>
    <row r="4506" spans="1:11" ht="42" customHeight="1">
      <c r="A4506" s="4" t="s">
        <v>9919</v>
      </c>
      <c r="B4506" s="5" t="s">
        <v>9920</v>
      </c>
      <c r="C4506" s="5" t="s">
        <v>17</v>
      </c>
      <c r="D4506" s="5" t="s">
        <v>18</v>
      </c>
      <c r="E4506" s="5" t="s">
        <v>290</v>
      </c>
      <c r="F4506" s="9">
        <v>1</v>
      </c>
      <c r="G4506" s="9">
        <v>8</v>
      </c>
      <c r="H4506" s="5" t="s">
        <v>20</v>
      </c>
      <c r="I4506" s="5" t="s">
        <v>9921</v>
      </c>
      <c r="J4506" s="12" t="str">
        <f>HYPERLINK("https://www.boe.es/gazeta/dias/1806/01/03/pdfs/GMD-1806-1.pdf#page=8","Abrir facsímil")</f>
        <v>Abrir facsímil</v>
      </c>
      <c r="K4506" s="15" t="s">
        <v>22</v>
      </c>
    </row>
    <row r="4507" spans="1:11" ht="42" customHeight="1">
      <c r="A4507" s="4" t="s">
        <v>9922</v>
      </c>
      <c r="B4507" s="5" t="s">
        <v>9922</v>
      </c>
      <c r="C4507" s="5" t="s">
        <v>31</v>
      </c>
      <c r="D4507" s="5" t="s">
        <v>32</v>
      </c>
      <c r="E4507" s="5" t="s">
        <v>430</v>
      </c>
      <c r="F4507" s="9">
        <v>12</v>
      </c>
      <c r="G4507" s="9">
        <v>106</v>
      </c>
      <c r="H4507" s="5" t="s">
        <v>20</v>
      </c>
      <c r="I4507" s="5" t="s">
        <v>9923</v>
      </c>
      <c r="J4507" s="12" t="str">
        <f>HYPERLINK("https://www.boe.es/gazeta/dias/1806/02/04/pdfs/GMD-1806-12.pdf#page=6","Abrir facsímil")</f>
        <v>Abrir facsímil</v>
      </c>
      <c r="K4507" s="15" t="s">
        <v>22</v>
      </c>
    </row>
    <row r="4508" spans="1:11" ht="42" customHeight="1">
      <c r="A4508" s="4" t="s">
        <v>9924</v>
      </c>
      <c r="B4508" s="5" t="s">
        <v>9924</v>
      </c>
      <c r="C4508" s="5" t="s">
        <v>69</v>
      </c>
      <c r="D4508" s="5" t="s">
        <v>70</v>
      </c>
      <c r="E4508" s="5" t="s">
        <v>540</v>
      </c>
      <c r="F4508" s="9">
        <v>51</v>
      </c>
      <c r="G4508" s="9">
        <v>521</v>
      </c>
      <c r="H4508" s="5" t="s">
        <v>20</v>
      </c>
      <c r="I4508" s="5" t="s">
        <v>9925</v>
      </c>
      <c r="J4508" s="12" t="str">
        <f>HYPERLINK("https://www.boe.es/gazeta/dias/1806/06/20/pdfs/GMD-1806-51.pdf#page=1","Abrir facsímil")</f>
        <v>Abrir facsímil</v>
      </c>
      <c r="K4508" s="15" t="s">
        <v>22</v>
      </c>
    </row>
    <row r="4509" spans="1:11" ht="42" customHeight="1">
      <c r="A4509" s="4" t="s">
        <v>9926</v>
      </c>
      <c r="B4509" s="5" t="s">
        <v>9927</v>
      </c>
      <c r="C4509" s="5" t="s">
        <v>69</v>
      </c>
      <c r="D4509" s="5" t="s">
        <v>70</v>
      </c>
      <c r="E4509" s="5" t="s">
        <v>501</v>
      </c>
      <c r="F4509" s="9">
        <v>39</v>
      </c>
      <c r="G4509" s="9">
        <v>378</v>
      </c>
      <c r="H4509" s="5" t="s">
        <v>20</v>
      </c>
      <c r="I4509" s="5" t="s">
        <v>9928</v>
      </c>
      <c r="J4509" s="12" t="str">
        <f>HYPERLINK("https://www.boe.es/gazeta/dias/1806/05/09/pdfs/GMD-1806-39.pdf#page=2","Abrir facsímil")</f>
        <v>Abrir facsímil</v>
      </c>
      <c r="K4509" s="15" t="s">
        <v>22</v>
      </c>
    </row>
    <row r="4510" spans="1:11" ht="42" customHeight="1">
      <c r="A4510" s="4" t="s">
        <v>9929</v>
      </c>
      <c r="B4510" s="5" t="s">
        <v>9929</v>
      </c>
      <c r="C4510" s="5" t="s">
        <v>36</v>
      </c>
      <c r="D4510" s="5" t="s">
        <v>37</v>
      </c>
      <c r="E4510" s="5" t="s">
        <v>100</v>
      </c>
      <c r="F4510" s="9">
        <v>7</v>
      </c>
      <c r="G4510" s="9">
        <v>68</v>
      </c>
      <c r="H4510" s="5" t="s">
        <v>20</v>
      </c>
      <c r="I4510" s="5" t="s">
        <v>9930</v>
      </c>
      <c r="J4510" s="12" t="str">
        <f>HYPERLINK("https://www.boe.es/gazeta/dias/1806/01/21/pdfs/GMD-1806-7.pdf#page=12","Abrir facsímil")</f>
        <v>Abrir facsímil</v>
      </c>
      <c r="K4510" s="15" t="s">
        <v>22</v>
      </c>
    </row>
    <row r="4511" spans="1:11" ht="42" customHeight="1">
      <c r="A4511" s="4" t="s">
        <v>9931</v>
      </c>
      <c r="B4511" s="5" t="s">
        <v>9932</v>
      </c>
      <c r="C4511" s="5" t="s">
        <v>31</v>
      </c>
      <c r="D4511" s="5" t="s">
        <v>32</v>
      </c>
      <c r="E4511" s="5" t="s">
        <v>55</v>
      </c>
      <c r="F4511" s="9">
        <v>20</v>
      </c>
      <c r="G4511" s="9">
        <v>184</v>
      </c>
      <c r="H4511" s="5" t="s">
        <v>20</v>
      </c>
      <c r="I4511" s="5" t="s">
        <v>9933</v>
      </c>
      <c r="J4511" s="12" t="str">
        <f>HYPERLINK("https://www.boe.es/gazeta/dias/1806/03/04/pdfs/GMD-1806-20.pdf#page=8","Abrir facsímil")</f>
        <v>Abrir facsímil</v>
      </c>
      <c r="K4511" s="15" t="s">
        <v>22</v>
      </c>
    </row>
    <row r="4512" spans="1:11" ht="42" customHeight="1">
      <c r="A4512" s="4" t="s">
        <v>9934</v>
      </c>
      <c r="B4512" s="5" t="s">
        <v>9935</v>
      </c>
      <c r="C4512" s="5" t="s">
        <v>31</v>
      </c>
      <c r="D4512" s="5" t="s">
        <v>32</v>
      </c>
      <c r="E4512" s="5" t="s">
        <v>76</v>
      </c>
      <c r="F4512" s="9">
        <v>98</v>
      </c>
      <c r="G4512" s="9">
        <v>1043</v>
      </c>
      <c r="H4512" s="5" t="s">
        <v>20</v>
      </c>
      <c r="I4512" s="5" t="s">
        <v>9936</v>
      </c>
      <c r="J4512" s="12" t="str">
        <f>HYPERLINK("https://www.boe.es/gazeta/dias/1806/12/02/pdfs/GMD-1806-98.pdf#page=11","Abrir facsímil")</f>
        <v>Abrir facsímil</v>
      </c>
      <c r="K4512" s="15" t="s">
        <v>22</v>
      </c>
    </row>
    <row r="4513" spans="1:11" ht="42" customHeight="1">
      <c r="A4513" s="4" t="s">
        <v>9937</v>
      </c>
      <c r="B4513" s="5" t="s">
        <v>9938</v>
      </c>
      <c r="C4513" s="5" t="s">
        <v>31</v>
      </c>
      <c r="D4513" s="5" t="s">
        <v>32</v>
      </c>
      <c r="E4513" s="5" t="s">
        <v>59</v>
      </c>
      <c r="F4513" s="9">
        <v>21</v>
      </c>
      <c r="G4513" s="9">
        <v>196</v>
      </c>
      <c r="H4513" s="5" t="s">
        <v>20</v>
      </c>
      <c r="I4513" s="5" t="s">
        <v>9939</v>
      </c>
      <c r="J4513" s="12" t="str">
        <f>HYPERLINK("https://www.boe.es/gazeta/dias/1806/03/07/pdfs/GMD-1806-21.pdf#page=8","Abrir facsímil")</f>
        <v>Abrir facsímil</v>
      </c>
      <c r="K4513" s="15" t="s">
        <v>22</v>
      </c>
    </row>
    <row r="4514" spans="1:11" ht="42" customHeight="1">
      <c r="A4514" s="4" t="s">
        <v>9940</v>
      </c>
      <c r="B4514" s="5" t="s">
        <v>9941</v>
      </c>
      <c r="C4514" s="5" t="s">
        <v>17</v>
      </c>
      <c r="D4514" s="5" t="s">
        <v>18</v>
      </c>
      <c r="E4514" s="5" t="s">
        <v>245</v>
      </c>
      <c r="F4514" s="9">
        <v>106</v>
      </c>
      <c r="G4514" s="9">
        <v>1123</v>
      </c>
      <c r="H4514" s="5" t="s">
        <v>20</v>
      </c>
      <c r="I4514" s="5" t="s">
        <v>9942</v>
      </c>
      <c r="J4514" s="12" t="str">
        <f>HYPERLINK("https://www.boe.es/gazeta/dias/1806/12/26/pdfs/GMD-1806-106.pdf#page=7","Abrir facsímil")</f>
        <v>Abrir facsímil</v>
      </c>
      <c r="K4514" s="15" t="s">
        <v>22</v>
      </c>
    </row>
    <row r="4515" spans="1:11" ht="42" customHeight="1">
      <c r="A4515" s="4" t="s">
        <v>9943</v>
      </c>
      <c r="B4515" s="5" t="s">
        <v>9944</v>
      </c>
      <c r="C4515" s="5" t="s">
        <v>31</v>
      </c>
      <c r="D4515" s="5" t="s">
        <v>32</v>
      </c>
      <c r="E4515" s="5" t="s">
        <v>59</v>
      </c>
      <c r="F4515" s="9">
        <v>21</v>
      </c>
      <c r="G4515" s="9">
        <v>196</v>
      </c>
      <c r="H4515" s="5" t="s">
        <v>20</v>
      </c>
      <c r="I4515" s="5" t="s">
        <v>9945</v>
      </c>
      <c r="J4515" s="12" t="str">
        <f>HYPERLINK("https://www.boe.es/gazeta/dias/1806/03/07/pdfs/GMD-1806-21.pdf#page=8","Abrir facsímil")</f>
        <v>Abrir facsímil</v>
      </c>
      <c r="K4515" s="15" t="s">
        <v>22</v>
      </c>
    </row>
    <row r="4516" spans="1:11" ht="42" customHeight="1">
      <c r="A4516" s="4" t="s">
        <v>9946</v>
      </c>
      <c r="B4516" s="5" t="s">
        <v>9947</v>
      </c>
      <c r="C4516" s="5" t="s">
        <v>31</v>
      </c>
      <c r="D4516" s="5" t="s">
        <v>32</v>
      </c>
      <c r="E4516" s="5" t="s">
        <v>340</v>
      </c>
      <c r="F4516" s="9">
        <v>31</v>
      </c>
      <c r="G4516" s="9">
        <v>308</v>
      </c>
      <c r="H4516" s="5" t="s">
        <v>20</v>
      </c>
      <c r="I4516" s="5" t="s">
        <v>9948</v>
      </c>
      <c r="J4516" s="12" t="str">
        <f>HYPERLINK("https://www.boe.es/gazeta/dias/1806/04/11/pdfs/GMD-1806-31.pdf#page=12","Abrir facsímil")</f>
        <v>Abrir facsímil</v>
      </c>
      <c r="K4516" s="15" t="s">
        <v>22</v>
      </c>
    </row>
    <row r="4517" spans="1:11" ht="42" customHeight="1">
      <c r="A4517" s="4" t="s">
        <v>9949</v>
      </c>
      <c r="B4517" s="5" t="s">
        <v>9950</v>
      </c>
      <c r="C4517" s="5" t="s">
        <v>31</v>
      </c>
      <c r="D4517" s="5" t="s">
        <v>32</v>
      </c>
      <c r="E4517" s="5" t="s">
        <v>227</v>
      </c>
      <c r="F4517" s="9">
        <v>27</v>
      </c>
      <c r="G4517" s="9">
        <v>269</v>
      </c>
      <c r="H4517" s="5" t="s">
        <v>20</v>
      </c>
      <c r="I4517" s="5" t="s">
        <v>9951</v>
      </c>
      <c r="J4517" s="12" t="str">
        <f>HYPERLINK("https://www.boe.es/gazeta/dias/1806/03/28/pdfs/GMD-1806-27.pdf#page=9","Abrir facsímil")</f>
        <v>Abrir facsímil</v>
      </c>
      <c r="K4517" s="15" t="s">
        <v>22</v>
      </c>
    </row>
    <row r="4518" spans="1:11" ht="42" customHeight="1">
      <c r="A4518" s="4" t="s">
        <v>9952</v>
      </c>
      <c r="B4518" s="5" t="s">
        <v>9953</v>
      </c>
      <c r="C4518" s="5" t="s">
        <v>31</v>
      </c>
      <c r="D4518" s="5" t="s">
        <v>32</v>
      </c>
      <c r="E4518" s="5" t="s">
        <v>55</v>
      </c>
      <c r="F4518" s="9">
        <v>20</v>
      </c>
      <c r="G4518" s="9">
        <v>184</v>
      </c>
      <c r="H4518" s="5" t="s">
        <v>20</v>
      </c>
      <c r="I4518" s="5" t="s">
        <v>9954</v>
      </c>
      <c r="J4518" s="12" t="str">
        <f>HYPERLINK("https://www.boe.es/gazeta/dias/1806/03/04/pdfs/GMD-1806-20.pdf#page=8","Abrir facsímil")</f>
        <v>Abrir facsímil</v>
      </c>
      <c r="K4518" s="15" t="s">
        <v>22</v>
      </c>
    </row>
    <row r="4519" spans="1:11" ht="42" customHeight="1">
      <c r="A4519" s="4" t="s">
        <v>9955</v>
      </c>
      <c r="B4519" s="5" t="s">
        <v>9956</v>
      </c>
      <c r="C4519" s="5" t="s">
        <v>17</v>
      </c>
      <c r="D4519" s="5" t="s">
        <v>18</v>
      </c>
      <c r="E4519" s="5" t="s">
        <v>55</v>
      </c>
      <c r="F4519" s="9">
        <v>20</v>
      </c>
      <c r="G4519" s="9">
        <v>183</v>
      </c>
      <c r="H4519" s="5" t="s">
        <v>20</v>
      </c>
      <c r="I4519" s="5" t="s">
        <v>9957</v>
      </c>
      <c r="J4519" s="12" t="str">
        <f>HYPERLINK("https://www.boe.es/gazeta/dias/1806/03/04/pdfs/GMD-1806-20.pdf#page=7","Abrir facsímil")</f>
        <v>Abrir facsímil</v>
      </c>
      <c r="K4519" s="15" t="s">
        <v>22</v>
      </c>
    </row>
    <row r="4520" spans="1:11" ht="42" customHeight="1">
      <c r="A4520" s="4" t="s">
        <v>9958</v>
      </c>
      <c r="B4520" s="5" t="s">
        <v>9959</v>
      </c>
      <c r="C4520" s="5" t="s">
        <v>17</v>
      </c>
      <c r="D4520" s="5" t="s">
        <v>18</v>
      </c>
      <c r="E4520" s="5" t="s">
        <v>213</v>
      </c>
      <c r="F4520" s="9">
        <v>73</v>
      </c>
      <c r="G4520" s="9">
        <v>757</v>
      </c>
      <c r="H4520" s="5" t="s">
        <v>20</v>
      </c>
      <c r="I4520" s="5" t="s">
        <v>9960</v>
      </c>
      <c r="J4520" s="12" t="str">
        <f>HYPERLINK("https://www.boe.es/gazeta/dias/1806/09/05/pdfs/GMD-1806-73.pdf#page=5","Abrir facsímil")</f>
        <v>Abrir facsímil</v>
      </c>
      <c r="K4520" s="15" t="s">
        <v>22</v>
      </c>
    </row>
    <row r="4521" spans="1:11" ht="42" customHeight="1">
      <c r="A4521" s="4" t="s">
        <v>9961</v>
      </c>
      <c r="B4521" s="5" t="s">
        <v>9962</v>
      </c>
      <c r="C4521" s="5" t="s">
        <v>31</v>
      </c>
      <c r="D4521" s="5" t="s">
        <v>32</v>
      </c>
      <c r="E4521" s="5" t="s">
        <v>79</v>
      </c>
      <c r="F4521" s="9">
        <v>68</v>
      </c>
      <c r="G4521" s="9">
        <v>709</v>
      </c>
      <c r="H4521" s="5" t="s">
        <v>20</v>
      </c>
      <c r="I4521" s="5" t="s">
        <v>9963</v>
      </c>
      <c r="J4521" s="12" t="str">
        <f>HYPERLINK("https://www.boe.es/gazeta/dias/1806/08/19/pdfs/GMD-1806-68.pdf#page=5","Abrir facsímil")</f>
        <v>Abrir facsímil</v>
      </c>
      <c r="K4521" s="15" t="s">
        <v>22</v>
      </c>
    </row>
    <row r="4522" spans="1:11" ht="42" customHeight="1">
      <c r="A4522" s="4" t="s">
        <v>9964</v>
      </c>
      <c r="B4522" s="5" t="s">
        <v>9965</v>
      </c>
      <c r="C4522" s="5" t="s">
        <v>17</v>
      </c>
      <c r="D4522" s="5" t="s">
        <v>18</v>
      </c>
      <c r="E4522" s="5" t="s">
        <v>26</v>
      </c>
      <c r="F4522" s="9">
        <v>65</v>
      </c>
      <c r="G4522" s="9">
        <v>681</v>
      </c>
      <c r="H4522" s="5" t="s">
        <v>20</v>
      </c>
      <c r="I4522" s="5" t="s">
        <v>9966</v>
      </c>
      <c r="J4522" s="12" t="str">
        <f>HYPERLINK("https://www.boe.es/gazeta/dias/1806/08/08/pdfs/GMD-1806-65.pdf#page=9","Abrir facsímil")</f>
        <v>Abrir facsímil</v>
      </c>
      <c r="K4522" s="15" t="s">
        <v>22</v>
      </c>
    </row>
    <row r="4523" spans="1:11" ht="42" customHeight="1">
      <c r="A4523" s="4" t="s">
        <v>9967</v>
      </c>
      <c r="B4523" s="5" t="s">
        <v>9968</v>
      </c>
      <c r="C4523" s="5" t="s">
        <v>17</v>
      </c>
      <c r="D4523" s="5" t="s">
        <v>18</v>
      </c>
      <c r="E4523" s="5" t="s">
        <v>148</v>
      </c>
      <c r="F4523" s="9">
        <v>78</v>
      </c>
      <c r="G4523" s="9">
        <v>803</v>
      </c>
      <c r="H4523" s="5" t="s">
        <v>20</v>
      </c>
      <c r="I4523" s="5" t="s">
        <v>9969</v>
      </c>
      <c r="J4523" s="12" t="str">
        <f>HYPERLINK("https://www.boe.es/gazeta/dias/1806/09/23/pdfs/GMD-1806-78.pdf#page=7","Abrir facsímil")</f>
        <v>Abrir facsímil</v>
      </c>
      <c r="K4523" s="15" t="s">
        <v>22</v>
      </c>
    </row>
    <row r="4524" spans="1:11" ht="42" customHeight="1">
      <c r="A4524" s="4" t="s">
        <v>9970</v>
      </c>
      <c r="B4524" s="5" t="s">
        <v>9971</v>
      </c>
      <c r="C4524" s="5" t="s">
        <v>17</v>
      </c>
      <c r="D4524" s="5" t="s">
        <v>18</v>
      </c>
      <c r="E4524" s="5" t="s">
        <v>213</v>
      </c>
      <c r="F4524" s="9">
        <v>73</v>
      </c>
      <c r="G4524" s="9">
        <v>757</v>
      </c>
      <c r="H4524" s="5" t="s">
        <v>20</v>
      </c>
      <c r="I4524" s="5" t="s">
        <v>9972</v>
      </c>
      <c r="J4524" s="12" t="str">
        <f>HYPERLINK("https://www.boe.es/gazeta/dias/1806/09/05/pdfs/GMD-1806-73.pdf#page=5","Abrir facsímil")</f>
        <v>Abrir facsímil</v>
      </c>
      <c r="K4524" s="15" t="s">
        <v>22</v>
      </c>
    </row>
    <row r="4525" spans="1:11" ht="42" customHeight="1">
      <c r="A4525" s="4" t="s">
        <v>9973</v>
      </c>
      <c r="B4525" s="5" t="s">
        <v>9974</v>
      </c>
      <c r="C4525" s="5" t="s">
        <v>31</v>
      </c>
      <c r="D4525" s="5" t="s">
        <v>32</v>
      </c>
      <c r="E4525" s="5" t="s">
        <v>86</v>
      </c>
      <c r="F4525" s="9">
        <v>53</v>
      </c>
      <c r="G4525" s="9">
        <v>552</v>
      </c>
      <c r="H4525" s="5" t="s">
        <v>20</v>
      </c>
      <c r="I4525" s="5" t="s">
        <v>9975</v>
      </c>
      <c r="J4525" s="12" t="str">
        <f>HYPERLINK("https://www.boe.es/gazeta/dias/1806/06/27/pdfs/GMD-1806-53.pdf#page=8","Abrir facsímil")</f>
        <v>Abrir facsímil</v>
      </c>
      <c r="K4525" s="15" t="s">
        <v>22</v>
      </c>
    </row>
    <row r="4526" spans="1:11" ht="42" customHeight="1">
      <c r="A4526" s="4" t="s">
        <v>9976</v>
      </c>
      <c r="B4526" s="5" t="s">
        <v>9977</v>
      </c>
      <c r="C4526" s="5" t="s">
        <v>17</v>
      </c>
      <c r="D4526" s="5" t="s">
        <v>18</v>
      </c>
      <c r="E4526" s="5" t="s">
        <v>185</v>
      </c>
      <c r="F4526" s="9">
        <v>46</v>
      </c>
      <c r="G4526" s="9">
        <v>469</v>
      </c>
      <c r="H4526" s="5" t="s">
        <v>20</v>
      </c>
      <c r="I4526" s="5" t="s">
        <v>9978</v>
      </c>
      <c r="J4526" s="12" t="str">
        <f>HYPERLINK("https://www.boe.es/gazeta/dias/1806/06/03/pdfs/GMD-1806-46.pdf#page=9","Abrir facsímil")</f>
        <v>Abrir facsímil</v>
      </c>
      <c r="K4526" s="15" t="s">
        <v>22</v>
      </c>
    </row>
    <row r="4527" spans="1:11" ht="42" customHeight="1">
      <c r="A4527" s="4" t="s">
        <v>9979</v>
      </c>
      <c r="B4527" s="5" t="s">
        <v>9980</v>
      </c>
      <c r="C4527" s="5" t="s">
        <v>42</v>
      </c>
      <c r="D4527" s="5" t="s">
        <v>43</v>
      </c>
      <c r="E4527" s="5" t="s">
        <v>238</v>
      </c>
      <c r="F4527" s="9">
        <v>18</v>
      </c>
      <c r="G4527" s="9">
        <v>160</v>
      </c>
      <c r="H4527" s="5" t="s">
        <v>20</v>
      </c>
      <c r="I4527" s="5" t="s">
        <v>9981</v>
      </c>
      <c r="J4527" s="12" t="str">
        <f>HYPERLINK("https://www.boe.es/gazeta/dias/1806/02/25/pdfs/GMD-1806-18.pdf#page=8","Abrir facsímil")</f>
        <v>Abrir facsímil</v>
      </c>
      <c r="K4527" s="15" t="s">
        <v>22</v>
      </c>
    </row>
    <row r="4528" spans="1:11" ht="42" customHeight="1">
      <c r="A4528" s="4" t="s">
        <v>9982</v>
      </c>
      <c r="B4528" s="5" t="s">
        <v>9982</v>
      </c>
      <c r="C4528" s="5" t="s">
        <v>69</v>
      </c>
      <c r="D4528" s="5" t="s">
        <v>70</v>
      </c>
      <c r="E4528" s="5" t="s">
        <v>306</v>
      </c>
      <c r="F4528" s="9">
        <v>59</v>
      </c>
      <c r="G4528" s="9">
        <v>607</v>
      </c>
      <c r="H4528" s="5" t="s">
        <v>20</v>
      </c>
      <c r="I4528" s="5" t="s">
        <v>9983</v>
      </c>
      <c r="J4528" s="12" t="str">
        <f>HYPERLINK("https://www.boe.es/gazeta/dias/1806/07/18/pdfs/GMD-1806-59.pdf#page=3","Abrir facsímil")</f>
        <v>Abrir facsímil</v>
      </c>
      <c r="K4528" s="15" t="s">
        <v>22</v>
      </c>
    </row>
    <row r="4529" spans="1:11" ht="42" customHeight="1">
      <c r="A4529" s="4" t="s">
        <v>9984</v>
      </c>
      <c r="B4529" s="5" t="s">
        <v>9985</v>
      </c>
      <c r="C4529" s="5" t="s">
        <v>69</v>
      </c>
      <c r="D4529" s="5" t="s">
        <v>70</v>
      </c>
      <c r="E4529" s="5" t="s">
        <v>195</v>
      </c>
      <c r="F4529" s="9">
        <v>4</v>
      </c>
      <c r="G4529" s="9">
        <v>29</v>
      </c>
      <c r="H4529" s="5" t="s">
        <v>20</v>
      </c>
      <c r="I4529" s="5" t="s">
        <v>9986</v>
      </c>
      <c r="J4529" s="12" t="str">
        <f>HYPERLINK("https://www.boe.es/gazeta/dias/1806/01/14/pdfs/GMD-1806-4.pdf#page=1","Abrir facsímil")</f>
        <v>Abrir facsímil</v>
      </c>
      <c r="K4529" s="15" t="s">
        <v>22</v>
      </c>
    </row>
    <row r="4530" spans="1:11" ht="42" customHeight="1">
      <c r="A4530" s="4" t="s">
        <v>9987</v>
      </c>
      <c r="B4530" s="5" t="s">
        <v>9988</v>
      </c>
      <c r="C4530" s="5" t="s">
        <v>69</v>
      </c>
      <c r="D4530" s="5" t="s">
        <v>70</v>
      </c>
      <c r="E4530" s="5" t="s">
        <v>100</v>
      </c>
      <c r="F4530" s="9">
        <v>7</v>
      </c>
      <c r="G4530" s="9">
        <v>57</v>
      </c>
      <c r="H4530" s="5" t="s">
        <v>20</v>
      </c>
      <c r="I4530" s="5" t="s">
        <v>9989</v>
      </c>
      <c r="J4530" s="12" t="str">
        <f>HYPERLINK("https://www.boe.es/gazeta/dias/1806/01/21/pdfs/GMD-1806-7.pdf#page=1","Abrir facsímil")</f>
        <v>Abrir facsímil</v>
      </c>
      <c r="K4530" s="15" t="s">
        <v>22</v>
      </c>
    </row>
    <row r="4531" spans="1:11" ht="42" customHeight="1">
      <c r="A4531" s="4" t="s">
        <v>9984</v>
      </c>
      <c r="B4531" s="5" t="s">
        <v>9985</v>
      </c>
      <c r="C4531" s="5" t="s">
        <v>69</v>
      </c>
      <c r="D4531" s="5" t="s">
        <v>70</v>
      </c>
      <c r="E4531" s="5" t="s">
        <v>55</v>
      </c>
      <c r="F4531" s="9">
        <v>20</v>
      </c>
      <c r="G4531" s="9">
        <v>179</v>
      </c>
      <c r="H4531" s="5" t="s">
        <v>20</v>
      </c>
      <c r="I4531" s="5" t="s">
        <v>9990</v>
      </c>
      <c r="J4531" s="12" t="str">
        <f>HYPERLINK("https://www.boe.es/gazeta/dias/1806/03/04/pdfs/GMD-1806-20.pdf#page=3","Abrir facsímil")</f>
        <v>Abrir facsímil</v>
      </c>
      <c r="K4531" s="15" t="s">
        <v>22</v>
      </c>
    </row>
    <row r="4532" spans="1:11" ht="42" customHeight="1">
      <c r="A4532" s="4" t="s">
        <v>9984</v>
      </c>
      <c r="B4532" s="5" t="s">
        <v>9985</v>
      </c>
      <c r="C4532" s="5" t="s">
        <v>69</v>
      </c>
      <c r="D4532" s="5" t="s">
        <v>70</v>
      </c>
      <c r="E4532" s="5" t="s">
        <v>780</v>
      </c>
      <c r="F4532" s="9">
        <v>33</v>
      </c>
      <c r="G4532" s="9">
        <v>323</v>
      </c>
      <c r="H4532" s="5" t="s">
        <v>20</v>
      </c>
      <c r="I4532" s="5" t="s">
        <v>9991</v>
      </c>
      <c r="J4532" s="12" t="str">
        <f>HYPERLINK("https://www.boe.es/gazeta/dias/1806/04/18/pdfs/GMD-1806-33.pdf#page=3","Abrir facsímil")</f>
        <v>Abrir facsímil</v>
      </c>
      <c r="K4532" s="15" t="s">
        <v>22</v>
      </c>
    </row>
    <row r="4533" spans="1:11" ht="42" customHeight="1">
      <c r="A4533" s="4" t="s">
        <v>9984</v>
      </c>
      <c r="B4533" s="5" t="s">
        <v>9985</v>
      </c>
      <c r="C4533" s="5" t="s">
        <v>36</v>
      </c>
      <c r="D4533" s="5" t="s">
        <v>37</v>
      </c>
      <c r="E4533" s="5" t="s">
        <v>82</v>
      </c>
      <c r="F4533" s="9">
        <v>48</v>
      </c>
      <c r="G4533" s="9">
        <v>494</v>
      </c>
      <c r="H4533" s="5" t="s">
        <v>20</v>
      </c>
      <c r="I4533" s="5" t="s">
        <v>9992</v>
      </c>
      <c r="J4533" s="12" t="str">
        <f>HYPERLINK("https://www.boe.es/gazeta/dias/1806/06/10/pdfs/GMD-1806-48.pdf#page=6","Abrir facsímil")</f>
        <v>Abrir facsímil</v>
      </c>
      <c r="K4533" s="15" t="s">
        <v>22</v>
      </c>
    </row>
    <row r="4534" spans="1:11" ht="42" customHeight="1">
      <c r="A4534" s="4" t="s">
        <v>9984</v>
      </c>
      <c r="B4534" s="5" t="s">
        <v>9985</v>
      </c>
      <c r="C4534" s="5" t="s">
        <v>69</v>
      </c>
      <c r="D4534" s="5" t="s">
        <v>70</v>
      </c>
      <c r="E4534" s="5" t="s">
        <v>348</v>
      </c>
      <c r="F4534" s="9">
        <v>88</v>
      </c>
      <c r="G4534" s="9">
        <v>909</v>
      </c>
      <c r="H4534" s="5" t="s">
        <v>20</v>
      </c>
      <c r="I4534" s="5" t="s">
        <v>9993</v>
      </c>
      <c r="J4534" s="12" t="str">
        <f>HYPERLINK("https://www.boe.es/gazeta/dias/1806/10/28/pdfs/GMD-1806-88.pdf#page=5","Abrir facsímil")</f>
        <v>Abrir facsímil</v>
      </c>
      <c r="K4534" s="15" t="s">
        <v>22</v>
      </c>
    </row>
    <row r="4535" spans="1:11" ht="42" customHeight="1">
      <c r="A4535" s="4" t="s">
        <v>9994</v>
      </c>
      <c r="B4535" s="5" t="s">
        <v>9995</v>
      </c>
      <c r="C4535" s="5" t="s">
        <v>69</v>
      </c>
      <c r="D4535" s="5" t="s">
        <v>70</v>
      </c>
      <c r="E4535" s="5" t="s">
        <v>202</v>
      </c>
      <c r="F4535" s="9">
        <v>30</v>
      </c>
      <c r="G4535" s="9">
        <v>292</v>
      </c>
      <c r="H4535" s="5" t="s">
        <v>20</v>
      </c>
      <c r="I4535" s="5" t="s">
        <v>9996</v>
      </c>
      <c r="J4535" s="12" t="str">
        <f>HYPERLINK("https://www.boe.es/gazeta/dias/1806/04/08/pdfs/GMD-1806-30.pdf#page=4","Abrir facsímil")</f>
        <v>Abrir facsímil</v>
      </c>
      <c r="K4535" s="15" t="s">
        <v>22</v>
      </c>
    </row>
    <row r="4536" spans="1:11" ht="42" customHeight="1">
      <c r="A4536" s="4" t="s">
        <v>9997</v>
      </c>
      <c r="B4536" s="5" t="s">
        <v>9997</v>
      </c>
      <c r="C4536" s="5" t="s">
        <v>31</v>
      </c>
      <c r="D4536" s="5" t="s">
        <v>32</v>
      </c>
      <c r="E4536" s="5" t="s">
        <v>59</v>
      </c>
      <c r="F4536" s="9">
        <v>21</v>
      </c>
      <c r="G4536" s="9">
        <v>193</v>
      </c>
      <c r="H4536" s="5" t="s">
        <v>20</v>
      </c>
      <c r="I4536" s="5" t="s">
        <v>9998</v>
      </c>
      <c r="J4536" s="12" t="str">
        <f>HYPERLINK("https://www.boe.es/gazeta/dias/1806/03/07/pdfs/GMD-1806-21.pdf#page=5","Abrir facsímil")</f>
        <v>Abrir facsímil</v>
      </c>
      <c r="K4536" s="15" t="s">
        <v>22</v>
      </c>
    </row>
    <row r="4537" spans="1:11" ht="42" customHeight="1">
      <c r="A4537" s="4" t="s">
        <v>9999</v>
      </c>
      <c r="B4537" s="5" t="s">
        <v>9999</v>
      </c>
      <c r="C4537" s="5" t="s">
        <v>17</v>
      </c>
      <c r="D4537" s="5" t="s">
        <v>18</v>
      </c>
      <c r="E4537" s="5" t="s">
        <v>911</v>
      </c>
      <c r="F4537" s="9">
        <v>64</v>
      </c>
      <c r="G4537" s="9">
        <v>670</v>
      </c>
      <c r="H4537" s="5" t="s">
        <v>20</v>
      </c>
      <c r="I4537" s="5" t="s">
        <v>10000</v>
      </c>
      <c r="J4537" s="12" t="str">
        <f>HYPERLINK("https://www.boe.es/gazeta/dias/1806/08/05/pdfs/GMD-1806-64.pdf#page=6","Abrir facsímil")</f>
        <v>Abrir facsímil</v>
      </c>
      <c r="K4537" s="15" t="s">
        <v>22</v>
      </c>
    </row>
    <row r="4538" spans="1:11" ht="42" customHeight="1">
      <c r="A4538" s="4" t="s">
        <v>10001</v>
      </c>
      <c r="B4538" s="5" t="s">
        <v>10001</v>
      </c>
      <c r="C4538" s="5" t="s">
        <v>31</v>
      </c>
      <c r="D4538" s="5" t="s">
        <v>32</v>
      </c>
      <c r="E4538" s="5" t="s">
        <v>716</v>
      </c>
      <c r="F4538" s="9">
        <v>56</v>
      </c>
      <c r="G4538" s="9">
        <v>586</v>
      </c>
      <c r="H4538" s="5" t="s">
        <v>20</v>
      </c>
      <c r="I4538" s="5" t="s">
        <v>10002</v>
      </c>
      <c r="J4538" s="12" t="str">
        <f>HYPERLINK("https://www.boe.es/gazeta/dias/1806/07/08/pdfs/GMD-1806-56.pdf#page=10","Abrir facsímil")</f>
        <v>Abrir facsímil</v>
      </c>
      <c r="K4538" s="15" t="s">
        <v>22</v>
      </c>
    </row>
    <row r="4539" spans="1:11" ht="42" customHeight="1">
      <c r="A4539" s="4" t="s">
        <v>10003</v>
      </c>
      <c r="B4539" s="5" t="s">
        <v>10004</v>
      </c>
      <c r="C4539" s="5" t="s">
        <v>706</v>
      </c>
      <c r="D4539" s="5" t="s">
        <v>707</v>
      </c>
      <c r="E4539" s="5" t="s">
        <v>195</v>
      </c>
      <c r="F4539" s="9" t="s">
        <v>708</v>
      </c>
      <c r="G4539" s="9">
        <v>42</v>
      </c>
      <c r="H4539" s="5" t="s">
        <v>20</v>
      </c>
      <c r="I4539" s="5" t="s">
        <v>10005</v>
      </c>
      <c r="J4539" s="12" t="str">
        <f>HYPERLINK("https://www.boe.es/gazeta/dias/1806/01/14/pdfs/GMD-1806-5E.pdf#page=2","Abrir facsímil")</f>
        <v>Abrir facsímil</v>
      </c>
      <c r="K4539" s="15" t="s">
        <v>22</v>
      </c>
    </row>
    <row r="4540" spans="1:11" ht="42" customHeight="1">
      <c r="A4540" s="4" t="s">
        <v>10003</v>
      </c>
      <c r="B4540" s="5" t="s">
        <v>10004</v>
      </c>
      <c r="C4540" s="5" t="s">
        <v>69</v>
      </c>
      <c r="D4540" s="5" t="s">
        <v>70</v>
      </c>
      <c r="E4540" s="5" t="s">
        <v>161</v>
      </c>
      <c r="F4540" s="9">
        <v>11</v>
      </c>
      <c r="G4540" s="9">
        <v>94</v>
      </c>
      <c r="H4540" s="5" t="s">
        <v>20</v>
      </c>
      <c r="I4540" s="5" t="s">
        <v>10006</v>
      </c>
      <c r="J4540" s="12" t="str">
        <f>HYPERLINK("https://www.boe.es/gazeta/dias/1806/01/31/pdfs/GMD-1806-11.pdf#page=2","Abrir facsímil")</f>
        <v>Abrir facsímil</v>
      </c>
      <c r="K4540" s="15" t="s">
        <v>22</v>
      </c>
    </row>
    <row r="4541" spans="1:11" ht="42" customHeight="1">
      <c r="A4541" s="4" t="s">
        <v>10007</v>
      </c>
      <c r="B4541" s="5" t="s">
        <v>10007</v>
      </c>
      <c r="C4541" s="5" t="s">
        <v>69</v>
      </c>
      <c r="D4541" s="5" t="s">
        <v>70</v>
      </c>
      <c r="E4541" s="5" t="s">
        <v>501</v>
      </c>
      <c r="F4541" s="9">
        <v>39</v>
      </c>
      <c r="G4541" s="9">
        <v>383</v>
      </c>
      <c r="H4541" s="5" t="s">
        <v>20</v>
      </c>
      <c r="I4541" s="5" t="s">
        <v>10008</v>
      </c>
      <c r="J4541" s="12" t="str">
        <f>HYPERLINK("https://www.boe.es/gazeta/dias/1806/05/09/pdfs/GMD-1806-39.pdf#page=7","Abrir facsímil")</f>
        <v>Abrir facsímil</v>
      </c>
      <c r="K4541" s="15" t="s">
        <v>22</v>
      </c>
    </row>
    <row r="4542" spans="1:11" ht="42" customHeight="1">
      <c r="A4542" s="4" t="s">
        <v>10009</v>
      </c>
      <c r="B4542" s="5" t="s">
        <v>10010</v>
      </c>
      <c r="C4542" s="5" t="s">
        <v>17</v>
      </c>
      <c r="D4542" s="5" t="s">
        <v>18</v>
      </c>
      <c r="E4542" s="5" t="s">
        <v>24</v>
      </c>
      <c r="F4542" s="9">
        <v>32</v>
      </c>
      <c r="G4542" s="9">
        <v>316</v>
      </c>
      <c r="H4542" s="5" t="s">
        <v>20</v>
      </c>
      <c r="I4542" s="5" t="s">
        <v>10011</v>
      </c>
      <c r="J4542" s="12" t="str">
        <f>HYPERLINK("https://www.boe.es/gazeta/dias/1806/04/15/pdfs/GMD-1806-32.pdf#page=8","Abrir facsímil")</f>
        <v>Abrir facsímil</v>
      </c>
      <c r="K4542" s="15" t="s">
        <v>22</v>
      </c>
    </row>
    <row r="4543" spans="1:11" ht="42" customHeight="1">
      <c r="A4543" s="4" t="s">
        <v>10012</v>
      </c>
      <c r="B4543" s="5" t="s">
        <v>10013</v>
      </c>
      <c r="C4543" s="5" t="s">
        <v>75</v>
      </c>
      <c r="D4543" s="5" t="s">
        <v>43</v>
      </c>
      <c r="E4543" s="5" t="s">
        <v>148</v>
      </c>
      <c r="F4543" s="9">
        <v>78</v>
      </c>
      <c r="G4543" s="9">
        <v>806</v>
      </c>
      <c r="H4543" s="5" t="s">
        <v>20</v>
      </c>
      <c r="I4543" s="5" t="s">
        <v>10014</v>
      </c>
      <c r="J4543" s="12" t="str">
        <f>HYPERLINK("https://www.boe.es/gazeta/dias/1806/09/23/pdfs/GMD-1806-78.pdf#page=10","Abrir facsímil")</f>
        <v>Abrir facsímil</v>
      </c>
      <c r="K4543" s="15" t="s">
        <v>22</v>
      </c>
    </row>
    <row r="4544" spans="1:11" ht="42" customHeight="1">
      <c r="A4544" s="4" t="s">
        <v>10012</v>
      </c>
      <c r="B4544" s="5" t="s">
        <v>10013</v>
      </c>
      <c r="C4544" s="5" t="s">
        <v>75</v>
      </c>
      <c r="D4544" s="5" t="s">
        <v>43</v>
      </c>
      <c r="E4544" s="5" t="s">
        <v>144</v>
      </c>
      <c r="F4544" s="9">
        <v>79</v>
      </c>
      <c r="G4544" s="9">
        <v>819</v>
      </c>
      <c r="H4544" s="5" t="s">
        <v>20</v>
      </c>
      <c r="I4544" s="5" t="s">
        <v>10015</v>
      </c>
      <c r="J4544" s="12" t="str">
        <f>HYPERLINK("https://www.boe.es/gazeta/dias/1806/09/26/pdfs/GMD-1806-79.pdf#page=11","Abrir facsímil")</f>
        <v>Abrir facsímil</v>
      </c>
      <c r="K4544" s="15" t="s">
        <v>22</v>
      </c>
    </row>
    <row r="4545" spans="1:11" ht="42" customHeight="1">
      <c r="A4545" s="4" t="s">
        <v>10012</v>
      </c>
      <c r="B4545" s="5" t="s">
        <v>10013</v>
      </c>
      <c r="C4545" s="5" t="s">
        <v>75</v>
      </c>
      <c r="D4545" s="5" t="s">
        <v>43</v>
      </c>
      <c r="E4545" s="5" t="s">
        <v>405</v>
      </c>
      <c r="F4545" s="9">
        <v>80</v>
      </c>
      <c r="G4545" s="9">
        <v>831</v>
      </c>
      <c r="H4545" s="5" t="s">
        <v>20</v>
      </c>
      <c r="I4545" s="5" t="s">
        <v>10016</v>
      </c>
      <c r="J4545" s="12" t="str">
        <f>HYPERLINK("https://www.boe.es/gazeta/dias/1806/09/30/pdfs/GMD-1806-80.pdf#page=11","Abrir facsímil")</f>
        <v>Abrir facsímil</v>
      </c>
      <c r="K4545" s="15" t="s">
        <v>22</v>
      </c>
    </row>
    <row r="4546" spans="1:11" ht="42" customHeight="1">
      <c r="A4546" s="4" t="s">
        <v>10017</v>
      </c>
      <c r="B4546" s="5" t="s">
        <v>10017</v>
      </c>
      <c r="C4546" s="5" t="s">
        <v>31</v>
      </c>
      <c r="D4546" s="5" t="s">
        <v>32</v>
      </c>
      <c r="E4546" s="5" t="s">
        <v>227</v>
      </c>
      <c r="F4546" s="9">
        <v>27</v>
      </c>
      <c r="G4546" s="9">
        <v>272</v>
      </c>
      <c r="H4546" s="5" t="s">
        <v>20</v>
      </c>
      <c r="I4546" s="5" t="s">
        <v>10018</v>
      </c>
      <c r="J4546" s="12" t="str">
        <f>HYPERLINK("https://www.boe.es/gazeta/dias/1806/03/28/pdfs/GMD-1806-27.pdf#page=12","Abrir facsímil")</f>
        <v>Abrir facsímil</v>
      </c>
      <c r="K4546" s="15" t="s">
        <v>22</v>
      </c>
    </row>
    <row r="4547" spans="1:11" ht="42" customHeight="1">
      <c r="A4547" s="4" t="s">
        <v>10019</v>
      </c>
      <c r="B4547" s="5" t="s">
        <v>10020</v>
      </c>
      <c r="C4547" s="5" t="s">
        <v>17</v>
      </c>
      <c r="D4547" s="5" t="s">
        <v>18</v>
      </c>
      <c r="E4547" s="5" t="s">
        <v>438</v>
      </c>
      <c r="F4547" s="9">
        <v>70</v>
      </c>
      <c r="G4547" s="9">
        <v>729</v>
      </c>
      <c r="H4547" s="5" t="s">
        <v>20</v>
      </c>
      <c r="I4547" s="5" t="s">
        <v>10021</v>
      </c>
      <c r="J4547" s="12" t="str">
        <f>HYPERLINK("https://www.boe.es/gazeta/dias/1806/08/26/pdfs/GMD-1806-70.pdf#page=5","Abrir facsímil")</f>
        <v>Abrir facsímil</v>
      </c>
      <c r="K4547" s="15" t="s">
        <v>22</v>
      </c>
    </row>
    <row r="4548" spans="1:11" ht="42" customHeight="1">
      <c r="A4548" s="4" t="s">
        <v>10022</v>
      </c>
      <c r="B4548" s="5" t="s">
        <v>10023</v>
      </c>
      <c r="C4548" s="5" t="s">
        <v>42</v>
      </c>
      <c r="D4548" s="5" t="s">
        <v>43</v>
      </c>
      <c r="E4548" s="5" t="s">
        <v>570</v>
      </c>
      <c r="F4548" s="9">
        <v>93</v>
      </c>
      <c r="G4548" s="9">
        <v>978</v>
      </c>
      <c r="H4548" s="5" t="s">
        <v>20</v>
      </c>
      <c r="I4548" s="5" t="s">
        <v>10024</v>
      </c>
      <c r="J4548" s="12" t="str">
        <f>HYPERLINK("https://www.boe.es/gazeta/dias/1806/11/14/pdfs/GMD-1806-93.pdf#page=14","Abrir facsímil")</f>
        <v>Abrir facsímil</v>
      </c>
      <c r="K4548" s="15" t="s">
        <v>22</v>
      </c>
    </row>
    <row r="4549" spans="1:11" ht="42" customHeight="1">
      <c r="A4549" s="4" t="s">
        <v>10025</v>
      </c>
      <c r="B4549" s="5" t="s">
        <v>10026</v>
      </c>
      <c r="C4549" s="5" t="s">
        <v>31</v>
      </c>
      <c r="D4549" s="5" t="s">
        <v>32</v>
      </c>
      <c r="E4549" s="5" t="s">
        <v>195</v>
      </c>
      <c r="F4549" s="9">
        <v>4</v>
      </c>
      <c r="G4549" s="9">
        <v>37</v>
      </c>
      <c r="H4549" s="5" t="s">
        <v>20</v>
      </c>
      <c r="I4549" s="5" t="s">
        <v>10027</v>
      </c>
      <c r="J4549" s="12" t="str">
        <f>HYPERLINK("https://www.boe.es/gazeta/dias/1806/01/14/pdfs/GMD-1806-4.pdf#page=9","Abrir facsímil")</f>
        <v>Abrir facsímil</v>
      </c>
      <c r="K4549" s="15" t="s">
        <v>22</v>
      </c>
    </row>
    <row r="4550" spans="1:11" ht="42" customHeight="1">
      <c r="A4550" s="4" t="s">
        <v>10028</v>
      </c>
      <c r="B4550" s="5" t="s">
        <v>10029</v>
      </c>
      <c r="C4550" s="5" t="s">
        <v>36</v>
      </c>
      <c r="D4550" s="5" t="s">
        <v>37</v>
      </c>
      <c r="E4550" s="5" t="s">
        <v>188</v>
      </c>
      <c r="F4550" s="9">
        <v>2</v>
      </c>
      <c r="G4550" s="9">
        <v>19</v>
      </c>
      <c r="H4550" s="5" t="s">
        <v>20</v>
      </c>
      <c r="I4550" s="5" t="s">
        <v>10030</v>
      </c>
      <c r="J4550" s="12" t="str">
        <f>HYPERLINK("https://www.boe.es/gazeta/dias/1806/01/07/pdfs/GMD-1806-2.pdf#page=7","Abrir facsímil")</f>
        <v>Abrir facsímil</v>
      </c>
      <c r="K4550" s="15" t="s">
        <v>22</v>
      </c>
    </row>
    <row r="4551" spans="1:11" ht="42" customHeight="1">
      <c r="A4551" s="4" t="s">
        <v>10031</v>
      </c>
      <c r="B4551" s="5" t="s">
        <v>10032</v>
      </c>
      <c r="C4551" s="5" t="s">
        <v>42</v>
      </c>
      <c r="D4551" s="5" t="s">
        <v>43</v>
      </c>
      <c r="E4551" s="5" t="s">
        <v>178</v>
      </c>
      <c r="F4551" s="9">
        <v>36</v>
      </c>
      <c r="G4551" s="9">
        <v>350</v>
      </c>
      <c r="H4551" s="5" t="s">
        <v>20</v>
      </c>
      <c r="I4551" s="5" t="s">
        <v>10033</v>
      </c>
      <c r="J4551" s="12" t="str">
        <f>HYPERLINK("https://www.boe.es/gazeta/dias/1806/04/29/pdfs/GMD-1806-36.pdf#page=6","Abrir facsímil")</f>
        <v>Abrir facsímil</v>
      </c>
      <c r="K4551" s="15" t="s">
        <v>22</v>
      </c>
    </row>
    <row r="4552" spans="1:11" ht="42" customHeight="1">
      <c r="A4552" s="4" t="s">
        <v>10034</v>
      </c>
      <c r="B4552" s="5" t="s">
        <v>10034</v>
      </c>
      <c r="C4552" s="5" t="s">
        <v>42</v>
      </c>
      <c r="D4552" s="5" t="s">
        <v>43</v>
      </c>
      <c r="E4552" s="5" t="s">
        <v>400</v>
      </c>
      <c r="F4552" s="9">
        <v>22</v>
      </c>
      <c r="G4552" s="9">
        <v>207</v>
      </c>
      <c r="H4552" s="5" t="s">
        <v>20</v>
      </c>
      <c r="I4552" s="5" t="s">
        <v>10035</v>
      </c>
      <c r="J4552" s="12" t="str">
        <f>HYPERLINK("https://www.boe.es/gazeta/dias/1806/03/11/pdfs/GMD-1806-22.pdf#page=7","Abrir facsímil")</f>
        <v>Abrir facsímil</v>
      </c>
      <c r="K4552" s="15" t="s">
        <v>22</v>
      </c>
    </row>
    <row r="4553" spans="1:11" ht="42" customHeight="1">
      <c r="A4553" s="4" t="s">
        <v>10036</v>
      </c>
      <c r="B4553" s="5" t="s">
        <v>10037</v>
      </c>
      <c r="C4553" s="5" t="s">
        <v>31</v>
      </c>
      <c r="D4553" s="5" t="s">
        <v>32</v>
      </c>
      <c r="E4553" s="5" t="s">
        <v>1005</v>
      </c>
      <c r="F4553" s="9">
        <v>76</v>
      </c>
      <c r="G4553" s="9">
        <v>782</v>
      </c>
      <c r="H4553" s="5" t="s">
        <v>20</v>
      </c>
      <c r="I4553" s="5" t="s">
        <v>10038</v>
      </c>
      <c r="J4553" s="12" t="str">
        <f>HYPERLINK("https://www.boe.es/gazeta/dias/1806/09/16/pdfs/GMD-1806-76.pdf#page=2","Abrir facsímil")</f>
        <v>Abrir facsímil</v>
      </c>
      <c r="K4553" s="15" t="s">
        <v>22</v>
      </c>
    </row>
    <row r="4554" spans="1:11" ht="42" customHeight="1">
      <c r="A4554" s="4" t="s">
        <v>10039</v>
      </c>
      <c r="B4554" s="5" t="s">
        <v>10039</v>
      </c>
      <c r="C4554" s="5" t="s">
        <v>69</v>
      </c>
      <c r="D4554" s="5" t="s">
        <v>70</v>
      </c>
      <c r="E4554" s="5" t="s">
        <v>1080</v>
      </c>
      <c r="F4554" s="9">
        <v>49</v>
      </c>
      <c r="G4554" s="9">
        <v>504</v>
      </c>
      <c r="H4554" s="5" t="s">
        <v>20</v>
      </c>
      <c r="I4554" s="5" t="s">
        <v>10040</v>
      </c>
      <c r="J4554" s="12" t="str">
        <f>HYPERLINK("https://www.boe.es/gazeta/dias/1806/06/13/pdfs/GMD-1806-49.pdf#page=4","Abrir facsímil")</f>
        <v>Abrir facsímil</v>
      </c>
      <c r="K4554" s="15" t="s">
        <v>22</v>
      </c>
    </row>
    <row r="4555" spans="1:11" ht="42" customHeight="1">
      <c r="A4555" s="4" t="s">
        <v>10041</v>
      </c>
      <c r="B4555" s="5" t="s">
        <v>10042</v>
      </c>
      <c r="C4555" s="5" t="s">
        <v>17</v>
      </c>
      <c r="D4555" s="5" t="s">
        <v>18</v>
      </c>
      <c r="E4555" s="5" t="s">
        <v>26</v>
      </c>
      <c r="F4555" s="9">
        <v>65</v>
      </c>
      <c r="G4555" s="9">
        <v>682</v>
      </c>
      <c r="H4555" s="5" t="s">
        <v>20</v>
      </c>
      <c r="I4555" s="5" t="s">
        <v>10043</v>
      </c>
      <c r="J4555" s="12" t="str">
        <f>HYPERLINK("https://www.boe.es/gazeta/dias/1806/08/08/pdfs/GMD-1806-65.pdf#page=10","Abrir facsímil")</f>
        <v>Abrir facsímil</v>
      </c>
      <c r="K4555" s="15" t="s">
        <v>22</v>
      </c>
    </row>
    <row r="4556" spans="1:11" ht="42" customHeight="1">
      <c r="A4556" s="4" t="s">
        <v>10044</v>
      </c>
      <c r="B4556" s="5" t="s">
        <v>10045</v>
      </c>
      <c r="C4556" s="5" t="s">
        <v>31</v>
      </c>
      <c r="D4556" s="5" t="s">
        <v>32</v>
      </c>
      <c r="E4556" s="5" t="s">
        <v>301</v>
      </c>
      <c r="F4556" s="9">
        <v>75</v>
      </c>
      <c r="G4556" s="9">
        <v>777</v>
      </c>
      <c r="H4556" s="5" t="s">
        <v>20</v>
      </c>
      <c r="I4556" s="5" t="s">
        <v>10046</v>
      </c>
      <c r="J4556" s="12" t="str">
        <f>HYPERLINK("https://www.boe.es/gazeta/dias/1806/09/12/pdfs/GMD-1806-75.pdf#page=9","Abrir facsímil")</f>
        <v>Abrir facsímil</v>
      </c>
      <c r="K4556" s="15" t="s">
        <v>22</v>
      </c>
    </row>
    <row r="4557" spans="1:11" ht="42" customHeight="1">
      <c r="A4557" s="4" t="s">
        <v>10047</v>
      </c>
      <c r="B4557" s="5" t="s">
        <v>10048</v>
      </c>
      <c r="C4557" s="5" t="s">
        <v>447</v>
      </c>
      <c r="D4557" s="5" t="s">
        <v>448</v>
      </c>
      <c r="E4557" s="5" t="s">
        <v>304</v>
      </c>
      <c r="F4557" s="9">
        <v>47</v>
      </c>
      <c r="G4557" s="9">
        <v>483</v>
      </c>
      <c r="H4557" s="5" t="s">
        <v>20</v>
      </c>
      <c r="I4557" s="5" t="s">
        <v>10049</v>
      </c>
      <c r="J4557" s="12" t="str">
        <f>HYPERLINK("https://www.boe.es/gazeta/dias/1806/06/06/pdfs/GMD-C-1806-47.pdf#page=3","Abrir facsímil")</f>
        <v>Abrir facsímil</v>
      </c>
      <c r="K4557" s="15" t="s">
        <v>22</v>
      </c>
    </row>
    <row r="4558" spans="1:11" ht="42" customHeight="1">
      <c r="A4558" s="4" t="s">
        <v>10050</v>
      </c>
      <c r="B4558" s="5" t="s">
        <v>10050</v>
      </c>
      <c r="C4558" s="5" t="s">
        <v>69</v>
      </c>
      <c r="D4558" s="5" t="s">
        <v>70</v>
      </c>
      <c r="E4558" s="5" t="s">
        <v>202</v>
      </c>
      <c r="F4558" s="9">
        <v>30</v>
      </c>
      <c r="G4558" s="9">
        <v>292</v>
      </c>
      <c r="H4558" s="5" t="s">
        <v>20</v>
      </c>
      <c r="I4558" s="5" t="s">
        <v>10051</v>
      </c>
      <c r="J4558" s="12" t="str">
        <f>HYPERLINK("https://www.boe.es/gazeta/dias/1806/04/08/pdfs/GMD-1806-30.pdf#page=4","Abrir facsímil")</f>
        <v>Abrir facsímil</v>
      </c>
      <c r="K4558" s="15" t="s">
        <v>22</v>
      </c>
    </row>
    <row r="4559" spans="1:11" ht="42" customHeight="1">
      <c r="A4559" s="4" t="s">
        <v>10052</v>
      </c>
      <c r="B4559" s="5" t="s">
        <v>10053</v>
      </c>
      <c r="C4559" s="5" t="s">
        <v>69</v>
      </c>
      <c r="D4559" s="5" t="s">
        <v>70</v>
      </c>
      <c r="E4559" s="5" t="s">
        <v>297</v>
      </c>
      <c r="F4559" s="9">
        <v>94</v>
      </c>
      <c r="G4559" s="9">
        <v>985</v>
      </c>
      <c r="H4559" s="5" t="s">
        <v>20</v>
      </c>
      <c r="I4559" s="5" t="s">
        <v>10054</v>
      </c>
      <c r="J4559" s="12" t="str">
        <f>HYPERLINK("https://www.boe.es/gazeta/dias/1806/11/18/pdfs/GMD-1806-94.pdf#page=5","Abrir facsímil")</f>
        <v>Abrir facsímil</v>
      </c>
      <c r="K4559" s="15" t="s">
        <v>22</v>
      </c>
    </row>
    <row r="4560" spans="1:11" ht="42" customHeight="1">
      <c r="A4560" s="4" t="s">
        <v>10055</v>
      </c>
      <c r="B4560" s="5" t="s">
        <v>10055</v>
      </c>
      <c r="C4560" s="5" t="s">
        <v>42</v>
      </c>
      <c r="D4560" s="5" t="s">
        <v>43</v>
      </c>
      <c r="E4560" s="5" t="s">
        <v>327</v>
      </c>
      <c r="F4560" s="9">
        <v>104</v>
      </c>
      <c r="G4560" s="9">
        <v>1110</v>
      </c>
      <c r="H4560" s="5" t="s">
        <v>20</v>
      </c>
      <c r="I4560" s="5" t="s">
        <v>10056</v>
      </c>
      <c r="J4560" s="12" t="str">
        <f>HYPERLINK("https://www.boe.es/gazeta/dias/1806/12/23/pdfs/GMD-1806-104.pdf#page=10","Abrir facsímil")</f>
        <v>Abrir facsímil</v>
      </c>
      <c r="K4560" s="15" t="s">
        <v>22</v>
      </c>
    </row>
    <row r="4561" spans="1:11" ht="42" customHeight="1">
      <c r="A4561" s="4" t="s">
        <v>10057</v>
      </c>
      <c r="B4561" s="5" t="s">
        <v>10058</v>
      </c>
      <c r="C4561" s="5" t="s">
        <v>31</v>
      </c>
      <c r="D4561" s="5" t="s">
        <v>32</v>
      </c>
      <c r="E4561" s="5" t="s">
        <v>367</v>
      </c>
      <c r="F4561" s="9">
        <v>87</v>
      </c>
      <c r="G4561" s="9">
        <v>901</v>
      </c>
      <c r="H4561" s="5" t="s">
        <v>20</v>
      </c>
      <c r="I4561" s="5" t="s">
        <v>10059</v>
      </c>
      <c r="J4561" s="12" t="str">
        <f>HYPERLINK("https://www.boe.es/gazeta/dias/1806/10/24/pdfs/GMD-1806-87.pdf#page=9","Abrir facsímil")</f>
        <v>Abrir facsímil</v>
      </c>
      <c r="K4561" s="15" t="s">
        <v>22</v>
      </c>
    </row>
    <row r="4562" spans="1:11" ht="42" customHeight="1">
      <c r="A4562" s="4" t="s">
        <v>10060</v>
      </c>
      <c r="B4562" s="5" t="s">
        <v>10061</v>
      </c>
      <c r="C4562" s="5" t="s">
        <v>31</v>
      </c>
      <c r="D4562" s="5" t="s">
        <v>32</v>
      </c>
      <c r="E4562" s="5" t="s">
        <v>24</v>
      </c>
      <c r="F4562" s="9">
        <v>32</v>
      </c>
      <c r="G4562" s="9">
        <v>315</v>
      </c>
      <c r="H4562" s="5" t="s">
        <v>20</v>
      </c>
      <c r="I4562" s="5" t="s">
        <v>10062</v>
      </c>
      <c r="J4562" s="12" t="str">
        <f>HYPERLINK("https://www.boe.es/gazeta/dias/1806/04/15/pdfs/GMD-1806-32.pdf#page=7","Abrir facsímil")</f>
        <v>Abrir facsímil</v>
      </c>
      <c r="K4562" s="15" t="s">
        <v>22</v>
      </c>
    </row>
    <row r="4563" spans="1:11" ht="42" customHeight="1">
      <c r="A4563" s="4" t="s">
        <v>10063</v>
      </c>
      <c r="B4563" s="5" t="s">
        <v>10064</v>
      </c>
      <c r="C4563" s="5" t="s">
        <v>36</v>
      </c>
      <c r="D4563" s="5" t="s">
        <v>37</v>
      </c>
      <c r="E4563" s="5" t="s">
        <v>285</v>
      </c>
      <c r="F4563" s="9">
        <v>13</v>
      </c>
      <c r="G4563" s="9">
        <v>116</v>
      </c>
      <c r="H4563" s="5" t="s">
        <v>20</v>
      </c>
      <c r="I4563" s="5" t="s">
        <v>10065</v>
      </c>
      <c r="J4563" s="12" t="str">
        <f>HYPERLINK("https://www.boe.es/gazeta/dias/1806/02/07/pdfs/GMD-1806-13.pdf#page=8","Abrir facsímil")</f>
        <v>Abrir facsímil</v>
      </c>
      <c r="K4563" s="15" t="s">
        <v>22</v>
      </c>
    </row>
    <row r="4564" spans="1:11" ht="42" customHeight="1">
      <c r="A4564" s="4" t="s">
        <v>10066</v>
      </c>
      <c r="B4564" s="5" t="s">
        <v>10067</v>
      </c>
      <c r="C4564" s="5" t="s">
        <v>69</v>
      </c>
      <c r="D4564" s="5" t="s">
        <v>70</v>
      </c>
      <c r="E4564" s="5" t="s">
        <v>71</v>
      </c>
      <c r="F4564" s="9">
        <v>29</v>
      </c>
      <c r="G4564" s="9">
        <v>281</v>
      </c>
      <c r="H4564" s="5" t="s">
        <v>20</v>
      </c>
      <c r="I4564" s="5" t="s">
        <v>10068</v>
      </c>
      <c r="J4564" s="12" t="str">
        <f>HYPERLINK("https://www.boe.es/gazeta/dias/1806/04/04/pdfs/GMD-1806-29.pdf#page=1","Abrir facsímil")</f>
        <v>Abrir facsímil</v>
      </c>
      <c r="K4564" s="15" t="s">
        <v>22</v>
      </c>
    </row>
    <row r="4565" spans="1:11" ht="42" customHeight="1">
      <c r="A4565" s="4" t="s">
        <v>10069</v>
      </c>
      <c r="B4565" s="5" t="s">
        <v>10070</v>
      </c>
      <c r="C4565" s="5" t="s">
        <v>31</v>
      </c>
      <c r="D4565" s="5" t="s">
        <v>32</v>
      </c>
      <c r="E4565" s="5" t="s">
        <v>202</v>
      </c>
      <c r="F4565" s="9">
        <v>30</v>
      </c>
      <c r="G4565" s="9">
        <v>295</v>
      </c>
      <c r="H4565" s="5" t="s">
        <v>20</v>
      </c>
      <c r="I4565" s="5" t="s">
        <v>10071</v>
      </c>
      <c r="J4565" s="12" t="str">
        <f>HYPERLINK("https://www.boe.es/gazeta/dias/1806/04/08/pdfs/GMD-1806-30.pdf#page=7","Abrir facsímil")</f>
        <v>Abrir facsímil</v>
      </c>
      <c r="K4565" s="15" t="s">
        <v>22</v>
      </c>
    </row>
    <row r="4566" spans="1:11" ht="42" customHeight="1">
      <c r="A4566" s="4" t="s">
        <v>10072</v>
      </c>
      <c r="B4566" s="5" t="s">
        <v>10073</v>
      </c>
      <c r="C4566" s="5" t="s">
        <v>75</v>
      </c>
      <c r="D4566" s="5" t="s">
        <v>43</v>
      </c>
      <c r="E4566" s="5" t="s">
        <v>51</v>
      </c>
      <c r="F4566" s="9">
        <v>44</v>
      </c>
      <c r="G4566" s="9">
        <v>446</v>
      </c>
      <c r="H4566" s="5" t="s">
        <v>20</v>
      </c>
      <c r="I4566" s="5" t="s">
        <v>10074</v>
      </c>
      <c r="J4566" s="12" t="str">
        <f>HYPERLINK("https://www.boe.es/gazeta/dias/1806/05/27/pdfs/GMD-1806-44.pdf#page=10","Abrir facsímil")</f>
        <v>Abrir facsímil</v>
      </c>
      <c r="K4566" s="15" t="s">
        <v>22</v>
      </c>
    </row>
    <row r="4567" spans="1:11" ht="42" customHeight="1">
      <c r="A4567" s="4" t="s">
        <v>10075</v>
      </c>
      <c r="B4567" s="5" t="s">
        <v>10076</v>
      </c>
      <c r="C4567" s="5" t="s">
        <v>17</v>
      </c>
      <c r="D4567" s="5" t="s">
        <v>18</v>
      </c>
      <c r="E4567" s="5" t="s">
        <v>580</v>
      </c>
      <c r="F4567" s="9">
        <v>23</v>
      </c>
      <c r="G4567" s="9">
        <v>217</v>
      </c>
      <c r="H4567" s="5" t="s">
        <v>20</v>
      </c>
      <c r="I4567" s="5" t="s">
        <v>10077</v>
      </c>
      <c r="J4567" s="12" t="str">
        <f>HYPERLINK("https://www.boe.es/gazeta/dias/1806/03/14/pdfs/GMD-1806-23.pdf#page=5","Abrir facsímil")</f>
        <v>Abrir facsímil</v>
      </c>
      <c r="K4567" s="15" t="s">
        <v>22</v>
      </c>
    </row>
    <row r="4568" spans="1:11" ht="42" customHeight="1">
      <c r="A4568" s="4" t="s">
        <v>10078</v>
      </c>
      <c r="B4568" s="5" t="s">
        <v>10079</v>
      </c>
      <c r="C4568" s="5" t="s">
        <v>31</v>
      </c>
      <c r="D4568" s="5" t="s">
        <v>32</v>
      </c>
      <c r="E4568" s="5" t="s">
        <v>28</v>
      </c>
      <c r="F4568" s="9">
        <v>102</v>
      </c>
      <c r="G4568" s="9">
        <v>1085</v>
      </c>
      <c r="H4568" s="5" t="s">
        <v>20</v>
      </c>
      <c r="I4568" s="5" t="s">
        <v>10080</v>
      </c>
      <c r="J4568" s="12" t="str">
        <f>HYPERLINK("https://www.boe.es/gazeta/dias/1806/12/16/pdfs/GMD-1806-102.pdf#page=9","Abrir facsímil")</f>
        <v>Abrir facsímil</v>
      </c>
      <c r="K4568" s="15" t="s">
        <v>22</v>
      </c>
    </row>
    <row r="4569" spans="1:11" ht="42" customHeight="1">
      <c r="A4569" s="4" t="s">
        <v>10081</v>
      </c>
      <c r="B4569" s="5" t="s">
        <v>10082</v>
      </c>
      <c r="C4569" s="5" t="s">
        <v>31</v>
      </c>
      <c r="D4569" s="5" t="s">
        <v>32</v>
      </c>
      <c r="E4569" s="5" t="s">
        <v>121</v>
      </c>
      <c r="F4569" s="9">
        <v>19</v>
      </c>
      <c r="G4569" s="9">
        <v>173</v>
      </c>
      <c r="H4569" s="5" t="s">
        <v>20</v>
      </c>
      <c r="I4569" s="5" t="s">
        <v>10083</v>
      </c>
      <c r="J4569" s="12" t="str">
        <f>HYPERLINK("https://www.boe.es/gazeta/dias/1806/02/28/pdfs/GMD-1806-19.pdf#page=9","Abrir facsímil")</f>
        <v>Abrir facsímil</v>
      </c>
      <c r="K4569" s="15" t="s">
        <v>22</v>
      </c>
    </row>
    <row r="4570" spans="1:11" ht="42" customHeight="1">
      <c r="A4570" s="4" t="s">
        <v>10084</v>
      </c>
      <c r="B4570" s="5" t="s">
        <v>10085</v>
      </c>
      <c r="C4570" s="5" t="s">
        <v>17</v>
      </c>
      <c r="D4570" s="5" t="s">
        <v>18</v>
      </c>
      <c r="E4570" s="5" t="s">
        <v>195</v>
      </c>
      <c r="F4570" s="9">
        <v>4</v>
      </c>
      <c r="G4570" s="9">
        <v>35</v>
      </c>
      <c r="H4570" s="5" t="s">
        <v>20</v>
      </c>
      <c r="I4570" s="5" t="s">
        <v>10086</v>
      </c>
      <c r="J4570" s="12" t="str">
        <f>HYPERLINK("https://www.boe.es/gazeta/dias/1806/01/14/pdfs/GMD-1806-4.pdf#page=7","Abrir facsímil")</f>
        <v>Abrir facsímil</v>
      </c>
      <c r="K4570" s="15" t="s">
        <v>22</v>
      </c>
    </row>
    <row r="4571" spans="1:11" ht="42" customHeight="1">
      <c r="A4571" s="4" t="s">
        <v>10087</v>
      </c>
      <c r="B4571" s="5" t="s">
        <v>10088</v>
      </c>
      <c r="C4571" s="5" t="s">
        <v>31</v>
      </c>
      <c r="D4571" s="5" t="s">
        <v>32</v>
      </c>
      <c r="E4571" s="5" t="s">
        <v>1080</v>
      </c>
      <c r="F4571" s="9">
        <v>49</v>
      </c>
      <c r="G4571" s="9">
        <v>505</v>
      </c>
      <c r="H4571" s="5" t="s">
        <v>20</v>
      </c>
      <c r="I4571" s="5" t="s">
        <v>10089</v>
      </c>
      <c r="J4571" s="12" t="str">
        <f>HYPERLINK("https://www.boe.es/gazeta/dias/1806/06/13/pdfs/GMD-1806-49.pdf#page=5","Abrir facsímil")</f>
        <v>Abrir facsímil</v>
      </c>
      <c r="K4571" s="15" t="s">
        <v>22</v>
      </c>
    </row>
    <row r="4572" spans="1:11" ht="42" customHeight="1">
      <c r="A4572" s="4" t="s">
        <v>10090</v>
      </c>
      <c r="B4572" s="5" t="s">
        <v>10091</v>
      </c>
      <c r="C4572" s="5" t="s">
        <v>31</v>
      </c>
      <c r="D4572" s="5" t="s">
        <v>32</v>
      </c>
      <c r="E4572" s="5" t="s">
        <v>304</v>
      </c>
      <c r="F4572" s="9">
        <v>47</v>
      </c>
      <c r="G4572" s="9">
        <v>478</v>
      </c>
      <c r="H4572" s="5" t="s">
        <v>20</v>
      </c>
      <c r="I4572" s="5" t="s">
        <v>10092</v>
      </c>
      <c r="J4572" s="12" t="str">
        <f>HYPERLINK("https://www.boe.es/gazeta/dias/1806/06/06/pdfs/GMD-1806-47.pdf#page=6","Abrir facsímil")</f>
        <v>Abrir facsímil</v>
      </c>
      <c r="K4572" s="15" t="s">
        <v>22</v>
      </c>
    </row>
    <row r="4573" spans="1:11" ht="42" customHeight="1">
      <c r="A4573" s="4" t="s">
        <v>10093</v>
      </c>
      <c r="B4573" s="5" t="s">
        <v>10094</v>
      </c>
      <c r="C4573" s="5" t="s">
        <v>42</v>
      </c>
      <c r="D4573" s="5" t="s">
        <v>43</v>
      </c>
      <c r="E4573" s="5" t="s">
        <v>188</v>
      </c>
      <c r="F4573" s="9">
        <v>2</v>
      </c>
      <c r="G4573" s="9">
        <v>19</v>
      </c>
      <c r="H4573" s="5" t="s">
        <v>20</v>
      </c>
      <c r="I4573" s="5" t="s">
        <v>10095</v>
      </c>
      <c r="J4573" s="12" t="str">
        <f>HYPERLINK("https://www.boe.es/gazeta/dias/1806/01/07/pdfs/GMD-1806-2.pdf#page=7","Abrir facsímil")</f>
        <v>Abrir facsímil</v>
      </c>
      <c r="K4573" s="15" t="s">
        <v>22</v>
      </c>
    </row>
    <row r="4574" spans="1:11" ht="42" customHeight="1">
      <c r="A4574" s="4" t="s">
        <v>10096</v>
      </c>
      <c r="B4574" s="5" t="s">
        <v>10096</v>
      </c>
      <c r="C4574" s="5" t="s">
        <v>42</v>
      </c>
      <c r="D4574" s="5" t="s">
        <v>43</v>
      </c>
      <c r="E4574" s="5" t="s">
        <v>113</v>
      </c>
      <c r="F4574" s="9">
        <v>28</v>
      </c>
      <c r="G4574" s="9">
        <v>277</v>
      </c>
      <c r="H4574" s="5" t="s">
        <v>20</v>
      </c>
      <c r="I4574" s="5" t="s">
        <v>10097</v>
      </c>
      <c r="J4574" s="12" t="str">
        <f>HYPERLINK("https://www.boe.es/gazeta/dias/1806/04/01/pdfs/GMD-1806-28.pdf#page=5","Abrir facsímil")</f>
        <v>Abrir facsímil</v>
      </c>
      <c r="K4574" s="15" t="s">
        <v>22</v>
      </c>
    </row>
    <row r="4575" spans="1:11" ht="42" customHeight="1">
      <c r="A4575" s="4" t="s">
        <v>10098</v>
      </c>
      <c r="B4575" s="5" t="s">
        <v>10098</v>
      </c>
      <c r="C4575" s="5" t="s">
        <v>42</v>
      </c>
      <c r="D4575" s="5" t="s">
        <v>43</v>
      </c>
      <c r="E4575" s="5" t="s">
        <v>136</v>
      </c>
      <c r="F4575" s="9">
        <v>50</v>
      </c>
      <c r="G4575" s="9">
        <v>513</v>
      </c>
      <c r="H4575" s="5" t="s">
        <v>20</v>
      </c>
      <c r="I4575" s="5" t="s">
        <v>10099</v>
      </c>
      <c r="J4575" s="12" t="str">
        <f>HYPERLINK("https://www.boe.es/gazeta/dias/1806/06/17/pdfs/GMD-1806-50.pdf#page=5","Abrir facsímil")</f>
        <v>Abrir facsímil</v>
      </c>
      <c r="K4575" s="15" t="s">
        <v>22</v>
      </c>
    </row>
    <row r="4576" spans="1:11" ht="42" customHeight="1">
      <c r="A4576" s="4" t="s">
        <v>10100</v>
      </c>
      <c r="B4576" s="5" t="s">
        <v>10100</v>
      </c>
      <c r="C4576" s="5" t="s">
        <v>17</v>
      </c>
      <c r="D4576" s="5" t="s">
        <v>18</v>
      </c>
      <c r="E4576" s="5" t="s">
        <v>96</v>
      </c>
      <c r="F4576" s="9">
        <v>62</v>
      </c>
      <c r="G4576" s="9">
        <v>648</v>
      </c>
      <c r="H4576" s="5" t="s">
        <v>20</v>
      </c>
      <c r="I4576" s="5" t="s">
        <v>10101</v>
      </c>
      <c r="J4576" s="12" t="str">
        <f>HYPERLINK("https://www.boe.es/gazeta/dias/1806/07/29/pdfs/GMD-1806-62.pdf#page=8","Abrir facsímil")</f>
        <v>Abrir facsímil</v>
      </c>
      <c r="K4576" s="15" t="s">
        <v>22</v>
      </c>
    </row>
    <row r="4577" spans="1:11" ht="42" customHeight="1">
      <c r="A4577" s="4" t="s">
        <v>10102</v>
      </c>
      <c r="B4577" s="5" t="s">
        <v>10103</v>
      </c>
      <c r="C4577" s="5" t="s">
        <v>447</v>
      </c>
      <c r="D4577" s="5" t="s">
        <v>448</v>
      </c>
      <c r="E4577" s="5" t="s">
        <v>304</v>
      </c>
      <c r="F4577" s="9">
        <v>47</v>
      </c>
      <c r="G4577" s="9">
        <v>483</v>
      </c>
      <c r="H4577" s="5" t="s">
        <v>20</v>
      </c>
      <c r="I4577" s="5" t="s">
        <v>10104</v>
      </c>
      <c r="J4577" s="12" t="str">
        <f>HYPERLINK("https://www.boe.es/gazeta/dias/1806/06/06/pdfs/GMD-C-1806-47.pdf#page=3","Abrir facsímil")</f>
        <v>Abrir facsímil</v>
      </c>
      <c r="K4577" s="15" t="s">
        <v>22</v>
      </c>
    </row>
    <row r="4578" spans="1:11" ht="42" customHeight="1">
      <c r="A4578" s="4" t="s">
        <v>10105</v>
      </c>
      <c r="B4578" s="5" t="s">
        <v>10106</v>
      </c>
      <c r="C4578" s="5" t="s">
        <v>31</v>
      </c>
      <c r="D4578" s="5" t="s">
        <v>32</v>
      </c>
      <c r="E4578" s="5" t="s">
        <v>340</v>
      </c>
      <c r="F4578" s="9">
        <v>31</v>
      </c>
      <c r="G4578" s="9">
        <v>305</v>
      </c>
      <c r="H4578" s="5" t="s">
        <v>20</v>
      </c>
      <c r="I4578" s="5" t="s">
        <v>10107</v>
      </c>
      <c r="J4578" s="12" t="str">
        <f>HYPERLINK("https://www.boe.es/gazeta/dias/1806/04/11/pdfs/GMD-1806-31.pdf#page=9","Abrir facsímil")</f>
        <v>Abrir facsímil</v>
      </c>
      <c r="K4578" s="15" t="s">
        <v>22</v>
      </c>
    </row>
    <row r="4579" spans="1:11" ht="42" customHeight="1">
      <c r="A4579" s="4" t="s">
        <v>10108</v>
      </c>
      <c r="B4579" s="5" t="s">
        <v>10109</v>
      </c>
      <c r="C4579" s="5" t="s">
        <v>42</v>
      </c>
      <c r="D4579" s="5" t="s">
        <v>43</v>
      </c>
      <c r="E4579" s="5" t="s">
        <v>103</v>
      </c>
      <c r="F4579" s="9">
        <v>61</v>
      </c>
      <c r="G4579" s="9">
        <v>635</v>
      </c>
      <c r="H4579" s="5" t="s">
        <v>20</v>
      </c>
      <c r="I4579" s="5" t="s">
        <v>10110</v>
      </c>
      <c r="J4579" s="12" t="str">
        <f>HYPERLINK("https://www.boe.es/gazeta/dias/1806/07/25/pdfs/GMD-1806-61.pdf#page=7","Abrir facsímil")</f>
        <v>Abrir facsímil</v>
      </c>
      <c r="K4579" s="15" t="s">
        <v>22</v>
      </c>
    </row>
    <row r="4580" spans="1:11" ht="42" customHeight="1">
      <c r="A4580" s="4" t="s">
        <v>10111</v>
      </c>
      <c r="B4580" s="5" t="s">
        <v>10112</v>
      </c>
      <c r="C4580" s="5" t="s">
        <v>17</v>
      </c>
      <c r="D4580" s="5" t="s">
        <v>18</v>
      </c>
      <c r="E4580" s="5" t="s">
        <v>213</v>
      </c>
      <c r="F4580" s="9">
        <v>73</v>
      </c>
      <c r="G4580" s="9">
        <v>757</v>
      </c>
      <c r="H4580" s="5" t="s">
        <v>20</v>
      </c>
      <c r="I4580" s="5" t="s">
        <v>10113</v>
      </c>
      <c r="J4580" s="12" t="str">
        <f>HYPERLINK("https://www.boe.es/gazeta/dias/1806/09/05/pdfs/GMD-1806-73.pdf#page=5","Abrir facsímil")</f>
        <v>Abrir facsímil</v>
      </c>
      <c r="K4580" s="15" t="s">
        <v>22</v>
      </c>
    </row>
    <row r="4581" spans="1:11" ht="42" customHeight="1">
      <c r="A4581" s="4" t="s">
        <v>10114</v>
      </c>
      <c r="B4581" s="5" t="s">
        <v>10115</v>
      </c>
      <c r="C4581" s="5" t="s">
        <v>31</v>
      </c>
      <c r="D4581" s="5" t="s">
        <v>32</v>
      </c>
      <c r="E4581" s="5" t="s">
        <v>55</v>
      </c>
      <c r="F4581" s="9">
        <v>20</v>
      </c>
      <c r="G4581" s="9">
        <v>184</v>
      </c>
      <c r="H4581" s="5" t="s">
        <v>20</v>
      </c>
      <c r="I4581" s="5" t="s">
        <v>10116</v>
      </c>
      <c r="J4581" s="12" t="str">
        <f>HYPERLINK("https://www.boe.es/gazeta/dias/1806/03/04/pdfs/GMD-1806-20.pdf#page=8","Abrir facsímil")</f>
        <v>Abrir facsímil</v>
      </c>
      <c r="K4581" s="15" t="s">
        <v>22</v>
      </c>
    </row>
    <row r="4582" spans="1:11" ht="42" customHeight="1">
      <c r="A4582" s="4" t="s">
        <v>10114</v>
      </c>
      <c r="B4582" s="5" t="s">
        <v>10115</v>
      </c>
      <c r="C4582" s="5" t="s">
        <v>31</v>
      </c>
      <c r="D4582" s="5" t="s">
        <v>32</v>
      </c>
      <c r="E4582" s="5" t="s">
        <v>93</v>
      </c>
      <c r="F4582" s="9">
        <v>72</v>
      </c>
      <c r="G4582" s="9">
        <v>749</v>
      </c>
      <c r="H4582" s="5" t="s">
        <v>20</v>
      </c>
      <c r="I4582" s="5" t="s">
        <v>10117</v>
      </c>
      <c r="J4582" s="12" t="str">
        <f>HYPERLINK("https://www.boe.es/gazeta/dias/1806/09/02/pdfs/GMD-1806-72.pdf#page=9","Abrir facsímil")</f>
        <v>Abrir facsímil</v>
      </c>
      <c r="K4582" s="15" t="s">
        <v>22</v>
      </c>
    </row>
    <row r="4583" spans="1:11" ht="42" customHeight="1">
      <c r="A4583" s="4" t="s">
        <v>10118</v>
      </c>
      <c r="B4583" s="5" t="s">
        <v>10119</v>
      </c>
      <c r="C4583" s="5" t="s">
        <v>447</v>
      </c>
      <c r="D4583" s="5" t="s">
        <v>448</v>
      </c>
      <c r="E4583" s="5" t="s">
        <v>1568</v>
      </c>
      <c r="F4583" s="9">
        <v>84</v>
      </c>
      <c r="G4583" s="9" t="s">
        <v>2031</v>
      </c>
      <c r="H4583" s="5" t="s">
        <v>20</v>
      </c>
      <c r="I4583" s="5" t="s">
        <v>10120</v>
      </c>
      <c r="J4583" s="12" t="str">
        <f>HYPERLINK("https://www.boe.es/gazeta/dias/1806/10/14/pdfs/GMD-C-1806-84.pdf#page=1","Abrir facsímil")</f>
        <v>Abrir facsímil</v>
      </c>
      <c r="K4583" s="15" t="s">
        <v>22</v>
      </c>
    </row>
    <row r="4584" spans="1:11" ht="42" customHeight="1">
      <c r="A4584" s="4" t="s">
        <v>10121</v>
      </c>
      <c r="B4584" s="5" t="s">
        <v>10122</v>
      </c>
      <c r="C4584" s="5" t="s">
        <v>69</v>
      </c>
      <c r="D4584" s="5" t="s">
        <v>70</v>
      </c>
      <c r="E4584" s="5" t="s">
        <v>28</v>
      </c>
      <c r="F4584" s="9">
        <v>102</v>
      </c>
      <c r="G4584" s="9">
        <v>1081</v>
      </c>
      <c r="H4584" s="5" t="s">
        <v>20</v>
      </c>
      <c r="I4584" s="5" t="s">
        <v>10123</v>
      </c>
      <c r="J4584" s="12" t="str">
        <f>HYPERLINK("https://www.boe.es/gazeta/dias/1806/12/16/pdfs/GMD-1806-102.pdf#page=5","Abrir facsímil")</f>
        <v>Abrir facsímil</v>
      </c>
      <c r="K4584" s="15" t="s">
        <v>22</v>
      </c>
    </row>
    <row r="4585" spans="1:11" ht="42" customHeight="1">
      <c r="A4585" s="4" t="s">
        <v>10124</v>
      </c>
      <c r="B4585" s="5" t="s">
        <v>10125</v>
      </c>
      <c r="C4585" s="5" t="s">
        <v>31</v>
      </c>
      <c r="D4585" s="5" t="s">
        <v>32</v>
      </c>
      <c r="E4585" s="5" t="s">
        <v>191</v>
      </c>
      <c r="F4585" s="9">
        <v>103</v>
      </c>
      <c r="G4585" s="9">
        <v>1098</v>
      </c>
      <c r="H4585" s="5" t="s">
        <v>20</v>
      </c>
      <c r="I4585" s="5" t="s">
        <v>10126</v>
      </c>
      <c r="J4585" s="12" t="str">
        <f>HYPERLINK("https://www.boe.es/gazeta/dias/1806/12/19/pdfs/GMD-1806-103.pdf#page=10","Abrir facsímil")</f>
        <v>Abrir facsímil</v>
      </c>
      <c r="K4585" s="15" t="s">
        <v>22</v>
      </c>
    </row>
    <row r="4586" spans="1:11" ht="42" customHeight="1">
      <c r="A4586" s="4" t="s">
        <v>10127</v>
      </c>
      <c r="B4586" s="5" t="s">
        <v>10127</v>
      </c>
      <c r="C4586" s="5" t="s">
        <v>31</v>
      </c>
      <c r="D4586" s="5" t="s">
        <v>32</v>
      </c>
      <c r="E4586" s="5" t="s">
        <v>1005</v>
      </c>
      <c r="F4586" s="9">
        <v>76</v>
      </c>
      <c r="G4586" s="9">
        <v>787</v>
      </c>
      <c r="H4586" s="5" t="s">
        <v>20</v>
      </c>
      <c r="I4586" s="5" t="s">
        <v>10128</v>
      </c>
      <c r="J4586" s="12" t="str">
        <f>HYPERLINK("https://www.boe.es/gazeta/dias/1806/09/16/pdfs/GMD-1806-76.pdf#page=7","Abrir facsímil")</f>
        <v>Abrir facsímil</v>
      </c>
      <c r="K4586" s="15" t="s">
        <v>22</v>
      </c>
    </row>
    <row r="4587" spans="1:11" ht="42" customHeight="1">
      <c r="A4587" s="4" t="s">
        <v>10129</v>
      </c>
      <c r="B4587" s="5" t="s">
        <v>10129</v>
      </c>
      <c r="C4587" s="5" t="s">
        <v>42</v>
      </c>
      <c r="D4587" s="5" t="s">
        <v>43</v>
      </c>
      <c r="E4587" s="5" t="s">
        <v>124</v>
      </c>
      <c r="F4587" s="9">
        <v>25</v>
      </c>
      <c r="G4587" s="9">
        <v>245</v>
      </c>
      <c r="H4587" s="5" t="s">
        <v>20</v>
      </c>
      <c r="I4587" s="5" t="s">
        <v>10130</v>
      </c>
      <c r="J4587" s="12" t="str">
        <f>HYPERLINK("https://www.boe.es/gazeta/dias/1806/03/21/pdfs/GMD-1806-25.pdf#page=9","Abrir facsímil")</f>
        <v>Abrir facsímil</v>
      </c>
      <c r="K4587" s="15" t="s">
        <v>22</v>
      </c>
    </row>
    <row r="4588" spans="1:11" ht="42" customHeight="1">
      <c r="A4588" s="4" t="s">
        <v>10131</v>
      </c>
      <c r="B4588" s="5" t="s">
        <v>10131</v>
      </c>
      <c r="C4588" s="5" t="s">
        <v>17</v>
      </c>
      <c r="D4588" s="5" t="s">
        <v>18</v>
      </c>
      <c r="E4588" s="5" t="s">
        <v>26</v>
      </c>
      <c r="F4588" s="9">
        <v>65</v>
      </c>
      <c r="G4588" s="9">
        <v>681</v>
      </c>
      <c r="H4588" s="5" t="s">
        <v>20</v>
      </c>
      <c r="I4588" s="5" t="s">
        <v>10132</v>
      </c>
      <c r="J4588" s="12" t="str">
        <f>HYPERLINK("https://www.boe.es/gazeta/dias/1806/08/08/pdfs/GMD-1806-65.pdf#page=9","Abrir facsímil")</f>
        <v>Abrir facsímil</v>
      </c>
      <c r="K4588" s="15" t="s">
        <v>22</v>
      </c>
    </row>
    <row r="4589" spans="1:11" ht="42" customHeight="1">
      <c r="A4589" s="4" t="s">
        <v>10133</v>
      </c>
      <c r="B4589" s="5" t="s">
        <v>10133</v>
      </c>
      <c r="C4589" s="5" t="s">
        <v>31</v>
      </c>
      <c r="D4589" s="5" t="s">
        <v>32</v>
      </c>
      <c r="E4589" s="5" t="s">
        <v>96</v>
      </c>
      <c r="F4589" s="9">
        <v>62</v>
      </c>
      <c r="G4589" s="9">
        <v>648</v>
      </c>
      <c r="H4589" s="5" t="s">
        <v>20</v>
      </c>
      <c r="I4589" s="5" t="s">
        <v>10134</v>
      </c>
      <c r="J4589" s="12" t="str">
        <f>HYPERLINK("https://www.boe.es/gazeta/dias/1806/07/29/pdfs/GMD-1806-62.pdf#page=8","Abrir facsímil")</f>
        <v>Abrir facsímil</v>
      </c>
      <c r="K4589" s="15" t="s">
        <v>22</v>
      </c>
    </row>
    <row r="4590" spans="1:11" ht="42" customHeight="1">
      <c r="A4590" s="4" t="s">
        <v>10135</v>
      </c>
      <c r="B4590" s="5" t="s">
        <v>10135</v>
      </c>
      <c r="C4590" s="5" t="s">
        <v>31</v>
      </c>
      <c r="D4590" s="5" t="s">
        <v>32</v>
      </c>
      <c r="E4590" s="5" t="s">
        <v>100</v>
      </c>
      <c r="F4590" s="9">
        <v>7</v>
      </c>
      <c r="G4590" s="9">
        <v>61</v>
      </c>
      <c r="H4590" s="5" t="s">
        <v>20</v>
      </c>
      <c r="I4590" s="5" t="s">
        <v>10136</v>
      </c>
      <c r="J4590" s="12" t="str">
        <f>HYPERLINK("https://www.boe.es/gazeta/dias/1806/01/21/pdfs/GMD-1806-7.pdf#page=5","Abrir facsímil")</f>
        <v>Abrir facsímil</v>
      </c>
      <c r="K4590" s="15" t="s">
        <v>22</v>
      </c>
    </row>
    <row r="4591" spans="1:11" ht="42" customHeight="1">
      <c r="A4591" s="4" t="s">
        <v>10137</v>
      </c>
      <c r="B4591" s="5" t="s">
        <v>10138</v>
      </c>
      <c r="C4591" s="5" t="s">
        <v>42</v>
      </c>
      <c r="D4591" s="5" t="s">
        <v>43</v>
      </c>
      <c r="E4591" s="5" t="s">
        <v>185</v>
      </c>
      <c r="F4591" s="9">
        <v>46</v>
      </c>
      <c r="G4591" s="9">
        <v>471</v>
      </c>
      <c r="H4591" s="5" t="s">
        <v>20</v>
      </c>
      <c r="I4591" s="5" t="s">
        <v>10139</v>
      </c>
      <c r="J4591" s="12" t="str">
        <f>HYPERLINK("https://www.boe.es/gazeta/dias/1806/06/03/pdfs/GMD-1806-46.pdf#page=11","Abrir facsímil")</f>
        <v>Abrir facsímil</v>
      </c>
      <c r="K4591" s="15" t="s">
        <v>22</v>
      </c>
    </row>
    <row r="4592" spans="1:11" ht="42" customHeight="1">
      <c r="A4592" s="4" t="s">
        <v>10140</v>
      </c>
      <c r="B4592" s="5" t="s">
        <v>10140</v>
      </c>
      <c r="C4592" s="5" t="s">
        <v>69</v>
      </c>
      <c r="D4592" s="5" t="s">
        <v>70</v>
      </c>
      <c r="E4592" s="5" t="s">
        <v>51</v>
      </c>
      <c r="F4592" s="9">
        <v>44</v>
      </c>
      <c r="G4592" s="9">
        <v>440</v>
      </c>
      <c r="H4592" s="5" t="s">
        <v>20</v>
      </c>
      <c r="I4592" s="5" t="s">
        <v>10141</v>
      </c>
      <c r="J4592" s="12" t="str">
        <f>HYPERLINK("https://www.boe.es/gazeta/dias/1806/05/27/pdfs/GMD-1806-44.pdf#page=4","Abrir facsímil")</f>
        <v>Abrir facsímil</v>
      </c>
      <c r="K4592" s="15" t="s">
        <v>22</v>
      </c>
    </row>
    <row r="4593" spans="1:11" ht="42" customHeight="1">
      <c r="A4593" s="4" t="s">
        <v>10142</v>
      </c>
      <c r="B4593" s="5" t="s">
        <v>10142</v>
      </c>
      <c r="C4593" s="5" t="s">
        <v>31</v>
      </c>
      <c r="D4593" s="5" t="s">
        <v>32</v>
      </c>
      <c r="E4593" s="5" t="s">
        <v>55</v>
      </c>
      <c r="F4593" s="9">
        <v>20</v>
      </c>
      <c r="G4593" s="9">
        <v>179</v>
      </c>
      <c r="H4593" s="5" t="s">
        <v>20</v>
      </c>
      <c r="I4593" s="5" t="s">
        <v>10143</v>
      </c>
      <c r="J4593" s="12" t="str">
        <f>HYPERLINK("https://www.boe.es/gazeta/dias/1806/03/04/pdfs/GMD-1806-20.pdf#page=3","Abrir facsímil")</f>
        <v>Abrir facsímil</v>
      </c>
      <c r="K4593" s="15" t="s">
        <v>22</v>
      </c>
    </row>
    <row r="4594" spans="1:11" ht="42" customHeight="1">
      <c r="A4594" s="4" t="s">
        <v>10142</v>
      </c>
      <c r="B4594" s="5" t="s">
        <v>10142</v>
      </c>
      <c r="C4594" s="5" t="s">
        <v>69</v>
      </c>
      <c r="D4594" s="5" t="s">
        <v>70</v>
      </c>
      <c r="E4594" s="5" t="s">
        <v>1080</v>
      </c>
      <c r="F4594" s="9">
        <v>49</v>
      </c>
      <c r="G4594" s="9">
        <v>503</v>
      </c>
      <c r="H4594" s="5" t="s">
        <v>20</v>
      </c>
      <c r="I4594" s="5" t="s">
        <v>10144</v>
      </c>
      <c r="J4594" s="12" t="str">
        <f>HYPERLINK("https://www.boe.es/gazeta/dias/1806/06/13/pdfs/GMD-1806-49.pdf#page=3","Abrir facsímil")</f>
        <v>Abrir facsímil</v>
      </c>
      <c r="K4594" s="15" t="s">
        <v>22</v>
      </c>
    </row>
    <row r="4595" spans="1:11" ht="42" customHeight="1">
      <c r="A4595" s="4" t="s">
        <v>10145</v>
      </c>
      <c r="B4595" s="5" t="s">
        <v>10146</v>
      </c>
      <c r="C4595" s="5" t="s">
        <v>17</v>
      </c>
      <c r="D4595" s="5" t="s">
        <v>18</v>
      </c>
      <c r="E4595" s="5" t="s">
        <v>195</v>
      </c>
      <c r="F4595" s="9">
        <v>4</v>
      </c>
      <c r="G4595" s="9">
        <v>35</v>
      </c>
      <c r="H4595" s="5" t="s">
        <v>20</v>
      </c>
      <c r="I4595" s="5" t="s">
        <v>10147</v>
      </c>
      <c r="J4595" s="12" t="str">
        <f>HYPERLINK("https://www.boe.es/gazeta/dias/1806/01/14/pdfs/GMD-1806-4.pdf#page=7","Abrir facsímil")</f>
        <v>Abrir facsímil</v>
      </c>
      <c r="K4595" s="15" t="s">
        <v>22</v>
      </c>
    </row>
    <row r="4596" spans="1:11" ht="42" customHeight="1">
      <c r="A4596" s="4" t="s">
        <v>10148</v>
      </c>
      <c r="B4596" s="5" t="s">
        <v>10149</v>
      </c>
      <c r="C4596" s="5" t="s">
        <v>69</v>
      </c>
      <c r="D4596" s="5" t="s">
        <v>70</v>
      </c>
      <c r="E4596" s="5" t="s">
        <v>24</v>
      </c>
      <c r="F4596" s="9">
        <v>32</v>
      </c>
      <c r="G4596" s="9">
        <v>313</v>
      </c>
      <c r="H4596" s="5" t="s">
        <v>20</v>
      </c>
      <c r="I4596" s="5" t="s">
        <v>10150</v>
      </c>
      <c r="J4596" s="12" t="str">
        <f>HYPERLINK("https://www.boe.es/gazeta/dias/1806/04/15/pdfs/GMD-1806-32.pdf#page=5","Abrir facsímil")</f>
        <v>Abrir facsímil</v>
      </c>
      <c r="K4596" s="15" t="s">
        <v>22</v>
      </c>
    </row>
    <row r="4597" spans="1:11" ht="42" customHeight="1">
      <c r="A4597" s="4" t="s">
        <v>10151</v>
      </c>
      <c r="B4597" s="5" t="s">
        <v>10151</v>
      </c>
      <c r="C4597" s="5" t="s">
        <v>75</v>
      </c>
      <c r="D4597" s="5" t="s">
        <v>43</v>
      </c>
      <c r="E4597" s="5" t="s">
        <v>103</v>
      </c>
      <c r="F4597" s="9">
        <v>61</v>
      </c>
      <c r="G4597" s="9">
        <v>637</v>
      </c>
      <c r="H4597" s="5" t="s">
        <v>20</v>
      </c>
      <c r="I4597" s="5" t="s">
        <v>10152</v>
      </c>
      <c r="J4597" s="12" t="str">
        <f>HYPERLINK("https://www.boe.es/gazeta/dias/1806/07/25/pdfs/GMD-1806-61.pdf#page=9","Abrir facsímil")</f>
        <v>Abrir facsímil</v>
      </c>
      <c r="K4597" s="15" t="s">
        <v>22</v>
      </c>
    </row>
    <row r="4598" spans="1:11" ht="42" customHeight="1">
      <c r="A4598" s="4" t="s">
        <v>10153</v>
      </c>
      <c r="B4598" s="5" t="s">
        <v>10153</v>
      </c>
      <c r="C4598" s="5" t="s">
        <v>69</v>
      </c>
      <c r="D4598" s="5" t="s">
        <v>70</v>
      </c>
      <c r="E4598" s="5" t="s">
        <v>227</v>
      </c>
      <c r="F4598" s="9">
        <v>27</v>
      </c>
      <c r="G4598" s="9">
        <v>265</v>
      </c>
      <c r="H4598" s="5" t="s">
        <v>20</v>
      </c>
      <c r="I4598" s="5" t="s">
        <v>10154</v>
      </c>
      <c r="J4598" s="12" t="str">
        <f>HYPERLINK("https://www.boe.es/gazeta/dias/1806/03/28/pdfs/GMD-1806-27.pdf#page=5","Abrir facsímil")</f>
        <v>Abrir facsímil</v>
      </c>
      <c r="K4598" s="15" t="s">
        <v>22</v>
      </c>
    </row>
    <row r="4599" spans="1:11" ht="42" customHeight="1">
      <c r="A4599" s="4" t="s">
        <v>10153</v>
      </c>
      <c r="B4599" s="5" t="s">
        <v>10153</v>
      </c>
      <c r="C4599" s="5" t="s">
        <v>69</v>
      </c>
      <c r="D4599" s="5" t="s">
        <v>70</v>
      </c>
      <c r="E4599" s="5" t="s">
        <v>279</v>
      </c>
      <c r="F4599" s="9">
        <v>52</v>
      </c>
      <c r="G4599" s="9">
        <v>536</v>
      </c>
      <c r="H4599" s="5" t="s">
        <v>20</v>
      </c>
      <c r="I4599" s="5" t="s">
        <v>10155</v>
      </c>
      <c r="J4599" s="12" t="str">
        <f>HYPERLINK("https://www.boe.es/gazeta/dias/1806/06/24/pdfs/GMD-1806-52.pdf#page=4","Abrir facsímil")</f>
        <v>Abrir facsímil</v>
      </c>
      <c r="K4599" s="15" t="s">
        <v>22</v>
      </c>
    </row>
    <row r="4600" spans="1:11" ht="42" customHeight="1">
      <c r="A4600" s="4" t="s">
        <v>10153</v>
      </c>
      <c r="B4600" s="5" t="s">
        <v>10153</v>
      </c>
      <c r="C4600" s="5" t="s">
        <v>69</v>
      </c>
      <c r="D4600" s="5" t="s">
        <v>70</v>
      </c>
      <c r="E4600" s="5" t="s">
        <v>110</v>
      </c>
      <c r="F4600" s="9">
        <v>55</v>
      </c>
      <c r="G4600" s="9">
        <v>569</v>
      </c>
      <c r="H4600" s="5" t="s">
        <v>20</v>
      </c>
      <c r="I4600" s="5" t="s">
        <v>10156</v>
      </c>
      <c r="J4600" s="12" t="str">
        <f>HYPERLINK("https://www.boe.es/gazeta/dias/1806/07/04/pdfs/GMD-1806-55.pdf#page=5","Abrir facsímil")</f>
        <v>Abrir facsímil</v>
      </c>
      <c r="K4600" s="15" t="s">
        <v>22</v>
      </c>
    </row>
    <row r="4601" spans="1:11" ht="42" customHeight="1">
      <c r="A4601" s="4" t="s">
        <v>10153</v>
      </c>
      <c r="B4601" s="5" t="s">
        <v>10153</v>
      </c>
      <c r="C4601" s="5" t="s">
        <v>69</v>
      </c>
      <c r="D4601" s="5" t="s">
        <v>70</v>
      </c>
      <c r="E4601" s="5" t="s">
        <v>306</v>
      </c>
      <c r="F4601" s="9">
        <v>59</v>
      </c>
      <c r="G4601" s="9">
        <v>608</v>
      </c>
      <c r="H4601" s="5" t="s">
        <v>20</v>
      </c>
      <c r="I4601" s="5" t="s">
        <v>10157</v>
      </c>
      <c r="J4601" s="12" t="str">
        <f>HYPERLINK("https://www.boe.es/gazeta/dias/1806/07/18/pdfs/GMD-1806-59.pdf#page=4","Abrir facsímil")</f>
        <v>Abrir facsímil</v>
      </c>
      <c r="K4601" s="15" t="s">
        <v>22</v>
      </c>
    </row>
    <row r="4602" spans="1:11" ht="42" customHeight="1">
      <c r="A4602" s="4" t="s">
        <v>10153</v>
      </c>
      <c r="B4602" s="5" t="s">
        <v>10153</v>
      </c>
      <c r="C4602" s="5" t="s">
        <v>69</v>
      </c>
      <c r="D4602" s="5" t="s">
        <v>70</v>
      </c>
      <c r="E4602" s="5" t="s">
        <v>181</v>
      </c>
      <c r="F4602" s="9">
        <v>99</v>
      </c>
      <c r="G4602" s="9">
        <v>1047</v>
      </c>
      <c r="H4602" s="5" t="s">
        <v>20</v>
      </c>
      <c r="I4602" s="5" t="s">
        <v>10158</v>
      </c>
      <c r="J4602" s="12" t="str">
        <f>HYPERLINK("https://www.boe.es/gazeta/dias/1806/12/05/pdfs/GMD-1806-99.pdf#page=3","Abrir facsímil")</f>
        <v>Abrir facsímil</v>
      </c>
      <c r="K4602" s="15" t="s">
        <v>22</v>
      </c>
    </row>
    <row r="4603" spans="1:11" ht="42" customHeight="1">
      <c r="A4603" s="4" t="s">
        <v>10153</v>
      </c>
      <c r="B4603" s="5" t="s">
        <v>10153</v>
      </c>
      <c r="C4603" s="5" t="s">
        <v>75</v>
      </c>
      <c r="D4603" s="5" t="s">
        <v>43</v>
      </c>
      <c r="E4603" s="5" t="s">
        <v>181</v>
      </c>
      <c r="F4603" s="9">
        <v>99</v>
      </c>
      <c r="G4603" s="9">
        <v>1048</v>
      </c>
      <c r="H4603" s="5" t="s">
        <v>20</v>
      </c>
      <c r="I4603" s="5" t="s">
        <v>10159</v>
      </c>
      <c r="J4603" s="12" t="str">
        <f>HYPERLINK("https://www.boe.es/gazeta/dias/1806/12/05/pdfs/GMD-1806-99.pdf#page=4","Abrir facsímil")</f>
        <v>Abrir facsímil</v>
      </c>
      <c r="K4603" s="15" t="s">
        <v>22</v>
      </c>
    </row>
    <row r="4604" spans="1:11" ht="42" customHeight="1">
      <c r="A4604" s="4" t="s">
        <v>10160</v>
      </c>
      <c r="B4604" s="5" t="s">
        <v>10161</v>
      </c>
      <c r="C4604" s="5" t="s">
        <v>42</v>
      </c>
      <c r="D4604" s="5" t="s">
        <v>43</v>
      </c>
      <c r="E4604" s="5" t="s">
        <v>400</v>
      </c>
      <c r="F4604" s="9">
        <v>22</v>
      </c>
      <c r="G4604" s="9">
        <v>207</v>
      </c>
      <c r="H4604" s="5" t="s">
        <v>20</v>
      </c>
      <c r="I4604" s="5" t="s">
        <v>10162</v>
      </c>
      <c r="J4604" s="12" t="str">
        <f>HYPERLINK("https://www.boe.es/gazeta/dias/1806/03/11/pdfs/GMD-1806-22.pdf#page=7","Abrir facsímil")</f>
        <v>Abrir facsímil</v>
      </c>
      <c r="K4604" s="15" t="s">
        <v>22</v>
      </c>
    </row>
    <row r="4605" spans="1:11" ht="42" customHeight="1">
      <c r="A4605" s="4" t="s">
        <v>10163</v>
      </c>
      <c r="B4605" s="5" t="s">
        <v>10164</v>
      </c>
      <c r="C4605" s="5" t="s">
        <v>31</v>
      </c>
      <c r="D4605" s="5" t="s">
        <v>32</v>
      </c>
      <c r="E4605" s="5" t="s">
        <v>118</v>
      </c>
      <c r="F4605" s="9">
        <v>15</v>
      </c>
      <c r="G4605" s="9">
        <v>134</v>
      </c>
      <c r="H4605" s="5" t="s">
        <v>20</v>
      </c>
      <c r="I4605" s="5" t="s">
        <v>10165</v>
      </c>
      <c r="J4605" s="12" t="str">
        <f>HYPERLINK("https://www.boe.es/gazeta/dias/1806/02/14/pdfs/GMD-1806-15.pdf#page=10","Abrir facsímil")</f>
        <v>Abrir facsímil</v>
      </c>
      <c r="K4605" s="15" t="s">
        <v>22</v>
      </c>
    </row>
    <row r="4606" spans="1:11" ht="42" customHeight="1">
      <c r="A4606" s="4" t="s">
        <v>10166</v>
      </c>
      <c r="B4606" s="5" t="s">
        <v>10167</v>
      </c>
      <c r="C4606" s="5" t="s">
        <v>42</v>
      </c>
      <c r="D4606" s="5" t="s">
        <v>43</v>
      </c>
      <c r="E4606" s="5" t="s">
        <v>185</v>
      </c>
      <c r="F4606" s="9">
        <v>46</v>
      </c>
      <c r="G4606" s="9">
        <v>468</v>
      </c>
      <c r="H4606" s="5" t="s">
        <v>20</v>
      </c>
      <c r="I4606" s="5" t="s">
        <v>10168</v>
      </c>
      <c r="J4606" s="12" t="str">
        <f>HYPERLINK("https://www.boe.es/gazeta/dias/1806/06/03/pdfs/GMD-1806-46.pdf#page=8","Abrir facsímil")</f>
        <v>Abrir facsímil</v>
      </c>
      <c r="K4606" s="15" t="s">
        <v>22</v>
      </c>
    </row>
    <row r="4607" spans="1:11" ht="42" customHeight="1">
      <c r="A4607" s="4" t="s">
        <v>10166</v>
      </c>
      <c r="B4607" s="5" t="s">
        <v>10167</v>
      </c>
      <c r="C4607" s="5" t="s">
        <v>31</v>
      </c>
      <c r="D4607" s="5" t="s">
        <v>32</v>
      </c>
      <c r="E4607" s="5" t="s">
        <v>96</v>
      </c>
      <c r="F4607" s="9">
        <v>62</v>
      </c>
      <c r="G4607" s="9">
        <v>649</v>
      </c>
      <c r="H4607" s="5" t="s">
        <v>20</v>
      </c>
      <c r="I4607" s="5" t="s">
        <v>10169</v>
      </c>
      <c r="J4607" s="12" t="str">
        <f>HYPERLINK("https://www.boe.es/gazeta/dias/1806/07/29/pdfs/GMD-1806-62.pdf#page=9","Abrir facsímil")</f>
        <v>Abrir facsímil</v>
      </c>
      <c r="K4607" s="15" t="s">
        <v>22</v>
      </c>
    </row>
    <row r="4608" spans="1:11" ht="42" customHeight="1">
      <c r="A4608" s="4" t="s">
        <v>10170</v>
      </c>
      <c r="B4608" s="5" t="s">
        <v>10171</v>
      </c>
      <c r="C4608" s="5" t="s">
        <v>75</v>
      </c>
      <c r="D4608" s="5" t="s">
        <v>43</v>
      </c>
      <c r="E4608" s="5" t="s">
        <v>181</v>
      </c>
      <c r="F4608" s="9">
        <v>99</v>
      </c>
      <c r="G4608" s="9">
        <v>1055</v>
      </c>
      <c r="H4608" s="5" t="s">
        <v>20</v>
      </c>
      <c r="I4608" s="5" t="s">
        <v>10172</v>
      </c>
      <c r="J4608" s="12" t="str">
        <f>HYPERLINK("https://www.boe.es/gazeta/dias/1806/12/05/pdfs/GMD-1806-99.pdf#page=11","Abrir facsímil")</f>
        <v>Abrir facsímil</v>
      </c>
      <c r="K4608" s="15" t="s">
        <v>22</v>
      </c>
    </row>
    <row r="4609" spans="1:11" ht="42" customHeight="1">
      <c r="A4609" s="4" t="s">
        <v>10173</v>
      </c>
      <c r="B4609" s="5" t="s">
        <v>10174</v>
      </c>
      <c r="C4609" s="5" t="s">
        <v>42</v>
      </c>
      <c r="D4609" s="5" t="s">
        <v>43</v>
      </c>
      <c r="E4609" s="5" t="s">
        <v>44</v>
      </c>
      <c r="F4609" s="9">
        <v>42</v>
      </c>
      <c r="G4609" s="9">
        <v>421</v>
      </c>
      <c r="H4609" s="5" t="s">
        <v>20</v>
      </c>
      <c r="I4609" s="5" t="s">
        <v>10175</v>
      </c>
      <c r="J4609" s="12" t="str">
        <f>HYPERLINK("https://www.boe.es/gazeta/dias/1806/05/20/pdfs/GMD-1806-42.pdf#page=9","Abrir facsímil")</f>
        <v>Abrir facsímil</v>
      </c>
      <c r="K4609" s="15" t="s">
        <v>22</v>
      </c>
    </row>
    <row r="4610" spans="1:11" ht="42" customHeight="1">
      <c r="A4610" s="4" t="s">
        <v>10176</v>
      </c>
      <c r="B4610" s="5" t="s">
        <v>10177</v>
      </c>
      <c r="C4610" s="5" t="s">
        <v>31</v>
      </c>
      <c r="D4610" s="5" t="s">
        <v>32</v>
      </c>
      <c r="E4610" s="5" t="s">
        <v>165</v>
      </c>
      <c r="F4610" s="9">
        <v>101</v>
      </c>
      <c r="G4610" s="9">
        <v>1074</v>
      </c>
      <c r="H4610" s="5" t="s">
        <v>20</v>
      </c>
      <c r="I4610" s="5" t="s">
        <v>10178</v>
      </c>
      <c r="J4610" s="12" t="str">
        <f>HYPERLINK("https://www.boe.es/gazeta/dias/1806/12/12/pdfs/GMD-1806-101.pdf#page=6","Abrir facsímil")</f>
        <v>Abrir facsímil</v>
      </c>
      <c r="K4610" s="15" t="s">
        <v>22</v>
      </c>
    </row>
    <row r="4611" spans="1:11" ht="42" customHeight="1">
      <c r="A4611" s="4" t="s">
        <v>10179</v>
      </c>
      <c r="B4611" s="5" t="s">
        <v>10180</v>
      </c>
      <c r="C4611" s="5" t="s">
        <v>31</v>
      </c>
      <c r="D4611" s="5" t="s">
        <v>32</v>
      </c>
      <c r="E4611" s="5" t="s">
        <v>93</v>
      </c>
      <c r="F4611" s="9">
        <v>72</v>
      </c>
      <c r="G4611" s="9">
        <v>749</v>
      </c>
      <c r="H4611" s="5" t="s">
        <v>20</v>
      </c>
      <c r="I4611" s="5" t="s">
        <v>10181</v>
      </c>
      <c r="J4611" s="12" t="str">
        <f>HYPERLINK("https://www.boe.es/gazeta/dias/1806/09/02/pdfs/GMD-1806-72.pdf#page=9","Abrir facsímil")</f>
        <v>Abrir facsímil</v>
      </c>
      <c r="K4611" s="15" t="s">
        <v>22</v>
      </c>
    </row>
    <row r="4612" spans="1:11" ht="42" customHeight="1">
      <c r="A4612" s="4" t="s">
        <v>10182</v>
      </c>
      <c r="B4612" s="5" t="s">
        <v>10182</v>
      </c>
      <c r="C4612" s="5" t="s">
        <v>17</v>
      </c>
      <c r="D4612" s="5" t="s">
        <v>18</v>
      </c>
      <c r="E4612" s="5" t="s">
        <v>279</v>
      </c>
      <c r="F4612" s="9">
        <v>52</v>
      </c>
      <c r="G4612" s="9">
        <v>544</v>
      </c>
      <c r="H4612" s="5" t="s">
        <v>20</v>
      </c>
      <c r="I4612" s="5" t="s">
        <v>10183</v>
      </c>
      <c r="J4612" s="12" t="str">
        <f>HYPERLINK("https://www.boe.es/gazeta/dias/1806/06/24/pdfs/GMD-1806-52.pdf#page=12","Abrir facsímil")</f>
        <v>Abrir facsímil</v>
      </c>
      <c r="K4612" s="15" t="s">
        <v>22</v>
      </c>
    </row>
    <row r="4613" spans="1:11" ht="42" customHeight="1">
      <c r="A4613" s="4" t="s">
        <v>10184</v>
      </c>
      <c r="B4613" s="5" t="s">
        <v>10184</v>
      </c>
      <c r="C4613" s="5" t="s">
        <v>31</v>
      </c>
      <c r="D4613" s="5" t="s">
        <v>32</v>
      </c>
      <c r="E4613" s="5" t="s">
        <v>494</v>
      </c>
      <c r="F4613" s="9">
        <v>69</v>
      </c>
      <c r="G4613" s="9">
        <v>722</v>
      </c>
      <c r="H4613" s="5" t="s">
        <v>20</v>
      </c>
      <c r="I4613" s="5" t="s">
        <v>10185</v>
      </c>
      <c r="J4613" s="12" t="str">
        <f>HYPERLINK("https://www.boe.es/gazeta/dias/1806/08/22/pdfs/GMD-1806-69.pdf#page=10","Abrir facsímil")</f>
        <v>Abrir facsímil</v>
      </c>
      <c r="K4613" s="15" t="s">
        <v>22</v>
      </c>
    </row>
    <row r="4614" spans="1:11" ht="42" customHeight="1">
      <c r="A4614" s="4" t="s">
        <v>10186</v>
      </c>
      <c r="B4614" s="5" t="s">
        <v>10186</v>
      </c>
      <c r="C4614" s="5" t="s">
        <v>31</v>
      </c>
      <c r="D4614" s="5" t="s">
        <v>32</v>
      </c>
      <c r="E4614" s="5" t="s">
        <v>124</v>
      </c>
      <c r="F4614" s="9">
        <v>25</v>
      </c>
      <c r="G4614" s="9">
        <v>245</v>
      </c>
      <c r="H4614" s="5" t="s">
        <v>20</v>
      </c>
      <c r="I4614" s="5" t="s">
        <v>10187</v>
      </c>
      <c r="J4614" s="12" t="str">
        <f>HYPERLINK("https://www.boe.es/gazeta/dias/1806/03/21/pdfs/GMD-1806-25.pdf#page=9","Abrir facsímil")</f>
        <v>Abrir facsímil</v>
      </c>
      <c r="K4614" s="15" t="s">
        <v>22</v>
      </c>
    </row>
    <row r="4615" spans="1:11" ht="42" customHeight="1">
      <c r="A4615" s="4" t="s">
        <v>10188</v>
      </c>
      <c r="B4615" s="5" t="s">
        <v>10188</v>
      </c>
      <c r="C4615" s="5" t="s">
        <v>17</v>
      </c>
      <c r="D4615" s="5" t="s">
        <v>18</v>
      </c>
      <c r="E4615" s="5" t="s">
        <v>205</v>
      </c>
      <c r="F4615" s="9">
        <v>57</v>
      </c>
      <c r="G4615" s="9">
        <v>595</v>
      </c>
      <c r="H4615" s="5" t="s">
        <v>20</v>
      </c>
      <c r="I4615" s="5" t="s">
        <v>10189</v>
      </c>
      <c r="J4615" s="12" t="str">
        <f>HYPERLINK("https://www.boe.es/gazeta/dias/1806/07/11/pdfs/GMD-1806-57.pdf#page=7","Abrir facsímil")</f>
        <v>Abrir facsímil</v>
      </c>
      <c r="K4615" s="15" t="s">
        <v>22</v>
      </c>
    </row>
    <row r="4616" spans="1:11" ht="42" customHeight="1">
      <c r="A4616" s="4" t="s">
        <v>10190</v>
      </c>
      <c r="B4616" s="5" t="s">
        <v>10190</v>
      </c>
      <c r="C4616" s="5" t="s">
        <v>31</v>
      </c>
      <c r="D4616" s="5" t="s">
        <v>32</v>
      </c>
      <c r="E4616" s="5" t="s">
        <v>309</v>
      </c>
      <c r="F4616" s="9">
        <v>41</v>
      </c>
      <c r="G4616" s="9">
        <v>407</v>
      </c>
      <c r="H4616" s="5" t="s">
        <v>20</v>
      </c>
      <c r="I4616" s="5" t="s">
        <v>10191</v>
      </c>
      <c r="J4616" s="12" t="str">
        <f>HYPERLINK("https://www.boe.es/gazeta/dias/1806/05/16/pdfs/GMD-1806-41.pdf#page=7","Abrir facsímil")</f>
        <v>Abrir facsímil</v>
      </c>
      <c r="K4616" s="15" t="s">
        <v>22</v>
      </c>
    </row>
    <row r="4617" spans="1:11" ht="42" customHeight="1">
      <c r="A4617" s="4" t="s">
        <v>10192</v>
      </c>
      <c r="B4617" s="5" t="s">
        <v>10193</v>
      </c>
      <c r="C4617" s="5" t="s">
        <v>31</v>
      </c>
      <c r="D4617" s="5" t="s">
        <v>32</v>
      </c>
      <c r="E4617" s="5" t="s">
        <v>71</v>
      </c>
      <c r="F4617" s="9">
        <v>29</v>
      </c>
      <c r="G4617" s="9">
        <v>287</v>
      </c>
      <c r="H4617" s="5" t="s">
        <v>20</v>
      </c>
      <c r="I4617" s="5" t="s">
        <v>10194</v>
      </c>
      <c r="J4617" s="12" t="str">
        <f>HYPERLINK("https://www.boe.es/gazeta/dias/1806/04/04/pdfs/GMD-1806-29.pdf#page=7","Abrir facsímil")</f>
        <v>Abrir facsímil</v>
      </c>
      <c r="K4617" s="15" t="s">
        <v>22</v>
      </c>
    </row>
    <row r="4618" spans="1:11" ht="42" customHeight="1">
      <c r="A4618" s="4" t="s">
        <v>10195</v>
      </c>
      <c r="B4618" s="5" t="s">
        <v>10195</v>
      </c>
      <c r="C4618" s="5" t="s">
        <v>69</v>
      </c>
      <c r="D4618" s="5" t="s">
        <v>70</v>
      </c>
      <c r="E4618" s="5" t="s">
        <v>600</v>
      </c>
      <c r="F4618" s="9">
        <v>77</v>
      </c>
      <c r="G4618" s="9">
        <v>792</v>
      </c>
      <c r="H4618" s="5" t="s">
        <v>20</v>
      </c>
      <c r="I4618" s="5" t="s">
        <v>10196</v>
      </c>
      <c r="J4618" s="12" t="str">
        <f>HYPERLINK("https://www.boe.es/gazeta/dias/1806/09/19/pdfs/GMD-1806-77.pdf#page=4","Abrir facsímil")</f>
        <v>Abrir facsímil</v>
      </c>
      <c r="K4618" s="15" t="s">
        <v>22</v>
      </c>
    </row>
    <row r="4619" spans="1:11" ht="42" customHeight="1">
      <c r="A4619" s="4" t="s">
        <v>10197</v>
      </c>
      <c r="B4619" s="5" t="s">
        <v>10198</v>
      </c>
      <c r="C4619" s="5" t="s">
        <v>42</v>
      </c>
      <c r="D4619" s="5" t="s">
        <v>43</v>
      </c>
      <c r="E4619" s="5" t="s">
        <v>279</v>
      </c>
      <c r="F4619" s="9">
        <v>52</v>
      </c>
      <c r="G4619" s="9">
        <v>541</v>
      </c>
      <c r="H4619" s="5" t="s">
        <v>20</v>
      </c>
      <c r="I4619" s="5" t="s">
        <v>10199</v>
      </c>
      <c r="J4619" s="12" t="str">
        <f>HYPERLINK("https://www.boe.es/gazeta/dias/1806/06/24/pdfs/GMD-1806-52.pdf#page=9","Abrir facsímil")</f>
        <v>Abrir facsímil</v>
      </c>
      <c r="K4619" s="15" t="s">
        <v>22</v>
      </c>
    </row>
    <row r="4620" spans="1:11" ht="42" customHeight="1">
      <c r="A4620" s="4" t="s">
        <v>10200</v>
      </c>
      <c r="B4620" s="5" t="s">
        <v>10200</v>
      </c>
      <c r="C4620" s="5" t="s">
        <v>31</v>
      </c>
      <c r="D4620" s="5" t="s">
        <v>32</v>
      </c>
      <c r="E4620" s="5" t="s">
        <v>304</v>
      </c>
      <c r="F4620" s="9">
        <v>47</v>
      </c>
      <c r="G4620" s="9">
        <v>484</v>
      </c>
      <c r="H4620" s="5" t="s">
        <v>20</v>
      </c>
      <c r="I4620" s="5" t="s">
        <v>10201</v>
      </c>
      <c r="J4620" s="12" t="str">
        <f>HYPERLINK("https://www.boe.es/gazeta/dias/1806/06/06/pdfs/GMD-C-1806-47.pdf#page=4","Abrir facsímil")</f>
        <v>Abrir facsímil</v>
      </c>
      <c r="K4620" s="15" t="s">
        <v>22</v>
      </c>
    </row>
    <row r="4621" spans="1:11" ht="42" customHeight="1">
      <c r="A4621" s="4" t="s">
        <v>10202</v>
      </c>
      <c r="B4621" s="5" t="s">
        <v>10202</v>
      </c>
      <c r="C4621" s="5" t="s">
        <v>69</v>
      </c>
      <c r="D4621" s="5" t="s">
        <v>70</v>
      </c>
      <c r="E4621" s="5" t="s">
        <v>213</v>
      </c>
      <c r="F4621" s="9">
        <v>73</v>
      </c>
      <c r="G4621" s="9">
        <v>755</v>
      </c>
      <c r="H4621" s="5" t="s">
        <v>20</v>
      </c>
      <c r="I4621" s="5" t="s">
        <v>10203</v>
      </c>
      <c r="J4621" s="12" t="str">
        <f>HYPERLINK("https://www.boe.es/gazeta/dias/1806/09/05/pdfs/GMD-1806-73.pdf#page=3","Abrir facsímil")</f>
        <v>Abrir facsímil</v>
      </c>
      <c r="K4621" s="15" t="s">
        <v>22</v>
      </c>
    </row>
    <row r="4622" spans="1:11" ht="42" customHeight="1">
      <c r="A4622" s="4" t="s">
        <v>10204</v>
      </c>
      <c r="B4622" s="5" t="s">
        <v>10205</v>
      </c>
      <c r="C4622" s="5" t="s">
        <v>17</v>
      </c>
      <c r="D4622" s="5" t="s">
        <v>18</v>
      </c>
      <c r="E4622" s="5" t="s">
        <v>76</v>
      </c>
      <c r="F4622" s="9">
        <v>98</v>
      </c>
      <c r="G4622" s="9">
        <v>1043</v>
      </c>
      <c r="H4622" s="5" t="s">
        <v>20</v>
      </c>
      <c r="I4622" s="5" t="s">
        <v>10206</v>
      </c>
      <c r="J4622" s="12" t="str">
        <f>HYPERLINK("https://www.boe.es/gazeta/dias/1806/12/02/pdfs/GMD-1806-98.pdf#page=11","Abrir facsímil")</f>
        <v>Abrir facsímil</v>
      </c>
      <c r="K4622" s="15" t="s">
        <v>22</v>
      </c>
    </row>
    <row r="4623" spans="1:11" ht="42" customHeight="1">
      <c r="A4623" s="4" t="s">
        <v>10207</v>
      </c>
      <c r="B4623" s="5" t="s">
        <v>10208</v>
      </c>
      <c r="C4623" s="5" t="s">
        <v>31</v>
      </c>
      <c r="D4623" s="5" t="s">
        <v>32</v>
      </c>
      <c r="E4623" s="5" t="s">
        <v>82</v>
      </c>
      <c r="F4623" s="9">
        <v>48</v>
      </c>
      <c r="G4623" s="9">
        <v>496</v>
      </c>
      <c r="H4623" s="5" t="s">
        <v>20</v>
      </c>
      <c r="I4623" s="5" t="s">
        <v>10209</v>
      </c>
      <c r="J4623" s="12" t="str">
        <f>HYPERLINK("https://www.boe.es/gazeta/dias/1806/06/10/pdfs/GMD-1806-48.pdf#page=8","Abrir facsímil")</f>
        <v>Abrir facsímil</v>
      </c>
      <c r="K4623" s="15" t="s">
        <v>22</v>
      </c>
    </row>
    <row r="4624" spans="1:11" ht="42" customHeight="1">
      <c r="A4624" s="4" t="s">
        <v>10210</v>
      </c>
      <c r="B4624" s="5" t="s">
        <v>10211</v>
      </c>
      <c r="C4624" s="5" t="s">
        <v>69</v>
      </c>
      <c r="D4624" s="5" t="s">
        <v>70</v>
      </c>
      <c r="E4624" s="5" t="s">
        <v>367</v>
      </c>
      <c r="F4624" s="9">
        <v>87</v>
      </c>
      <c r="G4624" s="9">
        <v>894</v>
      </c>
      <c r="H4624" s="5" t="s">
        <v>20</v>
      </c>
      <c r="I4624" s="5" t="s">
        <v>10212</v>
      </c>
      <c r="J4624" s="12" t="str">
        <f>HYPERLINK("https://www.boe.es/gazeta/dias/1806/10/24/pdfs/GMD-1806-87.pdf#page=2","Abrir facsímil")</f>
        <v>Abrir facsímil</v>
      </c>
      <c r="K4624" s="15" t="s">
        <v>22</v>
      </c>
    </row>
    <row r="4625" spans="1:11" ht="42" customHeight="1">
      <c r="A4625" s="4" t="s">
        <v>10213</v>
      </c>
      <c r="B4625" s="5" t="s">
        <v>10214</v>
      </c>
      <c r="C4625" s="5" t="s">
        <v>69</v>
      </c>
      <c r="D4625" s="5" t="s">
        <v>70</v>
      </c>
      <c r="E4625" s="5" t="s">
        <v>312</v>
      </c>
      <c r="F4625" s="9">
        <v>100</v>
      </c>
      <c r="G4625" s="9">
        <v>1061</v>
      </c>
      <c r="H4625" s="5" t="s">
        <v>20</v>
      </c>
      <c r="I4625" s="5" t="s">
        <v>10215</v>
      </c>
      <c r="J4625" s="12" t="str">
        <f>HYPERLINK("https://www.boe.es/gazeta/dias/1806/12/09/pdfs/GMD-1806-100.pdf#page=5","Abrir facsímil")</f>
        <v>Abrir facsímil</v>
      </c>
      <c r="K4625" s="15" t="s">
        <v>22</v>
      </c>
    </row>
    <row r="4626" spans="1:11" ht="42" customHeight="1">
      <c r="A4626" s="4" t="s">
        <v>10216</v>
      </c>
      <c r="B4626" s="5" t="s">
        <v>10217</v>
      </c>
      <c r="C4626" s="5" t="s">
        <v>69</v>
      </c>
      <c r="D4626" s="5" t="s">
        <v>70</v>
      </c>
      <c r="E4626" s="5" t="s">
        <v>118</v>
      </c>
      <c r="F4626" s="9">
        <v>15</v>
      </c>
      <c r="G4626" s="9">
        <v>130</v>
      </c>
      <c r="H4626" s="5" t="s">
        <v>20</v>
      </c>
      <c r="I4626" s="5" t="s">
        <v>10218</v>
      </c>
      <c r="J4626" s="12" t="str">
        <f>HYPERLINK("https://www.boe.es/gazeta/dias/1806/02/14/pdfs/GMD-1806-15.pdf#page=6","Abrir facsímil")</f>
        <v>Abrir facsímil</v>
      </c>
      <c r="K4626" s="15" t="s">
        <v>22</v>
      </c>
    </row>
    <row r="4627" spans="1:11" ht="42" customHeight="1">
      <c r="A4627" s="4" t="s">
        <v>10219</v>
      </c>
      <c r="B4627" s="5" t="s">
        <v>10220</v>
      </c>
      <c r="C4627" s="5" t="s">
        <v>75</v>
      </c>
      <c r="D4627" s="5" t="s">
        <v>43</v>
      </c>
      <c r="E4627" s="5" t="s">
        <v>55</v>
      </c>
      <c r="F4627" s="9">
        <v>20</v>
      </c>
      <c r="G4627" s="9">
        <v>186</v>
      </c>
      <c r="H4627" s="5" t="s">
        <v>20</v>
      </c>
      <c r="I4627" s="5" t="s">
        <v>10221</v>
      </c>
      <c r="J4627" s="12" t="str">
        <f>HYPERLINK("https://www.boe.es/gazeta/dias/1806/03/04/pdfs/GMD-1806-20.pdf#page=10","Abrir facsímil")</f>
        <v>Abrir facsímil</v>
      </c>
      <c r="K4627" s="15" t="s">
        <v>22</v>
      </c>
    </row>
    <row r="4628" spans="1:11" ht="42" customHeight="1">
      <c r="A4628" s="4" t="s">
        <v>10222</v>
      </c>
      <c r="B4628" s="5" t="s">
        <v>10223</v>
      </c>
      <c r="C4628" s="5" t="s">
        <v>31</v>
      </c>
      <c r="D4628" s="5" t="s">
        <v>32</v>
      </c>
      <c r="E4628" s="5" t="s">
        <v>1005</v>
      </c>
      <c r="F4628" s="9">
        <v>76</v>
      </c>
      <c r="G4628" s="9">
        <v>787</v>
      </c>
      <c r="H4628" s="5" t="s">
        <v>20</v>
      </c>
      <c r="I4628" s="5" t="s">
        <v>10224</v>
      </c>
      <c r="J4628" s="12" t="str">
        <f>HYPERLINK("https://www.boe.es/gazeta/dias/1806/09/16/pdfs/GMD-1806-76.pdf#page=7","Abrir facsímil")</f>
        <v>Abrir facsímil</v>
      </c>
      <c r="K4628" s="15" t="s">
        <v>22</v>
      </c>
    </row>
    <row r="4629" spans="1:11" ht="42" customHeight="1">
      <c r="A4629" s="4" t="s">
        <v>10225</v>
      </c>
      <c r="B4629" s="5" t="s">
        <v>10226</v>
      </c>
      <c r="C4629" s="5" t="s">
        <v>31</v>
      </c>
      <c r="D4629" s="5" t="s">
        <v>32</v>
      </c>
      <c r="E4629" s="5" t="s">
        <v>580</v>
      </c>
      <c r="F4629" s="9">
        <v>23</v>
      </c>
      <c r="G4629" s="9">
        <v>220</v>
      </c>
      <c r="H4629" s="5" t="s">
        <v>20</v>
      </c>
      <c r="I4629" s="5" t="s">
        <v>10227</v>
      </c>
      <c r="J4629" s="12" t="str">
        <f>HYPERLINK("https://www.boe.es/gazeta/dias/1806/03/14/pdfs/GMD-1806-23.pdf#page=8","Abrir facsímil")</f>
        <v>Abrir facsímil</v>
      </c>
      <c r="K4629" s="15" t="s">
        <v>22</v>
      </c>
    </row>
    <row r="4630" spans="1:11" ht="42" customHeight="1">
      <c r="A4630" s="4" t="s">
        <v>10228</v>
      </c>
      <c r="B4630" s="5" t="s">
        <v>10229</v>
      </c>
      <c r="C4630" s="5" t="s">
        <v>42</v>
      </c>
      <c r="D4630" s="5" t="s">
        <v>43</v>
      </c>
      <c r="E4630" s="5" t="s">
        <v>271</v>
      </c>
      <c r="F4630" s="9">
        <v>6</v>
      </c>
      <c r="G4630" s="9">
        <v>54</v>
      </c>
      <c r="H4630" s="5" t="s">
        <v>20</v>
      </c>
      <c r="I4630" s="5" t="s">
        <v>10230</v>
      </c>
      <c r="J4630" s="12" t="str">
        <f>HYPERLINK("https://www.boe.es/gazeta/dias/1806/01/17/pdfs/GMD-1806-6.pdf#page=10","Abrir facsímil")</f>
        <v>Abrir facsímil</v>
      </c>
      <c r="K4630" s="15" t="s">
        <v>22</v>
      </c>
    </row>
    <row r="4631" spans="1:11" ht="42" customHeight="1">
      <c r="A4631" s="4" t="s">
        <v>10231</v>
      </c>
      <c r="B4631" s="5" t="s">
        <v>10232</v>
      </c>
      <c r="C4631" s="5" t="s">
        <v>17</v>
      </c>
      <c r="D4631" s="5" t="s">
        <v>18</v>
      </c>
      <c r="E4631" s="5" t="s">
        <v>148</v>
      </c>
      <c r="F4631" s="9">
        <v>78</v>
      </c>
      <c r="G4631" s="9">
        <v>803</v>
      </c>
      <c r="H4631" s="5" t="s">
        <v>20</v>
      </c>
      <c r="I4631" s="5" t="s">
        <v>10233</v>
      </c>
      <c r="J4631" s="12" t="str">
        <f>HYPERLINK("https://www.boe.es/gazeta/dias/1806/09/23/pdfs/GMD-1806-78.pdf#page=7","Abrir facsímil")</f>
        <v>Abrir facsímil</v>
      </c>
      <c r="K4631" s="15" t="s">
        <v>22</v>
      </c>
    </row>
    <row r="4632" spans="1:11" ht="42" customHeight="1">
      <c r="A4632" s="4" t="s">
        <v>10234</v>
      </c>
      <c r="B4632" s="5" t="s">
        <v>10234</v>
      </c>
      <c r="C4632" s="5" t="s">
        <v>69</v>
      </c>
      <c r="D4632" s="5" t="s">
        <v>70</v>
      </c>
      <c r="E4632" s="5" t="s">
        <v>870</v>
      </c>
      <c r="F4632" s="9">
        <v>35</v>
      </c>
      <c r="G4632" s="9">
        <v>340</v>
      </c>
      <c r="H4632" s="5" t="s">
        <v>20</v>
      </c>
      <c r="I4632" s="5" t="s">
        <v>10235</v>
      </c>
      <c r="J4632" s="12" t="str">
        <f>HYPERLINK("https://www.boe.es/gazeta/dias/1806/04/25/pdfs/GMD-1806-35.pdf#page=4","Abrir facsímil")</f>
        <v>Abrir facsímil</v>
      </c>
      <c r="K4632" s="15" t="s">
        <v>22</v>
      </c>
    </row>
    <row r="4633" spans="1:11" ht="42" customHeight="1">
      <c r="A4633" s="4" t="s">
        <v>10234</v>
      </c>
      <c r="B4633" s="5" t="s">
        <v>10234</v>
      </c>
      <c r="C4633" s="5" t="s">
        <v>69</v>
      </c>
      <c r="D4633" s="5" t="s">
        <v>70</v>
      </c>
      <c r="E4633" s="5" t="s">
        <v>483</v>
      </c>
      <c r="F4633" s="9">
        <v>58</v>
      </c>
      <c r="G4633" s="9">
        <v>600</v>
      </c>
      <c r="H4633" s="5" t="s">
        <v>20</v>
      </c>
      <c r="I4633" s="5" t="s">
        <v>10236</v>
      </c>
      <c r="J4633" s="12" t="str">
        <f>HYPERLINK("https://www.boe.es/gazeta/dias/1806/07/15/pdfs/GMD-1806-58.pdf#page=4","Abrir facsímil")</f>
        <v>Abrir facsímil</v>
      </c>
      <c r="K4633" s="15" t="s">
        <v>22</v>
      </c>
    </row>
    <row r="4634" spans="1:11" ht="42" customHeight="1">
      <c r="A4634" s="4" t="s">
        <v>10237</v>
      </c>
      <c r="B4634" s="5" t="s">
        <v>10238</v>
      </c>
      <c r="C4634" s="5" t="s">
        <v>69</v>
      </c>
      <c r="D4634" s="5" t="s">
        <v>70</v>
      </c>
      <c r="E4634" s="5" t="s">
        <v>455</v>
      </c>
      <c r="F4634" s="9">
        <v>85</v>
      </c>
      <c r="G4634" s="9">
        <v>877</v>
      </c>
      <c r="H4634" s="5" t="s">
        <v>20</v>
      </c>
      <c r="I4634" s="5" t="s">
        <v>10239</v>
      </c>
      <c r="J4634" s="12" t="str">
        <f>HYPERLINK("https://www.boe.es/gazeta/dias/1806/10/17/pdfs/GMD-1806-85.pdf#page=5","Abrir facsímil")</f>
        <v>Abrir facsímil</v>
      </c>
      <c r="K4634" s="15" t="s">
        <v>22</v>
      </c>
    </row>
    <row r="4635" spans="1:11" ht="42" customHeight="1">
      <c r="A4635" s="4" t="s">
        <v>10237</v>
      </c>
      <c r="B4635" s="5" t="s">
        <v>10238</v>
      </c>
      <c r="C4635" s="5" t="s">
        <v>31</v>
      </c>
      <c r="D4635" s="5" t="s">
        <v>32</v>
      </c>
      <c r="E4635" s="5" t="s">
        <v>348</v>
      </c>
      <c r="F4635" s="9">
        <v>88</v>
      </c>
      <c r="G4635" s="9">
        <v>909</v>
      </c>
      <c r="H4635" s="5" t="s">
        <v>20</v>
      </c>
      <c r="I4635" s="5" t="s">
        <v>10240</v>
      </c>
      <c r="J4635" s="12" t="str">
        <f>HYPERLINK("https://www.boe.es/gazeta/dias/1806/10/28/pdfs/GMD-1806-88.pdf#page=5","Abrir facsímil")</f>
        <v>Abrir facsímil</v>
      </c>
      <c r="K4635" s="15" t="s">
        <v>22</v>
      </c>
    </row>
    <row r="4636" spans="1:11" ht="42" customHeight="1">
      <c r="A4636" s="4" t="s">
        <v>10237</v>
      </c>
      <c r="B4636" s="5" t="s">
        <v>10238</v>
      </c>
      <c r="C4636" s="5" t="s">
        <v>69</v>
      </c>
      <c r="D4636" s="5" t="s">
        <v>70</v>
      </c>
      <c r="E4636" s="5" t="s">
        <v>231</v>
      </c>
      <c r="F4636" s="9">
        <v>89</v>
      </c>
      <c r="G4636" s="9">
        <v>918</v>
      </c>
      <c r="H4636" s="5" t="s">
        <v>20</v>
      </c>
      <c r="I4636" s="5" t="s">
        <v>10241</v>
      </c>
      <c r="J4636" s="12" t="str">
        <f>HYPERLINK("https://www.boe.es/gazeta/dias/1806/10/31/pdfs/GMD-1806-89.pdf#page=6","Abrir facsímil")</f>
        <v>Abrir facsímil</v>
      </c>
      <c r="K4636" s="15" t="s">
        <v>22</v>
      </c>
    </row>
    <row r="4637" spans="1:11" ht="42" customHeight="1">
      <c r="A4637" s="4" t="s">
        <v>10237</v>
      </c>
      <c r="B4637" s="5" t="s">
        <v>10238</v>
      </c>
      <c r="C4637" s="5" t="s">
        <v>69</v>
      </c>
      <c r="D4637" s="5" t="s">
        <v>70</v>
      </c>
      <c r="E4637" s="5" t="s">
        <v>396</v>
      </c>
      <c r="F4637" s="9">
        <v>91</v>
      </c>
      <c r="G4637" s="9">
        <v>942</v>
      </c>
      <c r="H4637" s="5" t="s">
        <v>20</v>
      </c>
      <c r="I4637" s="5" t="s">
        <v>10242</v>
      </c>
      <c r="J4637" s="12" t="str">
        <f>HYPERLINK("https://www.boe.es/gazeta/dias/1806/11/07/pdfs/GMD-1806-91.pdf#page=6","Abrir facsímil")</f>
        <v>Abrir facsímil</v>
      </c>
      <c r="K4637" s="15" t="s">
        <v>22</v>
      </c>
    </row>
    <row r="4638" spans="1:11" ht="42" customHeight="1">
      <c r="A4638" s="4" t="s">
        <v>10237</v>
      </c>
      <c r="B4638" s="5" t="s">
        <v>10238</v>
      </c>
      <c r="C4638" s="5" t="s">
        <v>69</v>
      </c>
      <c r="D4638" s="5" t="s">
        <v>70</v>
      </c>
      <c r="E4638" s="5" t="s">
        <v>297</v>
      </c>
      <c r="F4638" s="9">
        <v>94</v>
      </c>
      <c r="G4638" s="9">
        <v>984</v>
      </c>
      <c r="H4638" s="5" t="s">
        <v>20</v>
      </c>
      <c r="I4638" s="5" t="s">
        <v>10243</v>
      </c>
      <c r="J4638" s="12" t="str">
        <f>HYPERLINK("https://www.boe.es/gazeta/dias/1806/11/18/pdfs/GMD-1806-94.pdf#page=4","Abrir facsímil")</f>
        <v>Abrir facsímil</v>
      </c>
      <c r="K4638" s="15" t="s">
        <v>22</v>
      </c>
    </row>
    <row r="4639" spans="1:11" ht="42" customHeight="1">
      <c r="A4639" s="4" t="s">
        <v>10244</v>
      </c>
      <c r="B4639" s="5" t="s">
        <v>10244</v>
      </c>
      <c r="C4639" s="5" t="s">
        <v>36</v>
      </c>
      <c r="D4639" s="5" t="s">
        <v>37</v>
      </c>
      <c r="E4639" s="5" t="s">
        <v>306</v>
      </c>
      <c r="F4639" s="9">
        <v>59</v>
      </c>
      <c r="G4639" s="9">
        <v>614</v>
      </c>
      <c r="H4639" s="5" t="s">
        <v>20</v>
      </c>
      <c r="I4639" s="5" t="s">
        <v>10245</v>
      </c>
      <c r="J4639" s="12" t="str">
        <f>HYPERLINK("https://www.boe.es/gazeta/dias/1806/07/18/pdfs/GMD-1806-59.pdf#page=10","Abrir facsímil")</f>
        <v>Abrir facsímil</v>
      </c>
      <c r="K4639" s="15" t="s">
        <v>22</v>
      </c>
    </row>
    <row r="4640" spans="1:11" ht="42" customHeight="1">
      <c r="A4640" s="4" t="s">
        <v>10246</v>
      </c>
      <c r="B4640" s="5" t="s">
        <v>10246</v>
      </c>
      <c r="C4640" s="5" t="s">
        <v>36</v>
      </c>
      <c r="D4640" s="5" t="s">
        <v>37</v>
      </c>
      <c r="E4640" s="5" t="s">
        <v>580</v>
      </c>
      <c r="F4640" s="9">
        <v>23</v>
      </c>
      <c r="G4640" s="9">
        <v>220</v>
      </c>
      <c r="H4640" s="5" t="s">
        <v>20</v>
      </c>
      <c r="I4640" s="5" t="s">
        <v>10247</v>
      </c>
      <c r="J4640" s="12" t="str">
        <f>HYPERLINK("https://www.boe.es/gazeta/dias/1806/03/14/pdfs/GMD-1806-23.pdf#page=8","Abrir facsímil")</f>
        <v>Abrir facsímil</v>
      </c>
      <c r="K4640" s="15" t="s">
        <v>22</v>
      </c>
    </row>
    <row r="4641" spans="1:11" ht="42" customHeight="1">
      <c r="A4641" s="4" t="s">
        <v>10248</v>
      </c>
      <c r="B4641" s="5" t="s">
        <v>10249</v>
      </c>
      <c r="C4641" s="5" t="s">
        <v>31</v>
      </c>
      <c r="D4641" s="5" t="s">
        <v>32</v>
      </c>
      <c r="E4641" s="5" t="s">
        <v>76</v>
      </c>
      <c r="F4641" s="9">
        <v>98</v>
      </c>
      <c r="G4641" s="9">
        <v>1043</v>
      </c>
      <c r="H4641" s="5" t="s">
        <v>20</v>
      </c>
      <c r="I4641" s="5" t="s">
        <v>10250</v>
      </c>
      <c r="J4641" s="12" t="str">
        <f>HYPERLINK("https://www.boe.es/gazeta/dias/1806/12/02/pdfs/GMD-1806-98.pdf#page=11","Abrir facsímil")</f>
        <v>Abrir facsímil</v>
      </c>
      <c r="K4641" s="15" t="s">
        <v>22</v>
      </c>
    </row>
    <row r="4642" spans="1:11" ht="42" customHeight="1">
      <c r="A4642" s="4" t="s">
        <v>10251</v>
      </c>
      <c r="B4642" s="5" t="s">
        <v>10252</v>
      </c>
      <c r="C4642" s="5" t="s">
        <v>42</v>
      </c>
      <c r="D4642" s="5" t="s">
        <v>43</v>
      </c>
      <c r="E4642" s="5" t="s">
        <v>279</v>
      </c>
      <c r="F4642" s="9">
        <v>52</v>
      </c>
      <c r="G4642" s="9">
        <v>540</v>
      </c>
      <c r="H4642" s="5" t="s">
        <v>20</v>
      </c>
      <c r="I4642" s="5" t="s">
        <v>10253</v>
      </c>
      <c r="J4642" s="12" t="str">
        <f>HYPERLINK("https://www.boe.es/gazeta/dias/1806/06/24/pdfs/GMD-1806-52.pdf#page=8","Abrir facsímil")</f>
        <v>Abrir facsímil</v>
      </c>
      <c r="K4642" s="15" t="s">
        <v>22</v>
      </c>
    </row>
    <row r="4643" spans="1:11" ht="42" customHeight="1">
      <c r="A4643" s="4" t="s">
        <v>10254</v>
      </c>
      <c r="B4643" s="5" t="s">
        <v>10255</v>
      </c>
      <c r="C4643" s="5" t="s">
        <v>31</v>
      </c>
      <c r="D4643" s="5" t="s">
        <v>32</v>
      </c>
      <c r="E4643" s="5" t="s">
        <v>205</v>
      </c>
      <c r="F4643" s="9">
        <v>57</v>
      </c>
      <c r="G4643" s="9">
        <v>594</v>
      </c>
      <c r="H4643" s="5" t="s">
        <v>20</v>
      </c>
      <c r="I4643" s="5" t="s">
        <v>10256</v>
      </c>
      <c r="J4643" s="12" t="str">
        <f>HYPERLINK("https://www.boe.es/gazeta/dias/1806/07/11/pdfs/GMD-1806-57.pdf#page=6","Abrir facsímil")</f>
        <v>Abrir facsímil</v>
      </c>
      <c r="K4643" s="15" t="s">
        <v>22</v>
      </c>
    </row>
    <row r="4644" spans="1:11" ht="42" customHeight="1">
      <c r="A4644" s="4" t="s">
        <v>10257</v>
      </c>
      <c r="B4644" s="5" t="s">
        <v>10258</v>
      </c>
      <c r="C4644" s="5" t="s">
        <v>17</v>
      </c>
      <c r="D4644" s="5" t="s">
        <v>18</v>
      </c>
      <c r="E4644" s="5" t="s">
        <v>870</v>
      </c>
      <c r="F4644" s="9">
        <v>35</v>
      </c>
      <c r="G4644" s="9">
        <v>344</v>
      </c>
      <c r="H4644" s="5" t="s">
        <v>20</v>
      </c>
      <c r="I4644" s="5" t="s">
        <v>10259</v>
      </c>
      <c r="J4644" s="12" t="str">
        <f>HYPERLINK("https://www.boe.es/gazeta/dias/1806/04/25/pdfs/GMD-1806-35.pdf#page=8","Abrir facsímil")</f>
        <v>Abrir facsímil</v>
      </c>
      <c r="K4644" s="15" t="s">
        <v>22</v>
      </c>
    </row>
    <row r="4645" spans="1:11" ht="42" customHeight="1">
      <c r="A4645" s="4" t="s">
        <v>10260</v>
      </c>
      <c r="B4645" s="5" t="s">
        <v>10261</v>
      </c>
      <c r="C4645" s="5" t="s">
        <v>36</v>
      </c>
      <c r="D4645" s="5" t="s">
        <v>37</v>
      </c>
      <c r="E4645" s="5" t="s">
        <v>340</v>
      </c>
      <c r="F4645" s="9">
        <v>31</v>
      </c>
      <c r="G4645" s="9">
        <v>308</v>
      </c>
      <c r="H4645" s="5" t="s">
        <v>20</v>
      </c>
      <c r="I4645" s="5" t="s">
        <v>10262</v>
      </c>
      <c r="J4645" s="12" t="str">
        <f>HYPERLINK("https://www.boe.es/gazeta/dias/1806/04/11/pdfs/GMD-1806-31.pdf#page=12","Abrir facsímil")</f>
        <v>Abrir facsímil</v>
      </c>
      <c r="K4645" s="15" t="s">
        <v>22</v>
      </c>
    </row>
    <row r="4646" spans="1:11" ht="42" customHeight="1">
      <c r="A4646" s="4" t="s">
        <v>10263</v>
      </c>
      <c r="B4646" s="5" t="s">
        <v>10264</v>
      </c>
      <c r="C4646" s="5" t="s">
        <v>42</v>
      </c>
      <c r="D4646" s="5" t="s">
        <v>43</v>
      </c>
      <c r="E4646" s="5" t="s">
        <v>231</v>
      </c>
      <c r="F4646" s="9">
        <v>89</v>
      </c>
      <c r="G4646" s="9">
        <v>921</v>
      </c>
      <c r="H4646" s="5" t="s">
        <v>20</v>
      </c>
      <c r="I4646" s="5" t="s">
        <v>10265</v>
      </c>
      <c r="J4646" s="12" t="str">
        <f>HYPERLINK("https://www.boe.es/gazeta/dias/1806/10/31/pdfs/GMD-1806-89.pdf#page=9","Abrir facsímil")</f>
        <v>Abrir facsímil</v>
      </c>
      <c r="K4646" s="15" t="s">
        <v>22</v>
      </c>
    </row>
    <row r="4647" spans="1:11" ht="42" customHeight="1">
      <c r="A4647" s="4" t="s">
        <v>10266</v>
      </c>
      <c r="B4647" s="5" t="s">
        <v>10267</v>
      </c>
      <c r="C4647" s="5" t="s">
        <v>31</v>
      </c>
      <c r="D4647" s="5" t="s">
        <v>32</v>
      </c>
      <c r="E4647" s="5" t="s">
        <v>202</v>
      </c>
      <c r="F4647" s="9">
        <v>30</v>
      </c>
      <c r="G4647" s="9">
        <v>295</v>
      </c>
      <c r="H4647" s="5" t="s">
        <v>20</v>
      </c>
      <c r="I4647" s="5" t="s">
        <v>10268</v>
      </c>
      <c r="J4647" s="12" t="str">
        <f>HYPERLINK("https://www.boe.es/gazeta/dias/1806/04/08/pdfs/GMD-1806-30.pdf#page=7","Abrir facsímil")</f>
        <v>Abrir facsímil</v>
      </c>
      <c r="K4647" s="15" t="s">
        <v>22</v>
      </c>
    </row>
    <row r="4648" spans="1:11" ht="42" customHeight="1">
      <c r="A4648" s="4" t="s">
        <v>10269</v>
      </c>
      <c r="B4648" s="5" t="s">
        <v>10270</v>
      </c>
      <c r="C4648" s="5" t="s">
        <v>42</v>
      </c>
      <c r="D4648" s="5" t="s">
        <v>43</v>
      </c>
      <c r="E4648" s="5" t="s">
        <v>494</v>
      </c>
      <c r="F4648" s="9">
        <v>69</v>
      </c>
      <c r="G4648" s="9">
        <v>721</v>
      </c>
      <c r="H4648" s="5" t="s">
        <v>20</v>
      </c>
      <c r="I4648" s="5" t="s">
        <v>10271</v>
      </c>
      <c r="J4648" s="12" t="str">
        <f>HYPERLINK("https://www.boe.es/gazeta/dias/1806/08/22/pdfs/GMD-1806-69.pdf#page=9","Abrir facsímil")</f>
        <v>Abrir facsímil</v>
      </c>
      <c r="K4648" s="15" t="s">
        <v>22</v>
      </c>
    </row>
    <row r="4649" spans="1:11" ht="42" customHeight="1">
      <c r="A4649" s="4" t="s">
        <v>10272</v>
      </c>
      <c r="B4649" s="5" t="s">
        <v>10273</v>
      </c>
      <c r="C4649" s="5" t="s">
        <v>31</v>
      </c>
      <c r="D4649" s="5" t="s">
        <v>32</v>
      </c>
      <c r="E4649" s="5" t="s">
        <v>327</v>
      </c>
      <c r="F4649" s="9">
        <v>104</v>
      </c>
      <c r="G4649" s="9">
        <v>1110</v>
      </c>
      <c r="H4649" s="5" t="s">
        <v>20</v>
      </c>
      <c r="I4649" s="5" t="s">
        <v>10274</v>
      </c>
      <c r="J4649" s="12" t="str">
        <f>HYPERLINK("https://www.boe.es/gazeta/dias/1806/12/23/pdfs/GMD-1806-104.pdf#page=10","Abrir facsímil")</f>
        <v>Abrir facsímil</v>
      </c>
      <c r="K4649" s="15" t="s">
        <v>22</v>
      </c>
    </row>
    <row r="4650" spans="1:11" ht="42" customHeight="1">
      <c r="A4650" s="4" t="s">
        <v>10275</v>
      </c>
      <c r="B4650" s="5" t="s">
        <v>10276</v>
      </c>
      <c r="C4650" s="5" t="s">
        <v>17</v>
      </c>
      <c r="D4650" s="5" t="s">
        <v>18</v>
      </c>
      <c r="E4650" s="5" t="s">
        <v>26</v>
      </c>
      <c r="F4650" s="9">
        <v>65</v>
      </c>
      <c r="G4650" s="9">
        <v>681</v>
      </c>
      <c r="H4650" s="5" t="s">
        <v>20</v>
      </c>
      <c r="I4650" s="5" t="s">
        <v>10277</v>
      </c>
      <c r="J4650" s="12" t="str">
        <f>HYPERLINK("https://www.boe.es/gazeta/dias/1806/08/08/pdfs/GMD-1806-65.pdf#page=9","Abrir facsímil")</f>
        <v>Abrir facsímil</v>
      </c>
      <c r="K4650" s="15" t="s">
        <v>22</v>
      </c>
    </row>
    <row r="4651" spans="1:11" ht="42" customHeight="1">
      <c r="A4651" s="4" t="s">
        <v>10278</v>
      </c>
      <c r="B4651" s="5" t="s">
        <v>10279</v>
      </c>
      <c r="C4651" s="5" t="s">
        <v>17</v>
      </c>
      <c r="D4651" s="5" t="s">
        <v>18</v>
      </c>
      <c r="E4651" s="5" t="s">
        <v>689</v>
      </c>
      <c r="F4651" s="9">
        <v>37</v>
      </c>
      <c r="G4651" s="9">
        <v>361</v>
      </c>
      <c r="H4651" s="5" t="s">
        <v>20</v>
      </c>
      <c r="I4651" s="5" t="s">
        <v>10280</v>
      </c>
      <c r="J4651" s="12" t="str">
        <f>HYPERLINK("https://www.boe.es/gazeta/dias/1806/05/02/pdfs/GMD-1806-37.pdf#page=9","Abrir facsímil")</f>
        <v>Abrir facsímil</v>
      </c>
      <c r="K4651" s="15" t="s">
        <v>22</v>
      </c>
    </row>
    <row r="4652" spans="1:11" ht="42" customHeight="1">
      <c r="A4652" s="4" t="s">
        <v>10281</v>
      </c>
      <c r="B4652" s="5" t="s">
        <v>10282</v>
      </c>
      <c r="C4652" s="5" t="s">
        <v>31</v>
      </c>
      <c r="D4652" s="5" t="s">
        <v>32</v>
      </c>
      <c r="E4652" s="5" t="s">
        <v>297</v>
      </c>
      <c r="F4652" s="9">
        <v>94</v>
      </c>
      <c r="G4652" s="9">
        <v>989</v>
      </c>
      <c r="H4652" s="5" t="s">
        <v>20</v>
      </c>
      <c r="I4652" s="5" t="s">
        <v>10283</v>
      </c>
      <c r="J4652" s="12" t="str">
        <f>HYPERLINK("https://www.boe.es/gazeta/dias/1806/11/18/pdfs/GMD-1806-94.pdf#page=9","Abrir facsímil")</f>
        <v>Abrir facsímil</v>
      </c>
      <c r="K4652" s="15" t="s">
        <v>22</v>
      </c>
    </row>
    <row r="4653" spans="1:11" ht="42" customHeight="1">
      <c r="A4653" s="4" t="s">
        <v>10284</v>
      </c>
      <c r="B4653" s="5" t="s">
        <v>10285</v>
      </c>
      <c r="C4653" s="5" t="s">
        <v>31</v>
      </c>
      <c r="D4653" s="5" t="s">
        <v>32</v>
      </c>
      <c r="E4653" s="5" t="s">
        <v>136</v>
      </c>
      <c r="F4653" s="9">
        <v>50</v>
      </c>
      <c r="G4653" s="9">
        <v>520</v>
      </c>
      <c r="H4653" s="5" t="s">
        <v>20</v>
      </c>
      <c r="I4653" s="5" t="s">
        <v>10286</v>
      </c>
      <c r="J4653" s="12" t="str">
        <f>HYPERLINK("https://www.boe.es/gazeta/dias/1806/06/17/pdfs/GMD-1806-50.pdf#page=12","Abrir facsímil")</f>
        <v>Abrir facsímil</v>
      </c>
      <c r="K4653" s="15" t="s">
        <v>22</v>
      </c>
    </row>
    <row r="4654" spans="1:11" ht="42" customHeight="1">
      <c r="A4654" s="4" t="s">
        <v>10287</v>
      </c>
      <c r="B4654" s="5" t="s">
        <v>10288</v>
      </c>
      <c r="C4654" s="5" t="s">
        <v>31</v>
      </c>
      <c r="D4654" s="5" t="s">
        <v>32</v>
      </c>
      <c r="E4654" s="5" t="s">
        <v>483</v>
      </c>
      <c r="F4654" s="9">
        <v>58</v>
      </c>
      <c r="G4654" s="9">
        <v>604</v>
      </c>
      <c r="H4654" s="5" t="s">
        <v>20</v>
      </c>
      <c r="I4654" s="5" t="s">
        <v>10289</v>
      </c>
      <c r="J4654" s="12" t="str">
        <f>HYPERLINK("https://www.boe.es/gazeta/dias/1806/07/15/pdfs/GMD-1806-58.pdf#page=8","Abrir facsímil")</f>
        <v>Abrir facsímil</v>
      </c>
      <c r="K4654" s="15" t="s">
        <v>22</v>
      </c>
    </row>
    <row r="4655" spans="1:11" ht="42" customHeight="1">
      <c r="A4655" s="4" t="s">
        <v>10290</v>
      </c>
      <c r="B4655" s="5" t="s">
        <v>10291</v>
      </c>
      <c r="C4655" s="5" t="s">
        <v>31</v>
      </c>
      <c r="D4655" s="5" t="s">
        <v>32</v>
      </c>
      <c r="E4655" s="5" t="s">
        <v>62</v>
      </c>
      <c r="F4655" s="9">
        <v>45</v>
      </c>
      <c r="G4655" s="9">
        <v>458</v>
      </c>
      <c r="H4655" s="5" t="s">
        <v>20</v>
      </c>
      <c r="I4655" s="5" t="s">
        <v>10292</v>
      </c>
      <c r="J4655" s="12" t="str">
        <f>HYPERLINK("https://www.boe.es/gazeta/dias/1806/05/30/pdfs/GMD-1806-45.pdf#page=10","Abrir facsímil")</f>
        <v>Abrir facsímil</v>
      </c>
      <c r="K4655" s="15" t="s">
        <v>22</v>
      </c>
    </row>
    <row r="4656" spans="1:11" ht="42" customHeight="1">
      <c r="A4656" s="4" t="s">
        <v>10293</v>
      </c>
      <c r="B4656" s="5" t="s">
        <v>10294</v>
      </c>
      <c r="C4656" s="5" t="s">
        <v>42</v>
      </c>
      <c r="D4656" s="5" t="s">
        <v>43</v>
      </c>
      <c r="E4656" s="5" t="s">
        <v>271</v>
      </c>
      <c r="F4656" s="9">
        <v>6</v>
      </c>
      <c r="G4656" s="9">
        <v>54</v>
      </c>
      <c r="H4656" s="5" t="s">
        <v>20</v>
      </c>
      <c r="I4656" s="5" t="s">
        <v>10295</v>
      </c>
      <c r="J4656" s="12" t="str">
        <f>HYPERLINK("https://www.boe.es/gazeta/dias/1806/01/17/pdfs/GMD-1806-6.pdf#page=10","Abrir facsímil")</f>
        <v>Abrir facsímil</v>
      </c>
      <c r="K4656" s="15" t="s">
        <v>22</v>
      </c>
    </row>
    <row r="4657" spans="1:11" ht="42" customHeight="1">
      <c r="A4657" s="4" t="s">
        <v>10296</v>
      </c>
      <c r="B4657" s="5" t="s">
        <v>10297</v>
      </c>
      <c r="C4657" s="5" t="s">
        <v>42</v>
      </c>
      <c r="D4657" s="5" t="s">
        <v>43</v>
      </c>
      <c r="E4657" s="5" t="s">
        <v>400</v>
      </c>
      <c r="F4657" s="9">
        <v>22</v>
      </c>
      <c r="G4657" s="9">
        <v>207</v>
      </c>
      <c r="H4657" s="5" t="s">
        <v>20</v>
      </c>
      <c r="I4657" s="5" t="s">
        <v>10298</v>
      </c>
      <c r="J4657" s="12" t="str">
        <f>HYPERLINK("https://www.boe.es/gazeta/dias/1806/03/11/pdfs/GMD-1806-22.pdf#page=7","Abrir facsímil")</f>
        <v>Abrir facsímil</v>
      </c>
      <c r="K4657" s="15" t="s">
        <v>22</v>
      </c>
    </row>
    <row r="4658" spans="1:11" ht="42" customHeight="1">
      <c r="A4658" s="4" t="s">
        <v>10299</v>
      </c>
      <c r="B4658" s="5" t="s">
        <v>10300</v>
      </c>
      <c r="C4658" s="5" t="s">
        <v>17</v>
      </c>
      <c r="D4658" s="5" t="s">
        <v>18</v>
      </c>
      <c r="E4658" s="5" t="s">
        <v>55</v>
      </c>
      <c r="F4658" s="9">
        <v>20</v>
      </c>
      <c r="G4658" s="9">
        <v>184</v>
      </c>
      <c r="H4658" s="5" t="s">
        <v>20</v>
      </c>
      <c r="I4658" s="5" t="s">
        <v>10301</v>
      </c>
      <c r="J4658" s="12" t="str">
        <f>HYPERLINK("https://www.boe.es/gazeta/dias/1806/03/04/pdfs/GMD-1806-20.pdf#page=8","Abrir facsímil")</f>
        <v>Abrir facsímil</v>
      </c>
      <c r="K4658" s="15" t="s">
        <v>22</v>
      </c>
    </row>
    <row r="4659" spans="1:11" ht="42" customHeight="1">
      <c r="A4659" s="4" t="s">
        <v>10302</v>
      </c>
      <c r="B4659" s="5" t="s">
        <v>10303</v>
      </c>
      <c r="C4659" s="5" t="s">
        <v>31</v>
      </c>
      <c r="D4659" s="5" t="s">
        <v>32</v>
      </c>
      <c r="E4659" s="5" t="s">
        <v>348</v>
      </c>
      <c r="F4659" s="9">
        <v>88</v>
      </c>
      <c r="G4659" s="9">
        <v>910</v>
      </c>
      <c r="H4659" s="5" t="s">
        <v>20</v>
      </c>
      <c r="I4659" s="5" t="s">
        <v>10304</v>
      </c>
      <c r="J4659" s="12" t="str">
        <f>HYPERLINK("https://www.boe.es/gazeta/dias/1806/10/28/pdfs/GMD-1806-88.pdf#page=6","Abrir facsímil")</f>
        <v>Abrir facsímil</v>
      </c>
      <c r="K4659" s="15" t="s">
        <v>22</v>
      </c>
    </row>
    <row r="4660" spans="1:11" ht="42" customHeight="1">
      <c r="A4660" s="4" t="s">
        <v>10305</v>
      </c>
      <c r="B4660" s="5" t="s">
        <v>10306</v>
      </c>
      <c r="C4660" s="5" t="s">
        <v>36</v>
      </c>
      <c r="D4660" s="5" t="s">
        <v>37</v>
      </c>
      <c r="E4660" s="5" t="s">
        <v>195</v>
      </c>
      <c r="F4660" s="9">
        <v>4</v>
      </c>
      <c r="G4660" s="9">
        <v>40</v>
      </c>
      <c r="H4660" s="5" t="s">
        <v>20</v>
      </c>
      <c r="I4660" s="5" t="s">
        <v>10307</v>
      </c>
      <c r="J4660" s="12" t="str">
        <f>HYPERLINK("https://www.boe.es/gazeta/dias/1806/01/14/pdfs/GMD-1806-4.pdf#page=12","Abrir facsímil")</f>
        <v>Abrir facsímil</v>
      </c>
      <c r="K4660" s="15" t="s">
        <v>22</v>
      </c>
    </row>
    <row r="4661" spans="1:11" ht="42" customHeight="1">
      <c r="A4661" s="4" t="s">
        <v>10308</v>
      </c>
      <c r="B4661" s="5" t="s">
        <v>10309</v>
      </c>
      <c r="C4661" s="5" t="s">
        <v>31</v>
      </c>
      <c r="D4661" s="5" t="s">
        <v>32</v>
      </c>
      <c r="E4661" s="5" t="s">
        <v>172</v>
      </c>
      <c r="F4661" s="9">
        <v>17</v>
      </c>
      <c r="G4661" s="9">
        <v>152</v>
      </c>
      <c r="H4661" s="5" t="s">
        <v>20</v>
      </c>
      <c r="I4661" s="5" t="s">
        <v>10310</v>
      </c>
      <c r="J4661" s="12" t="str">
        <f>HYPERLINK("https://www.boe.es/gazeta/dias/1806/02/21/pdfs/GMD-1806-17.pdf#page=8","Abrir facsímil")</f>
        <v>Abrir facsímil</v>
      </c>
      <c r="K4661" s="15" t="s">
        <v>22</v>
      </c>
    </row>
    <row r="4662" spans="1:11" ht="42" customHeight="1">
      <c r="A4662" s="4" t="s">
        <v>10311</v>
      </c>
      <c r="B4662" s="5" t="s">
        <v>10312</v>
      </c>
      <c r="C4662" s="5" t="s">
        <v>75</v>
      </c>
      <c r="D4662" s="5" t="s">
        <v>43</v>
      </c>
      <c r="E4662" s="5" t="s">
        <v>297</v>
      </c>
      <c r="F4662" s="9">
        <v>94</v>
      </c>
      <c r="G4662" s="9">
        <v>991</v>
      </c>
      <c r="H4662" s="5" t="s">
        <v>20</v>
      </c>
      <c r="I4662" s="5" t="s">
        <v>10313</v>
      </c>
      <c r="J4662" s="12" t="str">
        <f>HYPERLINK("https://www.boe.es/gazeta/dias/1806/11/18/pdfs/GMD-1806-94.pdf#page=11","Abrir facsímil")</f>
        <v>Abrir facsímil</v>
      </c>
      <c r="K4662" s="15" t="s">
        <v>22</v>
      </c>
    </row>
    <row r="4663" spans="1:11" ht="42" customHeight="1">
      <c r="A4663" s="4" t="s">
        <v>10314</v>
      </c>
      <c r="B4663" s="5" t="s">
        <v>10315</v>
      </c>
      <c r="C4663" s="5" t="s">
        <v>31</v>
      </c>
      <c r="D4663" s="5" t="s">
        <v>32</v>
      </c>
      <c r="E4663" s="5" t="s">
        <v>600</v>
      </c>
      <c r="F4663" s="9">
        <v>77</v>
      </c>
      <c r="G4663" s="9">
        <v>795</v>
      </c>
      <c r="H4663" s="5" t="s">
        <v>20</v>
      </c>
      <c r="I4663" s="5" t="s">
        <v>10316</v>
      </c>
      <c r="J4663" s="12" t="str">
        <f>HYPERLINK("https://www.boe.es/gazeta/dias/1806/09/19/pdfs/GMD-1806-77.pdf#page=7","Abrir facsímil")</f>
        <v>Abrir facsímil</v>
      </c>
      <c r="K4663" s="15" t="s">
        <v>22</v>
      </c>
    </row>
    <row r="4664" spans="1:11" ht="42" customHeight="1">
      <c r="A4664" s="4" t="s">
        <v>10317</v>
      </c>
      <c r="B4664" s="5" t="s">
        <v>10318</v>
      </c>
      <c r="C4664" s="5" t="s">
        <v>31</v>
      </c>
      <c r="D4664" s="5" t="s">
        <v>32</v>
      </c>
      <c r="E4664" s="5" t="s">
        <v>24</v>
      </c>
      <c r="F4664" s="9">
        <v>32</v>
      </c>
      <c r="G4664" s="9">
        <v>315</v>
      </c>
      <c r="H4664" s="5" t="s">
        <v>20</v>
      </c>
      <c r="I4664" s="5" t="s">
        <v>10319</v>
      </c>
      <c r="J4664" s="12" t="str">
        <f>HYPERLINK("https://www.boe.es/gazeta/dias/1806/04/15/pdfs/GMD-1806-32.pdf#page=7","Abrir facsímil")</f>
        <v>Abrir facsímil</v>
      </c>
      <c r="K4664" s="15" t="s">
        <v>22</v>
      </c>
    </row>
    <row r="4665" spans="1:11" ht="42" customHeight="1">
      <c r="A4665" s="4" t="s">
        <v>10320</v>
      </c>
      <c r="B4665" s="5" t="s">
        <v>10321</v>
      </c>
      <c r="C4665" s="5" t="s">
        <v>36</v>
      </c>
      <c r="D4665" s="5" t="s">
        <v>37</v>
      </c>
      <c r="E4665" s="5" t="s">
        <v>367</v>
      </c>
      <c r="F4665" s="9">
        <v>87</v>
      </c>
      <c r="G4665" s="9">
        <v>903</v>
      </c>
      <c r="H4665" s="5" t="s">
        <v>20</v>
      </c>
      <c r="I4665" s="5" t="s">
        <v>10322</v>
      </c>
      <c r="J4665" s="12" t="str">
        <f>HYPERLINK("https://www.boe.es/gazeta/dias/1806/10/24/pdfs/GMD-1806-87.pdf#page=11","Abrir facsímil")</f>
        <v>Abrir facsímil</v>
      </c>
      <c r="K4665" s="15" t="s">
        <v>22</v>
      </c>
    </row>
    <row r="4666" spans="1:11" ht="42" customHeight="1">
      <c r="A4666" s="4" t="s">
        <v>10323</v>
      </c>
      <c r="B4666" s="5" t="s">
        <v>10324</v>
      </c>
      <c r="C4666" s="5" t="s">
        <v>17</v>
      </c>
      <c r="D4666" s="5" t="s">
        <v>18</v>
      </c>
      <c r="E4666" s="5" t="s">
        <v>669</v>
      </c>
      <c r="F4666" s="9">
        <v>14</v>
      </c>
      <c r="G4666" s="9">
        <v>124</v>
      </c>
      <c r="H4666" s="5" t="s">
        <v>20</v>
      </c>
      <c r="I4666" s="5" t="s">
        <v>10325</v>
      </c>
      <c r="J4666" s="12" t="str">
        <f>HYPERLINK("https://www.boe.es/gazeta/dias/1806/02/11/pdfs/GMD-1806-14.pdf#page=8","Abrir facsímil")</f>
        <v>Abrir facsímil</v>
      </c>
      <c r="K4666" s="15" t="s">
        <v>22</v>
      </c>
    </row>
    <row r="4667" spans="1:11" ht="42" customHeight="1">
      <c r="A4667" s="4" t="s">
        <v>10323</v>
      </c>
      <c r="B4667" s="5" t="s">
        <v>10324</v>
      </c>
      <c r="C4667" s="5" t="s">
        <v>31</v>
      </c>
      <c r="D4667" s="5" t="s">
        <v>32</v>
      </c>
      <c r="E4667" s="5" t="s">
        <v>59</v>
      </c>
      <c r="F4667" s="9">
        <v>21</v>
      </c>
      <c r="G4667" s="9">
        <v>196</v>
      </c>
      <c r="H4667" s="5" t="s">
        <v>20</v>
      </c>
      <c r="I4667" s="5" t="s">
        <v>10326</v>
      </c>
      <c r="J4667" s="12" t="str">
        <f>HYPERLINK("https://www.boe.es/gazeta/dias/1806/03/07/pdfs/GMD-1806-21.pdf#page=8","Abrir facsímil")</f>
        <v>Abrir facsímil</v>
      </c>
      <c r="K4667" s="15" t="s">
        <v>22</v>
      </c>
    </row>
    <row r="4668" spans="1:11" ht="42" customHeight="1">
      <c r="A4668" s="4" t="s">
        <v>10327</v>
      </c>
      <c r="B4668" s="5" t="s">
        <v>10328</v>
      </c>
      <c r="C4668" s="5" t="s">
        <v>31</v>
      </c>
      <c r="D4668" s="5" t="s">
        <v>32</v>
      </c>
      <c r="E4668" s="5" t="s">
        <v>213</v>
      </c>
      <c r="F4668" s="9">
        <v>73</v>
      </c>
      <c r="G4668" s="9">
        <v>760</v>
      </c>
      <c r="H4668" s="5" t="s">
        <v>20</v>
      </c>
      <c r="I4668" s="5" t="s">
        <v>10329</v>
      </c>
      <c r="J4668" s="12" t="str">
        <f>HYPERLINK("https://www.boe.es/gazeta/dias/1806/09/05/pdfs/GMD-1806-73.pdf#page=8","Abrir facsímil")</f>
        <v>Abrir facsímil</v>
      </c>
      <c r="K4668" s="15" t="s">
        <v>22</v>
      </c>
    </row>
    <row r="4669" spans="1:11" ht="42" customHeight="1">
      <c r="A4669" s="4" t="s">
        <v>10330</v>
      </c>
      <c r="B4669" s="5" t="s">
        <v>10331</v>
      </c>
      <c r="C4669" s="5" t="s">
        <v>69</v>
      </c>
      <c r="D4669" s="5" t="s">
        <v>70</v>
      </c>
      <c r="E4669" s="5" t="s">
        <v>100</v>
      </c>
      <c r="F4669" s="9">
        <v>7</v>
      </c>
      <c r="G4669" s="9">
        <v>64</v>
      </c>
      <c r="H4669" s="5" t="s">
        <v>20</v>
      </c>
      <c r="I4669" s="5" t="s">
        <v>10332</v>
      </c>
      <c r="J4669" s="12" t="str">
        <f>HYPERLINK("https://www.boe.es/gazeta/dias/1806/01/21/pdfs/GMD-1806-7.pdf#page=8","Abrir facsímil")</f>
        <v>Abrir facsímil</v>
      </c>
      <c r="K4669" s="15" t="s">
        <v>22</v>
      </c>
    </row>
    <row r="4670" spans="1:11" ht="42" customHeight="1">
      <c r="A4670" s="4" t="s">
        <v>10333</v>
      </c>
      <c r="B4670" s="5" t="s">
        <v>10334</v>
      </c>
      <c r="C4670" s="5" t="s">
        <v>17</v>
      </c>
      <c r="D4670" s="5" t="s">
        <v>18</v>
      </c>
      <c r="E4670" s="5" t="s">
        <v>494</v>
      </c>
      <c r="F4670" s="9">
        <v>69</v>
      </c>
      <c r="G4670" s="9">
        <v>723</v>
      </c>
      <c r="H4670" s="5" t="s">
        <v>20</v>
      </c>
      <c r="I4670" s="5" t="s">
        <v>10335</v>
      </c>
      <c r="J4670" s="12" t="str">
        <f>HYPERLINK("https://www.boe.es/gazeta/dias/1806/08/22/pdfs/GMD-1806-69.pdf#page=11","Abrir facsímil")</f>
        <v>Abrir facsímil</v>
      </c>
      <c r="K4670" s="15" t="s">
        <v>22</v>
      </c>
    </row>
    <row r="4671" spans="1:11" ht="42" customHeight="1">
      <c r="A4671" s="4" t="s">
        <v>10336</v>
      </c>
      <c r="B4671" s="5" t="s">
        <v>10337</v>
      </c>
      <c r="C4671" s="5" t="s">
        <v>17</v>
      </c>
      <c r="D4671" s="5" t="s">
        <v>18</v>
      </c>
      <c r="E4671" s="5" t="s">
        <v>110</v>
      </c>
      <c r="F4671" s="9">
        <v>55</v>
      </c>
      <c r="G4671" s="9">
        <v>571</v>
      </c>
      <c r="H4671" s="5" t="s">
        <v>20</v>
      </c>
      <c r="I4671" s="5" t="s">
        <v>10338</v>
      </c>
      <c r="J4671" s="12" t="str">
        <f>HYPERLINK("https://www.boe.es/gazeta/dias/1806/07/04/pdfs/GMD-1806-55.pdf#page=7","Abrir facsímil")</f>
        <v>Abrir facsímil</v>
      </c>
      <c r="K4671" s="15" t="s">
        <v>22</v>
      </c>
    </row>
    <row r="4672" spans="1:11" ht="42" customHeight="1">
      <c r="A4672" s="4" t="s">
        <v>10339</v>
      </c>
      <c r="B4672" s="5" t="s">
        <v>10339</v>
      </c>
      <c r="C4672" s="5" t="s">
        <v>69</v>
      </c>
      <c r="D4672" s="5" t="s">
        <v>70</v>
      </c>
      <c r="E4672" s="5" t="s">
        <v>279</v>
      </c>
      <c r="F4672" s="9">
        <v>52</v>
      </c>
      <c r="G4672" s="9">
        <v>535</v>
      </c>
      <c r="H4672" s="5" t="s">
        <v>20</v>
      </c>
      <c r="I4672" s="5" t="s">
        <v>10340</v>
      </c>
      <c r="J4672" s="12" t="str">
        <f>HYPERLINK("https://www.boe.es/gazeta/dias/1806/06/24/pdfs/GMD-1806-52.pdf#page=3","Abrir facsímil")</f>
        <v>Abrir facsímil</v>
      </c>
      <c r="K4672" s="15" t="s">
        <v>22</v>
      </c>
    </row>
    <row r="4673" spans="1:11" ht="42" customHeight="1">
      <c r="A4673" s="4" t="s">
        <v>10341</v>
      </c>
      <c r="B4673" s="5" t="s">
        <v>10342</v>
      </c>
      <c r="C4673" s="5" t="s">
        <v>75</v>
      </c>
      <c r="D4673" s="5" t="s">
        <v>43</v>
      </c>
      <c r="E4673" s="5" t="s">
        <v>279</v>
      </c>
      <c r="F4673" s="9">
        <v>52</v>
      </c>
      <c r="G4673" s="9">
        <v>535</v>
      </c>
      <c r="H4673" s="5" t="s">
        <v>20</v>
      </c>
      <c r="I4673" s="5" t="s">
        <v>10343</v>
      </c>
      <c r="J4673" s="12" t="str">
        <f>HYPERLINK("https://www.boe.es/gazeta/dias/1806/06/24/pdfs/GMD-1806-52.pdf#page=3","Abrir facsímil")</f>
        <v>Abrir facsímil</v>
      </c>
      <c r="K4673" s="15" t="s">
        <v>22</v>
      </c>
    </row>
    <row r="4674" spans="1:11" ht="42" customHeight="1">
      <c r="A4674" s="4" t="s">
        <v>10344</v>
      </c>
      <c r="B4674" s="5" t="s">
        <v>10344</v>
      </c>
      <c r="C4674" s="5" t="s">
        <v>69</v>
      </c>
      <c r="D4674" s="5" t="s">
        <v>70</v>
      </c>
      <c r="E4674" s="5" t="s">
        <v>172</v>
      </c>
      <c r="F4674" s="9">
        <v>17</v>
      </c>
      <c r="G4674" s="9">
        <v>146</v>
      </c>
      <c r="H4674" s="5" t="s">
        <v>20</v>
      </c>
      <c r="I4674" s="5" t="s">
        <v>10345</v>
      </c>
      <c r="J4674" s="12" t="str">
        <f>HYPERLINK("https://www.boe.es/gazeta/dias/1806/02/21/pdfs/GMD-1806-17.pdf#page=2","Abrir facsímil")</f>
        <v>Abrir facsímil</v>
      </c>
      <c r="K4674" s="15" t="s">
        <v>22</v>
      </c>
    </row>
    <row r="4675" spans="1:11" ht="42" customHeight="1">
      <c r="A4675" s="4" t="s">
        <v>10344</v>
      </c>
      <c r="B4675" s="5" t="s">
        <v>10344</v>
      </c>
      <c r="C4675" s="5" t="s">
        <v>36</v>
      </c>
      <c r="D4675" s="5" t="s">
        <v>37</v>
      </c>
      <c r="E4675" s="5" t="s">
        <v>103</v>
      </c>
      <c r="F4675" s="9">
        <v>61</v>
      </c>
      <c r="G4675" s="9">
        <v>639</v>
      </c>
      <c r="H4675" s="5" t="s">
        <v>20</v>
      </c>
      <c r="I4675" s="5" t="s">
        <v>10346</v>
      </c>
      <c r="J4675" s="12" t="str">
        <f>HYPERLINK("https://www.boe.es/gazeta/dias/1806/07/25/pdfs/GMD-1806-61.pdf#page=11","Abrir facsímil")</f>
        <v>Abrir facsímil</v>
      </c>
      <c r="K4675" s="15" t="s">
        <v>22</v>
      </c>
    </row>
    <row r="4676" spans="1:11" ht="42" customHeight="1">
      <c r="A4676" s="4" t="s">
        <v>10347</v>
      </c>
      <c r="B4676" s="5" t="s">
        <v>10347</v>
      </c>
      <c r="C4676" s="5" t="s">
        <v>36</v>
      </c>
      <c r="D4676" s="5" t="s">
        <v>37</v>
      </c>
      <c r="E4676" s="5" t="s">
        <v>71</v>
      </c>
      <c r="F4676" s="9">
        <v>29</v>
      </c>
      <c r="G4676" s="9">
        <v>286</v>
      </c>
      <c r="H4676" s="5" t="s">
        <v>20</v>
      </c>
      <c r="I4676" s="5" t="s">
        <v>10348</v>
      </c>
      <c r="J4676" s="12" t="str">
        <f>HYPERLINK("https://www.boe.es/gazeta/dias/1806/04/04/pdfs/GMD-1806-29.pdf#page=6","Abrir facsímil")</f>
        <v>Abrir facsímil</v>
      </c>
      <c r="K4676" s="15" t="s">
        <v>22</v>
      </c>
    </row>
    <row r="4677" spans="1:11" ht="42" customHeight="1">
      <c r="A4677" s="4" t="s">
        <v>10347</v>
      </c>
      <c r="B4677" s="5" t="s">
        <v>10347</v>
      </c>
      <c r="C4677" s="5" t="s">
        <v>17</v>
      </c>
      <c r="D4677" s="5" t="s">
        <v>18</v>
      </c>
      <c r="E4677" s="5" t="s">
        <v>213</v>
      </c>
      <c r="F4677" s="9">
        <v>73</v>
      </c>
      <c r="G4677" s="9">
        <v>756</v>
      </c>
      <c r="H4677" s="5" t="s">
        <v>20</v>
      </c>
      <c r="I4677" s="5" t="s">
        <v>10349</v>
      </c>
      <c r="J4677" s="12" t="str">
        <f>HYPERLINK("https://www.boe.es/gazeta/dias/1806/09/05/pdfs/GMD-1806-73.pdf#page=4","Abrir facsímil")</f>
        <v>Abrir facsímil</v>
      </c>
      <c r="K4677" s="15" t="s">
        <v>22</v>
      </c>
    </row>
    <row r="4678" spans="1:11" ht="42" customHeight="1">
      <c r="A4678" s="4" t="s">
        <v>10350</v>
      </c>
      <c r="B4678" s="5" t="s">
        <v>10350</v>
      </c>
      <c r="C4678" s="5" t="s">
        <v>17</v>
      </c>
      <c r="D4678" s="5" t="s">
        <v>18</v>
      </c>
      <c r="E4678" s="5" t="s">
        <v>82</v>
      </c>
      <c r="F4678" s="9">
        <v>48</v>
      </c>
      <c r="G4678" s="9">
        <v>495</v>
      </c>
      <c r="H4678" s="5" t="s">
        <v>20</v>
      </c>
      <c r="I4678" s="5" t="s">
        <v>10351</v>
      </c>
      <c r="J4678" s="12" t="str">
        <f>HYPERLINK("https://www.boe.es/gazeta/dias/1806/06/10/pdfs/GMD-1806-48.pdf#page=7","Abrir facsímil")</f>
        <v>Abrir facsímil</v>
      </c>
      <c r="K4678" s="15" t="s">
        <v>22</v>
      </c>
    </row>
    <row r="4679" spans="1:11" ht="42" customHeight="1">
      <c r="A4679" s="4" t="s">
        <v>10352</v>
      </c>
      <c r="B4679" s="5" t="s">
        <v>10353</v>
      </c>
      <c r="C4679" s="5" t="s">
        <v>17</v>
      </c>
      <c r="D4679" s="5" t="s">
        <v>18</v>
      </c>
      <c r="E4679" s="5" t="s">
        <v>396</v>
      </c>
      <c r="F4679" s="9">
        <v>91</v>
      </c>
      <c r="G4679" s="9">
        <v>945</v>
      </c>
      <c r="H4679" s="5" t="s">
        <v>20</v>
      </c>
      <c r="I4679" s="5" t="s">
        <v>10354</v>
      </c>
      <c r="J4679" s="12" t="str">
        <f>HYPERLINK("https://www.boe.es/gazeta/dias/1806/11/07/pdfs/GMD-1806-91.pdf#page=9","Abrir facsímil")</f>
        <v>Abrir facsímil</v>
      </c>
      <c r="K4679" s="15" t="s">
        <v>22</v>
      </c>
    </row>
    <row r="4680" spans="1:11" ht="42" customHeight="1">
      <c r="A4680" s="4" t="s">
        <v>10355</v>
      </c>
      <c r="B4680" s="5" t="s">
        <v>10356</v>
      </c>
      <c r="C4680" s="5" t="s">
        <v>31</v>
      </c>
      <c r="D4680" s="5" t="s">
        <v>32</v>
      </c>
      <c r="E4680" s="5" t="s">
        <v>400</v>
      </c>
      <c r="F4680" s="9">
        <v>22</v>
      </c>
      <c r="G4680" s="9">
        <v>204</v>
      </c>
      <c r="H4680" s="5" t="s">
        <v>20</v>
      </c>
      <c r="I4680" s="5" t="s">
        <v>10357</v>
      </c>
      <c r="J4680" s="12" t="str">
        <f>HYPERLINK("https://www.boe.es/gazeta/dias/1806/03/11/pdfs/GMD-1806-22.pdf#page=4","Abrir facsímil")</f>
        <v>Abrir facsímil</v>
      </c>
      <c r="K4680" s="15" t="s">
        <v>22</v>
      </c>
    </row>
    <row r="4681" spans="1:11" ht="42" customHeight="1">
      <c r="A4681" s="4" t="s">
        <v>10355</v>
      </c>
      <c r="B4681" s="5" t="s">
        <v>10356</v>
      </c>
      <c r="C4681" s="5" t="s">
        <v>69</v>
      </c>
      <c r="D4681" s="5" t="s">
        <v>70</v>
      </c>
      <c r="E4681" s="5" t="s">
        <v>96</v>
      </c>
      <c r="F4681" s="9">
        <v>62</v>
      </c>
      <c r="G4681" s="9">
        <v>645</v>
      </c>
      <c r="H4681" s="5" t="s">
        <v>20</v>
      </c>
      <c r="I4681" s="5" t="s">
        <v>10358</v>
      </c>
      <c r="J4681" s="12" t="str">
        <f>HYPERLINK("https://www.boe.es/gazeta/dias/1806/07/29/pdfs/GMD-1806-62.pdf#page=5","Abrir facsímil")</f>
        <v>Abrir facsímil</v>
      </c>
      <c r="K4681" s="15" t="s">
        <v>22</v>
      </c>
    </row>
    <row r="4682" spans="1:11" ht="42" customHeight="1">
      <c r="A4682" s="4" t="s">
        <v>10355</v>
      </c>
      <c r="B4682" s="5" t="s">
        <v>10356</v>
      </c>
      <c r="C4682" s="5" t="s">
        <v>69</v>
      </c>
      <c r="D4682" s="5" t="s">
        <v>70</v>
      </c>
      <c r="E4682" s="5" t="s">
        <v>859</v>
      </c>
      <c r="F4682" s="9">
        <v>63</v>
      </c>
      <c r="G4682" s="9">
        <v>657</v>
      </c>
      <c r="H4682" s="5" t="s">
        <v>20</v>
      </c>
      <c r="I4682" s="5" t="s">
        <v>10359</v>
      </c>
      <c r="J4682" s="12" t="str">
        <f>HYPERLINK("https://www.boe.es/gazeta/dias/1806/08/01/pdfs/GMD-1806-63.pdf#page=5","Abrir facsímil")</f>
        <v>Abrir facsímil</v>
      </c>
      <c r="K4682" s="15" t="s">
        <v>22</v>
      </c>
    </row>
    <row r="4683" spans="1:11" ht="42" customHeight="1">
      <c r="A4683" s="4" t="s">
        <v>10360</v>
      </c>
      <c r="B4683" s="5" t="s">
        <v>10361</v>
      </c>
      <c r="C4683" s="5" t="s">
        <v>69</v>
      </c>
      <c r="D4683" s="5" t="s">
        <v>70</v>
      </c>
      <c r="E4683" s="5" t="s">
        <v>172</v>
      </c>
      <c r="F4683" s="9">
        <v>17</v>
      </c>
      <c r="G4683" s="9">
        <v>148</v>
      </c>
      <c r="H4683" s="5" t="s">
        <v>20</v>
      </c>
      <c r="I4683" s="5" t="s">
        <v>10362</v>
      </c>
      <c r="J4683" s="12" t="str">
        <f>HYPERLINK("https://www.boe.es/gazeta/dias/1806/02/21/pdfs/GMD-1806-17.pdf#page=4","Abrir facsímil")</f>
        <v>Abrir facsímil</v>
      </c>
      <c r="K4683" s="15" t="s">
        <v>22</v>
      </c>
    </row>
    <row r="4684" spans="1:11" ht="42" customHeight="1">
      <c r="A4684" s="4" t="s">
        <v>10360</v>
      </c>
      <c r="B4684" s="5" t="s">
        <v>10361</v>
      </c>
      <c r="C4684" s="5" t="s">
        <v>69</v>
      </c>
      <c r="D4684" s="5" t="s">
        <v>70</v>
      </c>
      <c r="E4684" s="5" t="s">
        <v>870</v>
      </c>
      <c r="F4684" s="9">
        <v>35</v>
      </c>
      <c r="G4684" s="9">
        <v>339</v>
      </c>
      <c r="H4684" s="5" t="s">
        <v>20</v>
      </c>
      <c r="I4684" s="5" t="s">
        <v>10363</v>
      </c>
      <c r="J4684" s="12" t="str">
        <f>HYPERLINK("https://www.boe.es/gazeta/dias/1806/04/25/pdfs/GMD-1806-35.pdf#page=3","Abrir facsímil")</f>
        <v>Abrir facsímil</v>
      </c>
      <c r="K4684" s="15" t="s">
        <v>22</v>
      </c>
    </row>
    <row r="4685" spans="1:11" ht="42" customHeight="1">
      <c r="A4685" s="4" t="s">
        <v>10364</v>
      </c>
      <c r="B4685" s="5" t="s">
        <v>10365</v>
      </c>
      <c r="C4685" s="5" t="s">
        <v>75</v>
      </c>
      <c r="D4685" s="5" t="s">
        <v>43</v>
      </c>
      <c r="E4685" s="5" t="s">
        <v>220</v>
      </c>
      <c r="F4685" s="9">
        <v>24</v>
      </c>
      <c r="G4685" s="9">
        <v>235</v>
      </c>
      <c r="H4685" s="5" t="s">
        <v>20</v>
      </c>
      <c r="I4685" s="5" t="s">
        <v>10366</v>
      </c>
      <c r="J4685" s="12" t="str">
        <f>HYPERLINK("https://www.boe.es/gazeta/dias/1806/03/18/pdfs/GMD-1806-24.pdf#page=11","Abrir facsímil")</f>
        <v>Abrir facsímil</v>
      </c>
      <c r="K4685" s="15" t="s">
        <v>22</v>
      </c>
    </row>
    <row r="4686" spans="1:11" ht="42" customHeight="1">
      <c r="A4686" s="4" t="s">
        <v>10367</v>
      </c>
      <c r="B4686" s="5" t="s">
        <v>10368</v>
      </c>
      <c r="C4686" s="5" t="s">
        <v>75</v>
      </c>
      <c r="D4686" s="5" t="s">
        <v>43</v>
      </c>
      <c r="E4686" s="5" t="s">
        <v>90</v>
      </c>
      <c r="F4686" s="9">
        <v>60</v>
      </c>
      <c r="G4686" s="9">
        <v>625</v>
      </c>
      <c r="H4686" s="5" t="s">
        <v>20</v>
      </c>
      <c r="I4686" s="5" t="s">
        <v>10369</v>
      </c>
      <c r="J4686" s="12" t="str">
        <f>HYPERLINK("https://www.boe.es/gazeta/dias/1806/07/22/pdfs/GMD-1806-60.pdf#page=9","Abrir facsímil")</f>
        <v>Abrir facsímil</v>
      </c>
      <c r="K4686" s="15" t="s">
        <v>22</v>
      </c>
    </row>
    <row r="4687" spans="1:11" ht="42" customHeight="1">
      <c r="A4687" s="4" t="s">
        <v>10367</v>
      </c>
      <c r="B4687" s="5" t="s">
        <v>10368</v>
      </c>
      <c r="C4687" s="5" t="s">
        <v>75</v>
      </c>
      <c r="D4687" s="5" t="s">
        <v>43</v>
      </c>
      <c r="E4687" s="5" t="s">
        <v>209</v>
      </c>
      <c r="F4687" s="9">
        <v>95</v>
      </c>
      <c r="G4687" s="9">
        <v>1007</v>
      </c>
      <c r="H4687" s="5" t="s">
        <v>20</v>
      </c>
      <c r="I4687" s="5" t="s">
        <v>10370</v>
      </c>
      <c r="J4687" s="12" t="str">
        <f>HYPERLINK("https://www.boe.es/gazeta/dias/1806/11/21/pdfs/GMD-1806-95.pdf#page=15","Abrir facsímil")</f>
        <v>Abrir facsímil</v>
      </c>
      <c r="K4687" s="15" t="s">
        <v>22</v>
      </c>
    </row>
    <row r="4688" spans="1:11" ht="42" customHeight="1">
      <c r="A4688" s="4" t="s">
        <v>10371</v>
      </c>
      <c r="B4688" s="5" t="s">
        <v>10372</v>
      </c>
      <c r="C4688" s="5" t="s">
        <v>69</v>
      </c>
      <c r="D4688" s="5" t="s">
        <v>70</v>
      </c>
      <c r="E4688" s="5" t="s">
        <v>363</v>
      </c>
      <c r="F4688" s="9">
        <v>8</v>
      </c>
      <c r="G4688" s="9">
        <v>70</v>
      </c>
      <c r="H4688" s="5" t="s">
        <v>20</v>
      </c>
      <c r="I4688" s="5" t="s">
        <v>10373</v>
      </c>
      <c r="J4688" s="12" t="str">
        <f>HYPERLINK("https://www.boe.es/gazeta/dias/1806/01/24/pdfs/GMD-1806-8.pdf#page=2","Abrir facsímil")</f>
        <v>Abrir facsímil</v>
      </c>
      <c r="K4688" s="15" t="s">
        <v>22</v>
      </c>
    </row>
    <row r="4689" spans="1:11" ht="42" customHeight="1">
      <c r="A4689" s="4" t="s">
        <v>10374</v>
      </c>
      <c r="B4689" s="5" t="s">
        <v>10375</v>
      </c>
      <c r="C4689" s="5" t="s">
        <v>31</v>
      </c>
      <c r="D4689" s="5" t="s">
        <v>32</v>
      </c>
      <c r="E4689" s="5" t="s">
        <v>24</v>
      </c>
      <c r="F4689" s="9">
        <v>32</v>
      </c>
      <c r="G4689" s="9">
        <v>315</v>
      </c>
      <c r="H4689" s="5" t="s">
        <v>20</v>
      </c>
      <c r="I4689" s="5" t="s">
        <v>10376</v>
      </c>
      <c r="J4689" s="12" t="str">
        <f>HYPERLINK("https://www.boe.es/gazeta/dias/1806/04/15/pdfs/GMD-1806-32.pdf#page=7","Abrir facsímil")</f>
        <v>Abrir facsímil</v>
      </c>
      <c r="K4689" s="15" t="s">
        <v>22</v>
      </c>
    </row>
    <row r="4690" spans="1:11" ht="42" customHeight="1">
      <c r="A4690" s="4" t="s">
        <v>10377</v>
      </c>
      <c r="B4690" s="5" t="s">
        <v>10378</v>
      </c>
      <c r="C4690" s="5" t="s">
        <v>17</v>
      </c>
      <c r="D4690" s="5" t="s">
        <v>18</v>
      </c>
      <c r="E4690" s="5" t="s">
        <v>271</v>
      </c>
      <c r="F4690" s="9">
        <v>6</v>
      </c>
      <c r="G4690" s="9">
        <v>54</v>
      </c>
      <c r="H4690" s="5" t="s">
        <v>20</v>
      </c>
      <c r="I4690" s="5" t="s">
        <v>10379</v>
      </c>
      <c r="J4690" s="12" t="str">
        <f>HYPERLINK("https://www.boe.es/gazeta/dias/1806/01/17/pdfs/GMD-1806-6.pdf#page=10","Abrir facsímil")</f>
        <v>Abrir facsímil</v>
      </c>
      <c r="K4690" s="15" t="s">
        <v>22</v>
      </c>
    </row>
    <row r="4691" spans="1:11" ht="42" customHeight="1">
      <c r="A4691" s="4" t="s">
        <v>10380</v>
      </c>
      <c r="B4691" s="5" t="s">
        <v>10381</v>
      </c>
      <c r="C4691" s="5" t="s">
        <v>75</v>
      </c>
      <c r="D4691" s="5" t="s">
        <v>43</v>
      </c>
      <c r="E4691" s="5" t="s">
        <v>121</v>
      </c>
      <c r="F4691" s="9">
        <v>19</v>
      </c>
      <c r="G4691" s="9">
        <v>173</v>
      </c>
      <c r="H4691" s="5" t="s">
        <v>20</v>
      </c>
      <c r="I4691" s="5" t="s">
        <v>10382</v>
      </c>
      <c r="J4691" s="12" t="str">
        <f>HYPERLINK("https://www.boe.es/gazeta/dias/1806/02/28/pdfs/GMD-1806-19.pdf#page=9","Abrir facsímil")</f>
        <v>Abrir facsímil</v>
      </c>
      <c r="K4691" s="15" t="s">
        <v>22</v>
      </c>
    </row>
    <row r="4692" spans="1:11" ht="42" customHeight="1">
      <c r="A4692" s="4" t="s">
        <v>10380</v>
      </c>
      <c r="B4692" s="5" t="s">
        <v>10381</v>
      </c>
      <c r="C4692" s="5" t="s">
        <v>31</v>
      </c>
      <c r="D4692" s="5" t="s">
        <v>32</v>
      </c>
      <c r="E4692" s="5" t="s">
        <v>304</v>
      </c>
      <c r="F4692" s="9">
        <v>47</v>
      </c>
      <c r="G4692" s="9">
        <v>478</v>
      </c>
      <c r="H4692" s="5" t="s">
        <v>20</v>
      </c>
      <c r="I4692" s="5" t="s">
        <v>10383</v>
      </c>
      <c r="J4692" s="12" t="str">
        <f>HYPERLINK("https://www.boe.es/gazeta/dias/1806/06/06/pdfs/GMD-1806-47.pdf#page=6","Abrir facsímil")</f>
        <v>Abrir facsímil</v>
      </c>
      <c r="K4692" s="15" t="s">
        <v>22</v>
      </c>
    </row>
    <row r="4693" spans="1:11" ht="42" customHeight="1">
      <c r="A4693" s="4" t="s">
        <v>10380</v>
      </c>
      <c r="B4693" s="5" t="s">
        <v>10381</v>
      </c>
      <c r="C4693" s="5" t="s">
        <v>36</v>
      </c>
      <c r="D4693" s="5" t="s">
        <v>37</v>
      </c>
      <c r="E4693" s="5" t="s">
        <v>103</v>
      </c>
      <c r="F4693" s="9">
        <v>61</v>
      </c>
      <c r="G4693" s="9">
        <v>638</v>
      </c>
      <c r="H4693" s="5" t="s">
        <v>20</v>
      </c>
      <c r="I4693" s="5" t="s">
        <v>10384</v>
      </c>
      <c r="J4693" s="12" t="str">
        <f>HYPERLINK("https://www.boe.es/gazeta/dias/1806/07/25/pdfs/GMD-1806-61.pdf#page=10","Abrir facsímil")</f>
        <v>Abrir facsímil</v>
      </c>
      <c r="K4693" s="15" t="s">
        <v>22</v>
      </c>
    </row>
    <row r="4694" spans="1:11" ht="42" customHeight="1">
      <c r="A4694" s="4" t="s">
        <v>10380</v>
      </c>
      <c r="B4694" s="5" t="s">
        <v>10381</v>
      </c>
      <c r="C4694" s="5" t="s">
        <v>31</v>
      </c>
      <c r="D4694" s="5" t="s">
        <v>32</v>
      </c>
      <c r="E4694" s="5" t="s">
        <v>140</v>
      </c>
      <c r="F4694" s="9">
        <v>83</v>
      </c>
      <c r="G4694" s="9">
        <v>862</v>
      </c>
      <c r="H4694" s="5" t="s">
        <v>20</v>
      </c>
      <c r="I4694" s="5" t="s">
        <v>10385</v>
      </c>
      <c r="J4694" s="12" t="str">
        <f>HYPERLINK("https://www.boe.es/gazeta/dias/1806/10/10/pdfs/GMD-1806-83.pdf#page=10","Abrir facsímil")</f>
        <v>Abrir facsímil</v>
      </c>
      <c r="K4694" s="15" t="s">
        <v>22</v>
      </c>
    </row>
    <row r="4695" spans="1:11" ht="42" customHeight="1">
      <c r="A4695" s="4" t="s">
        <v>10386</v>
      </c>
      <c r="B4695" s="5" t="s">
        <v>10387</v>
      </c>
      <c r="C4695" s="5" t="s">
        <v>17</v>
      </c>
      <c r="D4695" s="5" t="s">
        <v>18</v>
      </c>
      <c r="E4695" s="5" t="s">
        <v>90</v>
      </c>
      <c r="F4695" s="9">
        <v>60</v>
      </c>
      <c r="G4695" s="9">
        <v>625</v>
      </c>
      <c r="H4695" s="5" t="s">
        <v>20</v>
      </c>
      <c r="I4695" s="5" t="s">
        <v>10388</v>
      </c>
      <c r="J4695" s="12" t="str">
        <f>HYPERLINK("https://www.boe.es/gazeta/dias/1806/07/22/pdfs/GMD-1806-60.pdf#page=9","Abrir facsímil")</f>
        <v>Abrir facsímil</v>
      </c>
      <c r="K4695" s="15" t="s">
        <v>22</v>
      </c>
    </row>
    <row r="4696" spans="1:11" ht="42" customHeight="1">
      <c r="A4696" s="4" t="s">
        <v>10386</v>
      </c>
      <c r="B4696" s="5" t="s">
        <v>10387</v>
      </c>
      <c r="C4696" s="5" t="s">
        <v>17</v>
      </c>
      <c r="D4696" s="5" t="s">
        <v>18</v>
      </c>
      <c r="E4696" s="5" t="s">
        <v>209</v>
      </c>
      <c r="F4696" s="9">
        <v>95</v>
      </c>
      <c r="G4696" s="9">
        <v>1007</v>
      </c>
      <c r="H4696" s="5" t="s">
        <v>20</v>
      </c>
      <c r="I4696" s="5" t="s">
        <v>10389</v>
      </c>
      <c r="J4696" s="12" t="str">
        <f>HYPERLINK("https://www.boe.es/gazeta/dias/1806/11/21/pdfs/GMD-1806-95.pdf#page=15","Abrir facsímil")</f>
        <v>Abrir facsímil</v>
      </c>
      <c r="K4696" s="15" t="s">
        <v>22</v>
      </c>
    </row>
    <row r="4697" spans="1:11" ht="42" customHeight="1">
      <c r="A4697" s="4" t="s">
        <v>10390</v>
      </c>
      <c r="B4697" s="5" t="s">
        <v>10391</v>
      </c>
      <c r="C4697" s="5" t="s">
        <v>69</v>
      </c>
      <c r="D4697" s="5" t="s">
        <v>70</v>
      </c>
      <c r="E4697" s="5" t="s">
        <v>71</v>
      </c>
      <c r="F4697" s="9">
        <v>29</v>
      </c>
      <c r="G4697" s="9">
        <v>283</v>
      </c>
      <c r="H4697" s="5" t="s">
        <v>20</v>
      </c>
      <c r="I4697" s="5" t="s">
        <v>10392</v>
      </c>
      <c r="J4697" s="12" t="str">
        <f>HYPERLINK("https://www.boe.es/gazeta/dias/1806/04/04/pdfs/GMD-1806-29.pdf#page=3","Abrir facsímil")</f>
        <v>Abrir facsímil</v>
      </c>
      <c r="K4697" s="15" t="s">
        <v>22</v>
      </c>
    </row>
    <row r="4698" spans="1:11" ht="42" customHeight="1">
      <c r="A4698" s="4" t="s">
        <v>10390</v>
      </c>
      <c r="B4698" s="5" t="s">
        <v>10391</v>
      </c>
      <c r="C4698" s="5" t="s">
        <v>69</v>
      </c>
      <c r="D4698" s="5" t="s">
        <v>70</v>
      </c>
      <c r="E4698" s="5" t="s">
        <v>71</v>
      </c>
      <c r="F4698" s="9">
        <v>29</v>
      </c>
      <c r="G4698" s="9">
        <v>285</v>
      </c>
      <c r="H4698" s="5" t="s">
        <v>20</v>
      </c>
      <c r="I4698" s="5" t="s">
        <v>10393</v>
      </c>
      <c r="J4698" s="12" t="str">
        <f>HYPERLINK("https://www.boe.es/gazeta/dias/1806/04/04/pdfs/GMD-1806-29.pdf#page=5","Abrir facsímil")</f>
        <v>Abrir facsímil</v>
      </c>
      <c r="K4698" s="15" t="s">
        <v>22</v>
      </c>
    </row>
    <row r="4699" spans="1:11" ht="42" customHeight="1">
      <c r="A4699" s="4" t="s">
        <v>10390</v>
      </c>
      <c r="B4699" s="5" t="s">
        <v>10391</v>
      </c>
      <c r="C4699" s="5" t="s">
        <v>69</v>
      </c>
      <c r="D4699" s="5" t="s">
        <v>70</v>
      </c>
      <c r="E4699" s="5" t="s">
        <v>103</v>
      </c>
      <c r="F4699" s="9">
        <v>61</v>
      </c>
      <c r="G4699" s="9">
        <v>631</v>
      </c>
      <c r="H4699" s="5" t="s">
        <v>20</v>
      </c>
      <c r="I4699" s="5" t="s">
        <v>10394</v>
      </c>
      <c r="J4699" s="12" t="str">
        <f>HYPERLINK("https://www.boe.es/gazeta/dias/1806/07/25/pdfs/GMD-1806-61.pdf#page=3","Abrir facsímil")</f>
        <v>Abrir facsímil</v>
      </c>
      <c r="K4699" s="15" t="s">
        <v>22</v>
      </c>
    </row>
    <row r="4700" spans="1:11" ht="42" customHeight="1">
      <c r="A4700" s="4" t="s">
        <v>10395</v>
      </c>
      <c r="B4700" s="5" t="s">
        <v>10396</v>
      </c>
      <c r="C4700" s="5" t="s">
        <v>17</v>
      </c>
      <c r="D4700" s="5" t="s">
        <v>18</v>
      </c>
      <c r="E4700" s="5" t="s">
        <v>1080</v>
      </c>
      <c r="F4700" s="9">
        <v>49</v>
      </c>
      <c r="G4700" s="9">
        <v>505</v>
      </c>
      <c r="H4700" s="5" t="s">
        <v>20</v>
      </c>
      <c r="I4700" s="5" t="s">
        <v>10397</v>
      </c>
      <c r="J4700" s="12" t="str">
        <f>HYPERLINK("https://www.boe.es/gazeta/dias/1806/06/13/pdfs/GMD-1806-49.pdf#page=5","Abrir facsímil")</f>
        <v>Abrir facsímil</v>
      </c>
      <c r="K4700" s="15" t="s">
        <v>22</v>
      </c>
    </row>
    <row r="4701" spans="1:11" ht="42" customHeight="1">
      <c r="A4701" s="4" t="s">
        <v>10398</v>
      </c>
      <c r="B4701" s="5" t="s">
        <v>10398</v>
      </c>
      <c r="C4701" s="5" t="s">
        <v>69</v>
      </c>
      <c r="D4701" s="5" t="s">
        <v>70</v>
      </c>
      <c r="E4701" s="5" t="s">
        <v>271</v>
      </c>
      <c r="F4701" s="9">
        <v>6</v>
      </c>
      <c r="G4701" s="9">
        <v>46</v>
      </c>
      <c r="H4701" s="5" t="s">
        <v>20</v>
      </c>
      <c r="I4701" s="5" t="s">
        <v>10399</v>
      </c>
      <c r="J4701" s="12" t="str">
        <f>HYPERLINK("https://www.boe.es/gazeta/dias/1806/01/17/pdfs/GMD-1806-6.pdf#page=2","Abrir facsímil")</f>
        <v>Abrir facsímil</v>
      </c>
      <c r="K4701" s="15" t="s">
        <v>22</v>
      </c>
    </row>
    <row r="4702" spans="1:11" ht="42" customHeight="1">
      <c r="A4702" s="4" t="s">
        <v>10400</v>
      </c>
      <c r="B4702" s="5" t="s">
        <v>10400</v>
      </c>
      <c r="C4702" s="5" t="s">
        <v>69</v>
      </c>
      <c r="D4702" s="5" t="s">
        <v>70</v>
      </c>
      <c r="E4702" s="5" t="s">
        <v>306</v>
      </c>
      <c r="F4702" s="9">
        <v>59</v>
      </c>
      <c r="G4702" s="9">
        <v>609</v>
      </c>
      <c r="H4702" s="5" t="s">
        <v>20</v>
      </c>
      <c r="I4702" s="5" t="s">
        <v>10401</v>
      </c>
      <c r="J4702" s="12" t="str">
        <f>HYPERLINK("https://www.boe.es/gazeta/dias/1806/07/18/pdfs/GMD-1806-59.pdf#page=5","Abrir facsímil")</f>
        <v>Abrir facsímil</v>
      </c>
      <c r="K4702" s="15" t="s">
        <v>22</v>
      </c>
    </row>
    <row r="4703" spans="1:11" ht="42" customHeight="1">
      <c r="A4703" s="4" t="s">
        <v>10402</v>
      </c>
      <c r="B4703" s="5" t="s">
        <v>10403</v>
      </c>
      <c r="C4703" s="5" t="s">
        <v>31</v>
      </c>
      <c r="D4703" s="5" t="s">
        <v>32</v>
      </c>
      <c r="E4703" s="5" t="s">
        <v>82</v>
      </c>
      <c r="F4703" s="9">
        <v>48</v>
      </c>
      <c r="G4703" s="9">
        <v>496</v>
      </c>
      <c r="H4703" s="5" t="s">
        <v>20</v>
      </c>
      <c r="I4703" s="5" t="s">
        <v>10404</v>
      </c>
      <c r="J4703" s="12" t="str">
        <f>HYPERLINK("https://www.boe.es/gazeta/dias/1806/06/10/pdfs/GMD-1806-48.pdf#page=8","Abrir facsímil")</f>
        <v>Abrir facsímil</v>
      </c>
      <c r="K4703" s="15" t="s">
        <v>22</v>
      </c>
    </row>
    <row r="4704" spans="1:11" ht="42" customHeight="1">
      <c r="A4704" s="4" t="s">
        <v>10405</v>
      </c>
      <c r="B4704" s="5" t="s">
        <v>10406</v>
      </c>
      <c r="C4704" s="5" t="s">
        <v>75</v>
      </c>
      <c r="D4704" s="5" t="s">
        <v>43</v>
      </c>
      <c r="E4704" s="5" t="s">
        <v>455</v>
      </c>
      <c r="F4704" s="9">
        <v>85</v>
      </c>
      <c r="G4704" s="9">
        <v>882</v>
      </c>
      <c r="H4704" s="5" t="s">
        <v>20</v>
      </c>
      <c r="I4704" s="5" t="s">
        <v>10407</v>
      </c>
      <c r="J4704" s="12" t="str">
        <f>HYPERLINK("https://www.boe.es/gazeta/dias/1806/10/17/pdfs/GMD-1806-85.pdf#page=10","Abrir facsímil")</f>
        <v>Abrir facsímil</v>
      </c>
      <c r="K4704" s="15" t="s">
        <v>22</v>
      </c>
    </row>
    <row r="4705" spans="1:11" ht="42" customHeight="1">
      <c r="A4705" s="4" t="s">
        <v>10408</v>
      </c>
      <c r="B4705" s="5" t="s">
        <v>10409</v>
      </c>
      <c r="C4705" s="5" t="s">
        <v>42</v>
      </c>
      <c r="D4705" s="5" t="s">
        <v>43</v>
      </c>
      <c r="E4705" s="5" t="s">
        <v>279</v>
      </c>
      <c r="F4705" s="9">
        <v>52</v>
      </c>
      <c r="G4705" s="9">
        <v>540</v>
      </c>
      <c r="H4705" s="5" t="s">
        <v>20</v>
      </c>
      <c r="I4705" s="5" t="s">
        <v>10410</v>
      </c>
      <c r="J4705" s="12" t="str">
        <f>HYPERLINK("https://www.boe.es/gazeta/dias/1806/06/24/pdfs/GMD-1806-52.pdf#page=8","Abrir facsímil")</f>
        <v>Abrir facsímil</v>
      </c>
      <c r="K4705" s="15" t="s">
        <v>22</v>
      </c>
    </row>
    <row r="4706" spans="1:11" ht="42" customHeight="1">
      <c r="A4706" s="4" t="s">
        <v>10411</v>
      </c>
      <c r="B4706" s="5" t="s">
        <v>10412</v>
      </c>
      <c r="C4706" s="5" t="s">
        <v>69</v>
      </c>
      <c r="D4706" s="5" t="s">
        <v>70</v>
      </c>
      <c r="E4706" s="5" t="s">
        <v>669</v>
      </c>
      <c r="F4706" s="9">
        <v>14</v>
      </c>
      <c r="G4706" s="9">
        <v>121</v>
      </c>
      <c r="H4706" s="5" t="s">
        <v>20</v>
      </c>
      <c r="I4706" s="5" t="s">
        <v>10413</v>
      </c>
      <c r="J4706" s="12" t="str">
        <f>HYPERLINK("https://www.boe.es/gazeta/dias/1806/02/11/pdfs/GMD-1806-14.pdf#page=5","Abrir facsímil")</f>
        <v>Abrir facsímil</v>
      </c>
      <c r="K4706" s="15" t="s">
        <v>22</v>
      </c>
    </row>
    <row r="4707" spans="1:11" ht="42" customHeight="1">
      <c r="A4707" s="4" t="s">
        <v>10414</v>
      </c>
      <c r="B4707" s="5" t="s">
        <v>10415</v>
      </c>
      <c r="C4707" s="5" t="s">
        <v>447</v>
      </c>
      <c r="D4707" s="5" t="s">
        <v>448</v>
      </c>
      <c r="E4707" s="5" t="s">
        <v>304</v>
      </c>
      <c r="F4707" s="9">
        <v>47</v>
      </c>
      <c r="G4707" s="9">
        <v>486</v>
      </c>
      <c r="H4707" s="5" t="s">
        <v>20</v>
      </c>
      <c r="I4707" s="5" t="s">
        <v>10416</v>
      </c>
      <c r="J4707" s="12" t="str">
        <f>HYPERLINK("https://www.boe.es/gazeta/dias/1806/06/06/pdfs/GMD-C-1806-47.pdf#page=6","Abrir facsímil")</f>
        <v>Abrir facsímil</v>
      </c>
      <c r="K4707" s="15" t="s">
        <v>22</v>
      </c>
    </row>
    <row r="4708" spans="1:11" ht="42" customHeight="1">
      <c r="A4708" s="4" t="s">
        <v>10417</v>
      </c>
      <c r="B4708" s="5" t="s">
        <v>10418</v>
      </c>
      <c r="C4708" s="5" t="s">
        <v>31</v>
      </c>
      <c r="D4708" s="5" t="s">
        <v>32</v>
      </c>
      <c r="E4708" s="5" t="s">
        <v>816</v>
      </c>
      <c r="F4708" s="9">
        <v>86</v>
      </c>
      <c r="G4708" s="9">
        <v>891</v>
      </c>
      <c r="H4708" s="5" t="s">
        <v>20</v>
      </c>
      <c r="I4708" s="5" t="s">
        <v>10419</v>
      </c>
      <c r="J4708" s="12" t="str">
        <f>HYPERLINK("https://www.boe.es/gazeta/dias/1806/10/21/pdfs/GMD-1806-86.pdf#page=7","Abrir facsímil")</f>
        <v>Abrir facsímil</v>
      </c>
      <c r="K4708" s="15" t="s">
        <v>22</v>
      </c>
    </row>
    <row r="4709" spans="1:11" ht="42" customHeight="1">
      <c r="A4709" s="4" t="s">
        <v>10420</v>
      </c>
      <c r="B4709" s="5" t="s">
        <v>10420</v>
      </c>
      <c r="C4709" s="5" t="s">
        <v>31</v>
      </c>
      <c r="D4709" s="5" t="s">
        <v>32</v>
      </c>
      <c r="E4709" s="5" t="s">
        <v>946</v>
      </c>
      <c r="F4709" s="9" t="s">
        <v>947</v>
      </c>
      <c r="G4709" s="9">
        <v>1116</v>
      </c>
      <c r="H4709" s="5" t="s">
        <v>20</v>
      </c>
      <c r="I4709" s="5" t="s">
        <v>10421</v>
      </c>
      <c r="J4709" s="12" t="str">
        <f>HYPERLINK("https://www.boe.es/gazeta/dias/1806/12/24/pdfs/GMD-1806-105E.pdf#page=4","Abrir facsímil")</f>
        <v>Abrir facsímil</v>
      </c>
      <c r="K4709" s="15" t="s">
        <v>22</v>
      </c>
    </row>
    <row r="4710" spans="1:11" ht="42" customHeight="1">
      <c r="A4710" s="4" t="s">
        <v>10422</v>
      </c>
      <c r="B4710" s="5" t="s">
        <v>10422</v>
      </c>
      <c r="C4710" s="5" t="s">
        <v>31</v>
      </c>
      <c r="D4710" s="5" t="s">
        <v>32</v>
      </c>
      <c r="E4710" s="5" t="s">
        <v>124</v>
      </c>
      <c r="F4710" s="9">
        <v>25</v>
      </c>
      <c r="G4710" s="9">
        <v>245</v>
      </c>
      <c r="H4710" s="5" t="s">
        <v>20</v>
      </c>
      <c r="I4710" s="5" t="s">
        <v>10423</v>
      </c>
      <c r="J4710" s="12" t="str">
        <f>HYPERLINK("https://www.boe.es/gazeta/dias/1806/03/21/pdfs/GMD-1806-25.pdf#page=9","Abrir facsímil")</f>
        <v>Abrir facsímil</v>
      </c>
      <c r="K4710" s="15" t="s">
        <v>22</v>
      </c>
    </row>
    <row r="4711" spans="1:11" ht="42" customHeight="1">
      <c r="A4711" s="4" t="s">
        <v>10424</v>
      </c>
      <c r="B4711" s="5" t="s">
        <v>10425</v>
      </c>
      <c r="C4711" s="5" t="s">
        <v>36</v>
      </c>
      <c r="D4711" s="5" t="s">
        <v>37</v>
      </c>
      <c r="E4711" s="5" t="s">
        <v>26</v>
      </c>
      <c r="F4711" s="9">
        <v>65</v>
      </c>
      <c r="G4711" s="9">
        <v>684</v>
      </c>
      <c r="H4711" s="5" t="s">
        <v>20</v>
      </c>
      <c r="I4711" s="5" t="s">
        <v>10426</v>
      </c>
      <c r="J4711" s="12" t="str">
        <f>HYPERLINK("https://www.boe.es/gazeta/dias/1806/08/08/pdfs/GMD-1806-65.pdf#page=12","Abrir facsímil")</f>
        <v>Abrir facsímil</v>
      </c>
      <c r="K4711" s="15" t="s">
        <v>22</v>
      </c>
    </row>
    <row r="4712" spans="1:11" ht="42" customHeight="1">
      <c r="A4712" s="4" t="s">
        <v>10427</v>
      </c>
      <c r="B4712" s="5" t="s">
        <v>10428</v>
      </c>
      <c r="C4712" s="5" t="s">
        <v>31</v>
      </c>
      <c r="D4712" s="5" t="s">
        <v>32</v>
      </c>
      <c r="E4712" s="5" t="s">
        <v>285</v>
      </c>
      <c r="F4712" s="9">
        <v>13</v>
      </c>
      <c r="G4712" s="9">
        <v>114</v>
      </c>
      <c r="H4712" s="5" t="s">
        <v>20</v>
      </c>
      <c r="I4712" s="5" t="s">
        <v>10429</v>
      </c>
      <c r="J4712" s="12" t="str">
        <f>HYPERLINK("https://www.boe.es/gazeta/dias/1806/02/07/pdfs/GMD-1806-13.pdf#page=6","Abrir facsímil")</f>
        <v>Abrir facsímil</v>
      </c>
      <c r="K4712" s="15" t="s">
        <v>22</v>
      </c>
    </row>
    <row r="4713" spans="1:11" ht="42" customHeight="1">
      <c r="A4713" s="4" t="s">
        <v>10430</v>
      </c>
      <c r="B4713" s="5" t="s">
        <v>10431</v>
      </c>
      <c r="C4713" s="5" t="s">
        <v>75</v>
      </c>
      <c r="D4713" s="5" t="s">
        <v>43</v>
      </c>
      <c r="E4713" s="5" t="s">
        <v>297</v>
      </c>
      <c r="F4713" s="9">
        <v>94</v>
      </c>
      <c r="G4713" s="9">
        <v>991</v>
      </c>
      <c r="H4713" s="5" t="s">
        <v>20</v>
      </c>
      <c r="I4713" s="5" t="s">
        <v>10432</v>
      </c>
      <c r="J4713" s="12" t="str">
        <f>HYPERLINK("https://www.boe.es/gazeta/dias/1806/11/18/pdfs/GMD-1806-94.pdf#page=11","Abrir facsímil")</f>
        <v>Abrir facsímil</v>
      </c>
      <c r="K4713" s="15" t="s">
        <v>22</v>
      </c>
    </row>
    <row r="4714" spans="1:11" ht="42" customHeight="1">
      <c r="A4714" s="4" t="s">
        <v>10433</v>
      </c>
      <c r="B4714" s="5" t="s">
        <v>10433</v>
      </c>
      <c r="C4714" s="5" t="s">
        <v>75</v>
      </c>
      <c r="D4714" s="5" t="s">
        <v>43</v>
      </c>
      <c r="E4714" s="5" t="s">
        <v>271</v>
      </c>
      <c r="F4714" s="9">
        <v>6</v>
      </c>
      <c r="G4714" s="9">
        <v>49</v>
      </c>
      <c r="H4714" s="5" t="s">
        <v>20</v>
      </c>
      <c r="I4714" s="5" t="s">
        <v>10434</v>
      </c>
      <c r="J4714" s="12" t="str">
        <f>HYPERLINK("https://www.boe.es/gazeta/dias/1806/01/17/pdfs/GMD-1806-6.pdf#page=5","Abrir facsímil")</f>
        <v>Abrir facsímil</v>
      </c>
      <c r="K4714" s="15" t="s">
        <v>22</v>
      </c>
    </row>
    <row r="4715" spans="1:11" ht="42" customHeight="1">
      <c r="A4715" s="4" t="s">
        <v>10433</v>
      </c>
      <c r="B4715" s="5" t="s">
        <v>10433</v>
      </c>
      <c r="C4715" s="5" t="s">
        <v>42</v>
      </c>
      <c r="D4715" s="5" t="s">
        <v>43</v>
      </c>
      <c r="E4715" s="5" t="s">
        <v>118</v>
      </c>
      <c r="F4715" s="9">
        <v>15</v>
      </c>
      <c r="G4715" s="9">
        <v>133</v>
      </c>
      <c r="H4715" s="5" t="s">
        <v>20</v>
      </c>
      <c r="I4715" s="5" t="s">
        <v>10435</v>
      </c>
      <c r="J4715" s="12" t="str">
        <f>HYPERLINK("https://www.boe.es/gazeta/dias/1806/02/14/pdfs/GMD-1806-15.pdf#page=9","Abrir facsímil")</f>
        <v>Abrir facsímil</v>
      </c>
      <c r="K4715" s="15" t="s">
        <v>22</v>
      </c>
    </row>
    <row r="4716" spans="1:11" ht="42" customHeight="1">
      <c r="A4716" s="4" t="s">
        <v>10433</v>
      </c>
      <c r="B4716" s="5" t="s">
        <v>10433</v>
      </c>
      <c r="C4716" s="5" t="s">
        <v>69</v>
      </c>
      <c r="D4716" s="5" t="s">
        <v>70</v>
      </c>
      <c r="E4716" s="5" t="s">
        <v>1778</v>
      </c>
      <c r="F4716" s="9">
        <v>16</v>
      </c>
      <c r="G4716" s="9">
        <v>139</v>
      </c>
      <c r="H4716" s="5" t="s">
        <v>20</v>
      </c>
      <c r="I4716" s="5" t="s">
        <v>10436</v>
      </c>
      <c r="J4716" s="12" t="str">
        <f>HYPERLINK("https://www.boe.es/gazeta/dias/1806/02/18/pdfs/GMD-1806-16.pdf#page=3","Abrir facsímil")</f>
        <v>Abrir facsímil</v>
      </c>
      <c r="K4716" s="15" t="s">
        <v>22</v>
      </c>
    </row>
    <row r="4717" spans="1:11" ht="42" customHeight="1">
      <c r="A4717" s="4" t="s">
        <v>10433</v>
      </c>
      <c r="B4717" s="5" t="s">
        <v>10433</v>
      </c>
      <c r="C4717" s="5" t="s">
        <v>69</v>
      </c>
      <c r="D4717" s="5" t="s">
        <v>70</v>
      </c>
      <c r="E4717" s="5" t="s">
        <v>1778</v>
      </c>
      <c r="F4717" s="9">
        <v>16</v>
      </c>
      <c r="G4717" s="9">
        <v>140</v>
      </c>
      <c r="H4717" s="5" t="s">
        <v>20</v>
      </c>
      <c r="I4717" s="5" t="s">
        <v>10437</v>
      </c>
      <c r="J4717" s="12" t="str">
        <f>HYPERLINK("https://www.boe.es/gazeta/dias/1806/02/18/pdfs/GMD-1806-16.pdf#page=4","Abrir facsímil")</f>
        <v>Abrir facsímil</v>
      </c>
      <c r="K4717" s="15" t="s">
        <v>22</v>
      </c>
    </row>
    <row r="4718" spans="1:11" ht="42" customHeight="1">
      <c r="A4718" s="4" t="s">
        <v>10433</v>
      </c>
      <c r="B4718" s="5" t="s">
        <v>10433</v>
      </c>
      <c r="C4718" s="5" t="s">
        <v>69</v>
      </c>
      <c r="D4718" s="5" t="s">
        <v>70</v>
      </c>
      <c r="E4718" s="5" t="s">
        <v>172</v>
      </c>
      <c r="F4718" s="9">
        <v>17</v>
      </c>
      <c r="G4718" s="9">
        <v>148</v>
      </c>
      <c r="H4718" s="5" t="s">
        <v>20</v>
      </c>
      <c r="I4718" s="5" t="s">
        <v>10438</v>
      </c>
      <c r="J4718" s="12" t="str">
        <f>HYPERLINK("https://www.boe.es/gazeta/dias/1806/02/21/pdfs/GMD-1806-17.pdf#page=4","Abrir facsímil")</f>
        <v>Abrir facsímil</v>
      </c>
      <c r="K4718" s="15" t="s">
        <v>22</v>
      </c>
    </row>
    <row r="4719" spans="1:11" ht="42" customHeight="1">
      <c r="A4719" s="4" t="s">
        <v>10433</v>
      </c>
      <c r="B4719" s="5" t="s">
        <v>10433</v>
      </c>
      <c r="C4719" s="5" t="s">
        <v>69</v>
      </c>
      <c r="D4719" s="5" t="s">
        <v>70</v>
      </c>
      <c r="E4719" s="5" t="s">
        <v>238</v>
      </c>
      <c r="F4719" s="9">
        <v>18</v>
      </c>
      <c r="G4719" s="9">
        <v>155</v>
      </c>
      <c r="H4719" s="5" t="s">
        <v>20</v>
      </c>
      <c r="I4719" s="5" t="s">
        <v>10439</v>
      </c>
      <c r="J4719" s="12" t="str">
        <f>HYPERLINK("https://www.boe.es/gazeta/dias/1806/02/25/pdfs/GMD-1806-18.pdf#page=3","Abrir facsímil")</f>
        <v>Abrir facsímil</v>
      </c>
      <c r="K4719" s="15" t="s">
        <v>22</v>
      </c>
    </row>
    <row r="4720" spans="1:11" ht="42" customHeight="1">
      <c r="A4720" s="4" t="s">
        <v>10433</v>
      </c>
      <c r="B4720" s="5" t="s">
        <v>10433</v>
      </c>
      <c r="C4720" s="5" t="s">
        <v>31</v>
      </c>
      <c r="D4720" s="5" t="s">
        <v>32</v>
      </c>
      <c r="E4720" s="5" t="s">
        <v>238</v>
      </c>
      <c r="F4720" s="9">
        <v>18</v>
      </c>
      <c r="G4720" s="9">
        <v>156</v>
      </c>
      <c r="H4720" s="5" t="s">
        <v>20</v>
      </c>
      <c r="I4720" s="5" t="s">
        <v>10440</v>
      </c>
      <c r="J4720" s="12" t="str">
        <f>HYPERLINK("https://www.boe.es/gazeta/dias/1806/02/25/pdfs/GMD-1806-18.pdf#page=4","Abrir facsímil")</f>
        <v>Abrir facsímil</v>
      </c>
      <c r="K4720" s="15" t="s">
        <v>22</v>
      </c>
    </row>
    <row r="4721" spans="1:11" ht="42" customHeight="1">
      <c r="A4721" s="4" t="s">
        <v>10433</v>
      </c>
      <c r="B4721" s="5" t="s">
        <v>10433</v>
      </c>
      <c r="C4721" s="5" t="s">
        <v>69</v>
      </c>
      <c r="D4721" s="5" t="s">
        <v>70</v>
      </c>
      <c r="E4721" s="5" t="s">
        <v>238</v>
      </c>
      <c r="F4721" s="9">
        <v>18</v>
      </c>
      <c r="G4721" s="9">
        <v>157</v>
      </c>
      <c r="H4721" s="5" t="s">
        <v>20</v>
      </c>
      <c r="I4721" s="5" t="s">
        <v>10441</v>
      </c>
      <c r="J4721" s="12" t="str">
        <f>HYPERLINK("https://www.boe.es/gazeta/dias/1806/02/25/pdfs/GMD-1806-18.pdf#page=5","Abrir facsímil")</f>
        <v>Abrir facsímil</v>
      </c>
      <c r="K4721" s="15" t="s">
        <v>22</v>
      </c>
    </row>
    <row r="4722" spans="1:11" ht="42" customHeight="1">
      <c r="A4722" s="4" t="s">
        <v>10433</v>
      </c>
      <c r="B4722" s="5" t="s">
        <v>10433</v>
      </c>
      <c r="C4722" s="5" t="s">
        <v>69</v>
      </c>
      <c r="D4722" s="5" t="s">
        <v>70</v>
      </c>
      <c r="E4722" s="5" t="s">
        <v>59</v>
      </c>
      <c r="F4722" s="9">
        <v>21</v>
      </c>
      <c r="G4722" s="9">
        <v>193</v>
      </c>
      <c r="H4722" s="5" t="s">
        <v>20</v>
      </c>
      <c r="I4722" s="5" t="s">
        <v>10442</v>
      </c>
      <c r="J4722" s="12" t="str">
        <f>HYPERLINK("https://www.boe.es/gazeta/dias/1806/03/07/pdfs/GMD-1806-21.pdf#page=5","Abrir facsímil")</f>
        <v>Abrir facsímil</v>
      </c>
      <c r="K4722" s="15" t="s">
        <v>22</v>
      </c>
    </row>
    <row r="4723" spans="1:11" ht="42" customHeight="1">
      <c r="A4723" s="4" t="s">
        <v>10433</v>
      </c>
      <c r="B4723" s="5" t="s">
        <v>10433</v>
      </c>
      <c r="C4723" s="5" t="s">
        <v>69</v>
      </c>
      <c r="D4723" s="5" t="s">
        <v>70</v>
      </c>
      <c r="E4723" s="5" t="s">
        <v>400</v>
      </c>
      <c r="F4723" s="9">
        <v>22</v>
      </c>
      <c r="G4723" s="9">
        <v>203</v>
      </c>
      <c r="H4723" s="5" t="s">
        <v>20</v>
      </c>
      <c r="I4723" s="5" t="s">
        <v>10443</v>
      </c>
      <c r="J4723" s="12" t="str">
        <f>HYPERLINK("https://www.boe.es/gazeta/dias/1806/03/11/pdfs/GMD-1806-22.pdf#page=3","Abrir facsímil")</f>
        <v>Abrir facsímil</v>
      </c>
      <c r="K4723" s="15" t="s">
        <v>22</v>
      </c>
    </row>
    <row r="4724" spans="1:11" ht="42" customHeight="1">
      <c r="A4724" s="4" t="s">
        <v>10433</v>
      </c>
      <c r="B4724" s="5" t="s">
        <v>10433</v>
      </c>
      <c r="C4724" s="5" t="s">
        <v>31</v>
      </c>
      <c r="D4724" s="5" t="s">
        <v>32</v>
      </c>
      <c r="E4724" s="5" t="s">
        <v>400</v>
      </c>
      <c r="F4724" s="9">
        <v>22</v>
      </c>
      <c r="G4724" s="9">
        <v>204</v>
      </c>
      <c r="H4724" s="5" t="s">
        <v>20</v>
      </c>
      <c r="I4724" s="5" t="s">
        <v>10444</v>
      </c>
      <c r="J4724" s="12" t="str">
        <f>HYPERLINK("https://www.boe.es/gazeta/dias/1806/03/11/pdfs/GMD-1806-22.pdf#page=4","Abrir facsímil")</f>
        <v>Abrir facsímil</v>
      </c>
      <c r="K4724" s="15" t="s">
        <v>22</v>
      </c>
    </row>
    <row r="4725" spans="1:11" ht="42" customHeight="1">
      <c r="A4725" s="4" t="s">
        <v>10433</v>
      </c>
      <c r="B4725" s="5" t="s">
        <v>10433</v>
      </c>
      <c r="C4725" s="5" t="s">
        <v>42</v>
      </c>
      <c r="D4725" s="5" t="s">
        <v>43</v>
      </c>
      <c r="E4725" s="5" t="s">
        <v>220</v>
      </c>
      <c r="F4725" s="9">
        <v>24</v>
      </c>
      <c r="G4725" s="9">
        <v>227</v>
      </c>
      <c r="H4725" s="5" t="s">
        <v>20</v>
      </c>
      <c r="I4725" s="5" t="s">
        <v>10445</v>
      </c>
      <c r="J4725" s="12" t="str">
        <f>HYPERLINK("https://www.boe.es/gazeta/dias/1806/03/18/pdfs/GMD-1806-24.pdf#page=3","Abrir facsímil")</f>
        <v>Abrir facsímil</v>
      </c>
      <c r="K4725" s="15" t="s">
        <v>22</v>
      </c>
    </row>
    <row r="4726" spans="1:11" ht="42" customHeight="1">
      <c r="A4726" s="4" t="s">
        <v>10433</v>
      </c>
      <c r="B4726" s="5" t="s">
        <v>10433</v>
      </c>
      <c r="C4726" s="5" t="s">
        <v>31</v>
      </c>
      <c r="D4726" s="5" t="s">
        <v>32</v>
      </c>
      <c r="E4726" s="5" t="s">
        <v>220</v>
      </c>
      <c r="F4726" s="9">
        <v>24</v>
      </c>
      <c r="G4726" s="9">
        <v>229</v>
      </c>
      <c r="H4726" s="5" t="s">
        <v>20</v>
      </c>
      <c r="I4726" s="5" t="s">
        <v>10446</v>
      </c>
      <c r="J4726" s="12" t="str">
        <f>HYPERLINK("https://www.boe.es/gazeta/dias/1806/03/18/pdfs/GMD-1806-24.pdf#page=5","Abrir facsímil")</f>
        <v>Abrir facsímil</v>
      </c>
      <c r="K4726" s="15" t="s">
        <v>22</v>
      </c>
    </row>
    <row r="4727" spans="1:11" ht="42" customHeight="1">
      <c r="A4727" s="4" t="s">
        <v>10433</v>
      </c>
      <c r="B4727" s="5" t="s">
        <v>10433</v>
      </c>
      <c r="C4727" s="5" t="s">
        <v>69</v>
      </c>
      <c r="D4727" s="5" t="s">
        <v>70</v>
      </c>
      <c r="E4727" s="5" t="s">
        <v>124</v>
      </c>
      <c r="F4727" s="9">
        <v>25</v>
      </c>
      <c r="G4727" s="9">
        <v>241</v>
      </c>
      <c r="H4727" s="5" t="s">
        <v>20</v>
      </c>
      <c r="I4727" s="5" t="s">
        <v>10447</v>
      </c>
      <c r="J4727" s="12" t="str">
        <f>HYPERLINK("https://www.boe.es/gazeta/dias/1806/03/21/pdfs/GMD-1806-25.pdf#page=5","Abrir facsímil")</f>
        <v>Abrir facsímil</v>
      </c>
      <c r="K4727" s="15" t="s">
        <v>22</v>
      </c>
    </row>
    <row r="4728" spans="1:11" ht="42" customHeight="1">
      <c r="A4728" s="4" t="s">
        <v>10433</v>
      </c>
      <c r="B4728" s="5" t="s">
        <v>10433</v>
      </c>
      <c r="C4728" s="5" t="s">
        <v>69</v>
      </c>
      <c r="D4728" s="5" t="s">
        <v>70</v>
      </c>
      <c r="E4728" s="5" t="s">
        <v>227</v>
      </c>
      <c r="F4728" s="9">
        <v>27</v>
      </c>
      <c r="G4728" s="9">
        <v>265</v>
      </c>
      <c r="H4728" s="5" t="s">
        <v>20</v>
      </c>
      <c r="I4728" s="5" t="s">
        <v>10448</v>
      </c>
      <c r="J4728" s="12" t="str">
        <f>HYPERLINK("https://www.boe.es/gazeta/dias/1806/03/28/pdfs/GMD-1806-27.pdf#page=5","Abrir facsímil")</f>
        <v>Abrir facsímil</v>
      </c>
      <c r="K4728" s="15" t="s">
        <v>22</v>
      </c>
    </row>
    <row r="4729" spans="1:11" ht="42" customHeight="1">
      <c r="A4729" s="4" t="s">
        <v>10433</v>
      </c>
      <c r="B4729" s="5" t="s">
        <v>10433</v>
      </c>
      <c r="C4729" s="5" t="s">
        <v>31</v>
      </c>
      <c r="D4729" s="5" t="s">
        <v>32</v>
      </c>
      <c r="E4729" s="5" t="s">
        <v>178</v>
      </c>
      <c r="F4729" s="9">
        <v>36</v>
      </c>
      <c r="G4729" s="9">
        <v>351</v>
      </c>
      <c r="H4729" s="5" t="s">
        <v>20</v>
      </c>
      <c r="I4729" s="5" t="s">
        <v>10449</v>
      </c>
      <c r="J4729" s="12" t="str">
        <f>HYPERLINK("https://www.boe.es/gazeta/dias/1806/04/29/pdfs/GMD-1806-36.pdf#page=7","Abrir facsímil")</f>
        <v>Abrir facsímil</v>
      </c>
      <c r="K4729" s="15" t="s">
        <v>22</v>
      </c>
    </row>
    <row r="4730" spans="1:11" ht="42" customHeight="1">
      <c r="A4730" s="4" t="s">
        <v>10433</v>
      </c>
      <c r="B4730" s="5" t="s">
        <v>10433</v>
      </c>
      <c r="C4730" s="5" t="s">
        <v>31</v>
      </c>
      <c r="D4730" s="5" t="s">
        <v>32</v>
      </c>
      <c r="E4730" s="5" t="s">
        <v>309</v>
      </c>
      <c r="F4730" s="9">
        <v>41</v>
      </c>
      <c r="G4730" s="9">
        <v>403</v>
      </c>
      <c r="H4730" s="5" t="s">
        <v>20</v>
      </c>
      <c r="I4730" s="5" t="s">
        <v>10450</v>
      </c>
      <c r="J4730" s="12" t="str">
        <f>HYPERLINK("https://www.boe.es/gazeta/dias/1806/05/16/pdfs/GMD-1806-41.pdf#page=3","Abrir facsímil")</f>
        <v>Abrir facsímil</v>
      </c>
      <c r="K4730" s="15" t="s">
        <v>22</v>
      </c>
    </row>
    <row r="4731" spans="1:11" ht="42" customHeight="1">
      <c r="A4731" s="4" t="s">
        <v>10433</v>
      </c>
      <c r="B4731" s="5" t="s">
        <v>10433</v>
      </c>
      <c r="C4731" s="5" t="s">
        <v>69</v>
      </c>
      <c r="D4731" s="5" t="s">
        <v>70</v>
      </c>
      <c r="E4731" s="5" t="s">
        <v>62</v>
      </c>
      <c r="F4731" s="9">
        <v>45</v>
      </c>
      <c r="G4731" s="9">
        <v>454</v>
      </c>
      <c r="H4731" s="5" t="s">
        <v>20</v>
      </c>
      <c r="I4731" s="5" t="s">
        <v>10451</v>
      </c>
      <c r="J4731" s="12" t="str">
        <f>HYPERLINK("https://www.boe.es/gazeta/dias/1806/05/30/pdfs/GMD-1806-45.pdf#page=6","Abrir facsímil")</f>
        <v>Abrir facsímil</v>
      </c>
      <c r="K4731" s="15" t="s">
        <v>22</v>
      </c>
    </row>
    <row r="4732" spans="1:11" ht="42" customHeight="1">
      <c r="A4732" s="4" t="s">
        <v>10433</v>
      </c>
      <c r="B4732" s="5" t="s">
        <v>10433</v>
      </c>
      <c r="C4732" s="5" t="s">
        <v>36</v>
      </c>
      <c r="D4732" s="5" t="s">
        <v>37</v>
      </c>
      <c r="E4732" s="5" t="s">
        <v>86</v>
      </c>
      <c r="F4732" s="9">
        <v>53</v>
      </c>
      <c r="G4732" s="9">
        <v>556</v>
      </c>
      <c r="H4732" s="5" t="s">
        <v>20</v>
      </c>
      <c r="I4732" s="5" t="s">
        <v>10452</v>
      </c>
      <c r="J4732" s="12" t="str">
        <f>HYPERLINK("https://www.boe.es/gazeta/dias/1806/06/27/pdfs/GMD-1806-53.pdf#page=12","Abrir facsímil")</f>
        <v>Abrir facsímil</v>
      </c>
      <c r="K4732" s="15" t="s">
        <v>22</v>
      </c>
    </row>
    <row r="4733" spans="1:11" ht="42" customHeight="1">
      <c r="A4733" s="4" t="s">
        <v>10433</v>
      </c>
      <c r="B4733" s="5" t="s">
        <v>10433</v>
      </c>
      <c r="C4733" s="5" t="s">
        <v>31</v>
      </c>
      <c r="D4733" s="5" t="s">
        <v>32</v>
      </c>
      <c r="E4733" s="5" t="s">
        <v>810</v>
      </c>
      <c r="F4733" s="9">
        <v>71</v>
      </c>
      <c r="G4733" s="9">
        <v>736</v>
      </c>
      <c r="H4733" s="5" t="s">
        <v>20</v>
      </c>
      <c r="I4733" s="5" t="s">
        <v>10453</v>
      </c>
      <c r="J4733" s="12" t="str">
        <f>HYPERLINK("https://www.boe.es/gazeta/dias/1806/08/29/pdfs/GMD-1806-71.pdf#page=4","Abrir facsímil")</f>
        <v>Abrir facsímil</v>
      </c>
      <c r="K4733" s="15" t="s">
        <v>22</v>
      </c>
    </row>
    <row r="4734" spans="1:11" ht="42" customHeight="1">
      <c r="A4734" s="4" t="s">
        <v>10433</v>
      </c>
      <c r="B4734" s="5" t="s">
        <v>10433</v>
      </c>
      <c r="C4734" s="5" t="s">
        <v>69</v>
      </c>
      <c r="D4734" s="5" t="s">
        <v>70</v>
      </c>
      <c r="E4734" s="5" t="s">
        <v>434</v>
      </c>
      <c r="F4734" s="9">
        <v>74</v>
      </c>
      <c r="G4734" s="9">
        <v>764</v>
      </c>
      <c r="H4734" s="5" t="s">
        <v>20</v>
      </c>
      <c r="I4734" s="5" t="s">
        <v>10454</v>
      </c>
      <c r="J4734" s="12" t="str">
        <f>HYPERLINK("https://www.boe.es/gazeta/dias/1806/09/09/pdfs/GMD-1806-74.pdf#page=4","Abrir facsímil")</f>
        <v>Abrir facsímil</v>
      </c>
      <c r="K4734" s="15" t="s">
        <v>22</v>
      </c>
    </row>
    <row r="4735" spans="1:11" ht="42" customHeight="1">
      <c r="A4735" s="4" t="s">
        <v>10433</v>
      </c>
      <c r="B4735" s="5" t="s">
        <v>10433</v>
      </c>
      <c r="C4735" s="5" t="s">
        <v>69</v>
      </c>
      <c r="D4735" s="5" t="s">
        <v>70</v>
      </c>
      <c r="E4735" s="5" t="s">
        <v>33</v>
      </c>
      <c r="F4735" s="9">
        <v>82</v>
      </c>
      <c r="G4735" s="9">
        <v>844</v>
      </c>
      <c r="H4735" s="5" t="s">
        <v>20</v>
      </c>
      <c r="I4735" s="5" t="s">
        <v>10455</v>
      </c>
      <c r="J4735" s="12" t="str">
        <f>HYPERLINK("https://www.boe.es/gazeta/dias/1806/10/07/pdfs/GMD-1806-82.pdf#page=4","Abrir facsímil")</f>
        <v>Abrir facsímil</v>
      </c>
      <c r="K4735" s="15" t="s">
        <v>22</v>
      </c>
    </row>
    <row r="4736" spans="1:11" ht="42" customHeight="1">
      <c r="A4736" s="4" t="s">
        <v>10433</v>
      </c>
      <c r="B4736" s="5" t="s">
        <v>10433</v>
      </c>
      <c r="C4736" s="5" t="s">
        <v>42</v>
      </c>
      <c r="D4736" s="5" t="s">
        <v>43</v>
      </c>
      <c r="E4736" s="5" t="s">
        <v>1568</v>
      </c>
      <c r="F4736" s="9">
        <v>84</v>
      </c>
      <c r="G4736" s="9">
        <v>866</v>
      </c>
      <c r="H4736" s="5" t="s">
        <v>20</v>
      </c>
      <c r="I4736" s="5" t="s">
        <v>10456</v>
      </c>
      <c r="J4736" s="12" t="str">
        <f>HYPERLINK("https://www.boe.es/gazeta/dias/1806/10/14/pdfs/GMD-1806-84.pdf#page=2","Abrir facsímil")</f>
        <v>Abrir facsímil</v>
      </c>
      <c r="K4736" s="15" t="s">
        <v>22</v>
      </c>
    </row>
    <row r="4737" spans="1:11" ht="42" customHeight="1">
      <c r="A4737" s="4" t="s">
        <v>10433</v>
      </c>
      <c r="B4737" s="5" t="s">
        <v>10433</v>
      </c>
      <c r="C4737" s="5" t="s">
        <v>31</v>
      </c>
      <c r="D4737" s="5" t="s">
        <v>32</v>
      </c>
      <c r="E4737" s="5" t="s">
        <v>1568</v>
      </c>
      <c r="F4737" s="9">
        <v>84</v>
      </c>
      <c r="G4737" s="9">
        <v>867</v>
      </c>
      <c r="H4737" s="5" t="s">
        <v>20</v>
      </c>
      <c r="I4737" s="5" t="s">
        <v>10457</v>
      </c>
      <c r="J4737" s="12" t="str">
        <f>HYPERLINK("https://www.boe.es/gazeta/dias/1806/10/14/pdfs/GMD-1806-84.pdf#page=3","Abrir facsímil")</f>
        <v>Abrir facsímil</v>
      </c>
      <c r="K4737" s="15" t="s">
        <v>22</v>
      </c>
    </row>
    <row r="4738" spans="1:11" ht="42" customHeight="1">
      <c r="A4738" s="4" t="s">
        <v>10433</v>
      </c>
      <c r="B4738" s="5" t="s">
        <v>10433</v>
      </c>
      <c r="C4738" s="5" t="s">
        <v>69</v>
      </c>
      <c r="D4738" s="5" t="s">
        <v>70</v>
      </c>
      <c r="E4738" s="5" t="s">
        <v>455</v>
      </c>
      <c r="F4738" s="9">
        <v>85</v>
      </c>
      <c r="G4738" s="9">
        <v>877</v>
      </c>
      <c r="H4738" s="5" t="s">
        <v>20</v>
      </c>
      <c r="I4738" s="5" t="s">
        <v>10458</v>
      </c>
      <c r="J4738" s="12" t="str">
        <f>HYPERLINK("https://www.boe.es/gazeta/dias/1806/10/17/pdfs/GMD-1806-85.pdf#page=5","Abrir facsímil")</f>
        <v>Abrir facsímil</v>
      </c>
      <c r="K4738" s="15" t="s">
        <v>22</v>
      </c>
    </row>
    <row r="4739" spans="1:11" ht="42" customHeight="1">
      <c r="A4739" s="4" t="s">
        <v>10459</v>
      </c>
      <c r="B4739" s="5" t="s">
        <v>10459</v>
      </c>
      <c r="C4739" s="5" t="s">
        <v>69</v>
      </c>
      <c r="D4739" s="5" t="s">
        <v>70</v>
      </c>
      <c r="E4739" s="5" t="s">
        <v>474</v>
      </c>
      <c r="F4739" s="9">
        <v>10</v>
      </c>
      <c r="G4739" s="9">
        <v>88</v>
      </c>
      <c r="H4739" s="5" t="s">
        <v>20</v>
      </c>
      <c r="I4739" s="5" t="s">
        <v>10460</v>
      </c>
      <c r="J4739" s="12" t="str">
        <f>HYPERLINK("https://www.boe.es/gazeta/dias/1806/01/28/pdfs/GMD-1806-10.pdf#page=4","Abrir facsímil")</f>
        <v>Abrir facsímil</v>
      </c>
      <c r="K4739" s="15" t="s">
        <v>22</v>
      </c>
    </row>
    <row r="4740" spans="1:11" ht="42" customHeight="1">
      <c r="A4740" s="4" t="s">
        <v>10461</v>
      </c>
      <c r="B4740" s="5" t="s">
        <v>10462</v>
      </c>
      <c r="C4740" s="5" t="s">
        <v>42</v>
      </c>
      <c r="D4740" s="5" t="s">
        <v>43</v>
      </c>
      <c r="E4740" s="5" t="s">
        <v>181</v>
      </c>
      <c r="F4740" s="9">
        <v>99</v>
      </c>
      <c r="G4740" s="9">
        <v>1053</v>
      </c>
      <c r="H4740" s="5" t="s">
        <v>20</v>
      </c>
      <c r="I4740" s="5" t="s">
        <v>10463</v>
      </c>
      <c r="J4740" s="12" t="str">
        <f>HYPERLINK("https://www.boe.es/gazeta/dias/1806/12/05/pdfs/GMD-1806-99.pdf#page=9","Abrir facsímil")</f>
        <v>Abrir facsímil</v>
      </c>
      <c r="K4740" s="15" t="s">
        <v>22</v>
      </c>
    </row>
    <row r="4741" spans="1:11" ht="42" customHeight="1">
      <c r="A4741" s="4" t="s">
        <v>10464</v>
      </c>
      <c r="B4741" s="5" t="s">
        <v>10465</v>
      </c>
      <c r="C4741" s="5" t="s">
        <v>31</v>
      </c>
      <c r="D4741" s="5" t="s">
        <v>32</v>
      </c>
      <c r="E4741" s="5" t="s">
        <v>175</v>
      </c>
      <c r="F4741" s="9">
        <v>40</v>
      </c>
      <c r="G4741" s="9">
        <v>395</v>
      </c>
      <c r="H4741" s="5" t="s">
        <v>20</v>
      </c>
      <c r="I4741" s="5" t="s">
        <v>10466</v>
      </c>
      <c r="J4741" s="12" t="str">
        <f>HYPERLINK("https://www.boe.es/gazeta/dias/1806/05/13/pdfs/GMD-1806-40.pdf#page=7","Abrir facsímil")</f>
        <v>Abrir facsímil</v>
      </c>
      <c r="K4741" s="15" t="s">
        <v>22</v>
      </c>
    </row>
    <row r="4742" spans="1:11" ht="42" customHeight="1">
      <c r="A4742" s="4" t="s">
        <v>10467</v>
      </c>
      <c r="B4742" s="5" t="s">
        <v>10468</v>
      </c>
      <c r="C4742" s="5" t="s">
        <v>75</v>
      </c>
      <c r="D4742" s="5" t="s">
        <v>43</v>
      </c>
      <c r="E4742" s="5" t="s">
        <v>837</v>
      </c>
      <c r="F4742" s="9">
        <v>26</v>
      </c>
      <c r="G4742" s="9">
        <v>258</v>
      </c>
      <c r="H4742" s="5" t="s">
        <v>20</v>
      </c>
      <c r="I4742" s="5" t="s">
        <v>10469</v>
      </c>
      <c r="J4742" s="12" t="str">
        <f>HYPERLINK("https://www.boe.es/gazeta/dias/1806/03/25/pdfs/GMD-1806-26.pdf#page=10","Abrir facsímil")</f>
        <v>Abrir facsímil</v>
      </c>
      <c r="K4742" s="15" t="s">
        <v>22</v>
      </c>
    </row>
    <row r="4743" spans="1:11" ht="42" customHeight="1">
      <c r="A4743" s="4" t="s">
        <v>10467</v>
      </c>
      <c r="B4743" s="5" t="s">
        <v>10468</v>
      </c>
      <c r="C4743" s="5" t="s">
        <v>75</v>
      </c>
      <c r="D4743" s="5" t="s">
        <v>43</v>
      </c>
      <c r="E4743" s="5" t="s">
        <v>175</v>
      </c>
      <c r="F4743" s="9">
        <v>40</v>
      </c>
      <c r="G4743" s="9">
        <v>397</v>
      </c>
      <c r="H4743" s="5" t="s">
        <v>20</v>
      </c>
      <c r="I4743" s="5" t="s">
        <v>10470</v>
      </c>
      <c r="J4743" s="12" t="str">
        <f>HYPERLINK("https://www.boe.es/gazeta/dias/1806/05/13/pdfs/GMD-1806-40.pdf#page=9","Abrir facsímil")</f>
        <v>Abrir facsímil</v>
      </c>
      <c r="K4743" s="15" t="s">
        <v>22</v>
      </c>
    </row>
    <row r="4744" spans="1:11" ht="42" customHeight="1">
      <c r="A4744" s="4" t="s">
        <v>10471</v>
      </c>
      <c r="B4744" s="5" t="s">
        <v>10472</v>
      </c>
      <c r="C4744" s="5" t="s">
        <v>75</v>
      </c>
      <c r="D4744" s="5" t="s">
        <v>43</v>
      </c>
      <c r="E4744" s="5" t="s">
        <v>175</v>
      </c>
      <c r="F4744" s="9">
        <v>40</v>
      </c>
      <c r="G4744" s="9">
        <v>397</v>
      </c>
      <c r="H4744" s="5" t="s">
        <v>20</v>
      </c>
      <c r="I4744" s="5" t="s">
        <v>10473</v>
      </c>
      <c r="J4744" s="12" t="str">
        <f>HYPERLINK("https://www.boe.es/gazeta/dias/1806/05/13/pdfs/GMD-1806-40.pdf#page=9","Abrir facsímil")</f>
        <v>Abrir facsímil</v>
      </c>
      <c r="K4744" s="15" t="s">
        <v>22</v>
      </c>
    </row>
    <row r="4745" spans="1:11" ht="42" customHeight="1">
      <c r="A4745" s="4" t="s">
        <v>10474</v>
      </c>
      <c r="B4745" s="5" t="s">
        <v>10474</v>
      </c>
      <c r="C4745" s="5" t="s">
        <v>69</v>
      </c>
      <c r="D4745" s="5" t="s">
        <v>70</v>
      </c>
      <c r="E4745" s="5" t="s">
        <v>304</v>
      </c>
      <c r="F4745" s="9">
        <v>47</v>
      </c>
      <c r="G4745" s="9">
        <v>476</v>
      </c>
      <c r="H4745" s="5" t="s">
        <v>20</v>
      </c>
      <c r="I4745" s="5" t="s">
        <v>10475</v>
      </c>
      <c r="J4745" s="12" t="str">
        <f>HYPERLINK("https://www.boe.es/gazeta/dias/1806/06/06/pdfs/GMD-1806-47.pdf#page=4","Abrir facsímil")</f>
        <v>Abrir facsímil</v>
      </c>
      <c r="K4745" s="15" t="s">
        <v>22</v>
      </c>
    </row>
    <row r="4746" spans="1:11" ht="42" customHeight="1">
      <c r="A4746" s="4" t="s">
        <v>10476</v>
      </c>
      <c r="B4746" s="5" t="s">
        <v>10477</v>
      </c>
      <c r="C4746" s="5" t="s">
        <v>42</v>
      </c>
      <c r="D4746" s="5" t="s">
        <v>43</v>
      </c>
      <c r="E4746" s="5" t="s">
        <v>301</v>
      </c>
      <c r="F4746" s="9">
        <v>75</v>
      </c>
      <c r="G4746" s="9">
        <v>776</v>
      </c>
      <c r="H4746" s="5" t="s">
        <v>20</v>
      </c>
      <c r="I4746" s="5" t="s">
        <v>10478</v>
      </c>
      <c r="J4746" s="12" t="str">
        <f>HYPERLINK("https://www.boe.es/gazeta/dias/1806/09/12/pdfs/GMD-1806-75.pdf#page=8","Abrir facsímil")</f>
        <v>Abrir facsímil</v>
      </c>
      <c r="K4746" s="15" t="s">
        <v>22</v>
      </c>
    </row>
    <row r="4747" spans="1:11" ht="42" customHeight="1">
      <c r="A4747" s="4" t="s">
        <v>10479</v>
      </c>
      <c r="B4747" s="5" t="s">
        <v>10480</v>
      </c>
      <c r="C4747" s="5" t="s">
        <v>31</v>
      </c>
      <c r="D4747" s="5" t="s">
        <v>32</v>
      </c>
      <c r="E4747" s="5" t="s">
        <v>816</v>
      </c>
      <c r="F4747" s="9">
        <v>86</v>
      </c>
      <c r="G4747" s="9">
        <v>891</v>
      </c>
      <c r="H4747" s="5" t="s">
        <v>20</v>
      </c>
      <c r="I4747" s="5" t="s">
        <v>10481</v>
      </c>
      <c r="J4747" s="12" t="str">
        <f>HYPERLINK("https://www.boe.es/gazeta/dias/1806/10/21/pdfs/GMD-1806-86.pdf#page=7","Abrir facsímil")</f>
        <v>Abrir facsímil</v>
      </c>
      <c r="K4747" s="15" t="s">
        <v>22</v>
      </c>
    </row>
    <row r="4748" spans="1:11" ht="42" customHeight="1">
      <c r="A4748" s="4" t="s">
        <v>10482</v>
      </c>
      <c r="B4748" s="5" t="s">
        <v>10483</v>
      </c>
      <c r="C4748" s="5" t="s">
        <v>31</v>
      </c>
      <c r="D4748" s="5" t="s">
        <v>32</v>
      </c>
      <c r="E4748" s="5" t="s">
        <v>400</v>
      </c>
      <c r="F4748" s="9">
        <v>22</v>
      </c>
      <c r="G4748" s="9">
        <v>204</v>
      </c>
      <c r="H4748" s="5" t="s">
        <v>20</v>
      </c>
      <c r="I4748" s="5" t="s">
        <v>10484</v>
      </c>
      <c r="J4748" s="12" t="str">
        <f>HYPERLINK("https://www.boe.es/gazeta/dias/1806/03/11/pdfs/GMD-1806-22.pdf#page=4","Abrir facsímil")</f>
        <v>Abrir facsímil</v>
      </c>
      <c r="K4748" s="15" t="s">
        <v>22</v>
      </c>
    </row>
    <row r="4749" spans="1:11" ht="42" customHeight="1">
      <c r="A4749" s="4" t="s">
        <v>10485</v>
      </c>
      <c r="B4749" s="5" t="s">
        <v>10486</v>
      </c>
      <c r="C4749" s="5" t="s">
        <v>69</v>
      </c>
      <c r="D4749" s="5" t="s">
        <v>70</v>
      </c>
      <c r="E4749" s="5" t="s">
        <v>188</v>
      </c>
      <c r="F4749" s="9">
        <v>2</v>
      </c>
      <c r="G4749" s="9">
        <v>14</v>
      </c>
      <c r="H4749" s="5" t="s">
        <v>20</v>
      </c>
      <c r="I4749" s="5" t="s">
        <v>10487</v>
      </c>
      <c r="J4749" s="12" t="str">
        <f>HYPERLINK("https://www.boe.es/gazeta/dias/1806/01/07/pdfs/GMD-1806-2.pdf#page=2","Abrir facsímil")</f>
        <v>Abrir facsímil</v>
      </c>
      <c r="K4749" s="15" t="s">
        <v>22</v>
      </c>
    </row>
    <row r="4750" spans="1:11" ht="42" customHeight="1">
      <c r="A4750" s="4" t="s">
        <v>10488</v>
      </c>
      <c r="B4750" s="5" t="s">
        <v>10489</v>
      </c>
      <c r="C4750" s="5" t="s">
        <v>42</v>
      </c>
      <c r="D4750" s="5" t="s">
        <v>43</v>
      </c>
      <c r="E4750" s="5" t="s">
        <v>140</v>
      </c>
      <c r="F4750" s="9">
        <v>83</v>
      </c>
      <c r="G4750" s="9">
        <v>863</v>
      </c>
      <c r="H4750" s="5" t="s">
        <v>20</v>
      </c>
      <c r="I4750" s="5" t="s">
        <v>10490</v>
      </c>
      <c r="J4750" s="12" t="str">
        <f>HYPERLINK("https://www.boe.es/gazeta/dias/1806/10/10/pdfs/GMD-1806-83.pdf#page=11","Abrir facsímil")</f>
        <v>Abrir facsímil</v>
      </c>
      <c r="K4750" s="15" t="s">
        <v>22</v>
      </c>
    </row>
    <row r="4751" spans="1:11" ht="42" customHeight="1">
      <c r="A4751" s="4" t="s">
        <v>10491</v>
      </c>
      <c r="B4751" s="5" t="s">
        <v>10491</v>
      </c>
      <c r="C4751" s="5" t="s">
        <v>31</v>
      </c>
      <c r="D4751" s="5" t="s">
        <v>32</v>
      </c>
      <c r="E4751" s="5" t="s">
        <v>238</v>
      </c>
      <c r="F4751" s="9">
        <v>18</v>
      </c>
      <c r="G4751" s="9">
        <v>160</v>
      </c>
      <c r="H4751" s="5" t="s">
        <v>20</v>
      </c>
      <c r="I4751" s="5" t="s">
        <v>10492</v>
      </c>
      <c r="J4751" s="12" t="str">
        <f>HYPERLINK("https://www.boe.es/gazeta/dias/1806/02/25/pdfs/GMD-1806-18.pdf#page=8","Abrir facsímil")</f>
        <v>Abrir facsímil</v>
      </c>
      <c r="K4751" s="15" t="s">
        <v>22</v>
      </c>
    </row>
    <row r="4752" spans="1:11" ht="42" customHeight="1">
      <c r="A4752" s="4" t="s">
        <v>10493</v>
      </c>
      <c r="B4752" s="5" t="s">
        <v>10494</v>
      </c>
      <c r="C4752" s="5" t="s">
        <v>31</v>
      </c>
      <c r="D4752" s="5" t="s">
        <v>32</v>
      </c>
      <c r="E4752" s="5" t="s">
        <v>297</v>
      </c>
      <c r="F4752" s="9">
        <v>94</v>
      </c>
      <c r="G4752" s="9">
        <v>988</v>
      </c>
      <c r="H4752" s="5" t="s">
        <v>20</v>
      </c>
      <c r="I4752" s="5" t="s">
        <v>10495</v>
      </c>
      <c r="J4752" s="12" t="str">
        <f>HYPERLINK("https://www.boe.es/gazeta/dias/1806/11/18/pdfs/GMD-1806-94.pdf#page=8","Abrir facsímil")</f>
        <v>Abrir facsímil</v>
      </c>
      <c r="K4752" s="15" t="s">
        <v>22</v>
      </c>
    </row>
    <row r="4753" spans="1:11" ht="42" customHeight="1">
      <c r="A4753" s="4" t="s">
        <v>10496</v>
      </c>
      <c r="B4753" s="5" t="s">
        <v>10497</v>
      </c>
      <c r="C4753" s="5" t="s">
        <v>17</v>
      </c>
      <c r="D4753" s="5" t="s">
        <v>18</v>
      </c>
      <c r="E4753" s="5" t="s">
        <v>55</v>
      </c>
      <c r="F4753" s="9">
        <v>20</v>
      </c>
      <c r="G4753" s="9">
        <v>184</v>
      </c>
      <c r="H4753" s="5" t="s">
        <v>20</v>
      </c>
      <c r="I4753" s="5" t="s">
        <v>10498</v>
      </c>
      <c r="J4753" s="12" t="str">
        <f>HYPERLINK("https://www.boe.es/gazeta/dias/1806/03/04/pdfs/GMD-1806-20.pdf#page=8","Abrir facsímil")</f>
        <v>Abrir facsímil</v>
      </c>
      <c r="K4753" s="15" t="s">
        <v>22</v>
      </c>
    </row>
    <row r="4754" spans="1:11" ht="42" customHeight="1">
      <c r="A4754" s="4" t="s">
        <v>10499</v>
      </c>
      <c r="B4754" s="5" t="s">
        <v>10500</v>
      </c>
      <c r="C4754" s="5" t="s">
        <v>75</v>
      </c>
      <c r="D4754" s="5" t="s">
        <v>43</v>
      </c>
      <c r="E4754" s="5" t="s">
        <v>136</v>
      </c>
      <c r="F4754" s="9">
        <v>50</v>
      </c>
      <c r="G4754" s="9">
        <v>511</v>
      </c>
      <c r="H4754" s="5" t="s">
        <v>20</v>
      </c>
      <c r="I4754" s="5" t="s">
        <v>10501</v>
      </c>
      <c r="J4754" s="12" t="str">
        <f>HYPERLINK("https://www.boe.es/gazeta/dias/1806/06/17/pdfs/GMD-1806-50.pdf#page=3","Abrir facsímil")</f>
        <v>Abrir facsímil</v>
      </c>
      <c r="K4754" s="15" t="s">
        <v>22</v>
      </c>
    </row>
    <row r="4755" spans="1:11" ht="42" customHeight="1">
      <c r="A4755" s="4" t="s">
        <v>10502</v>
      </c>
      <c r="B4755" s="5" t="s">
        <v>10503</v>
      </c>
      <c r="C4755" s="5" t="s">
        <v>31</v>
      </c>
      <c r="D4755" s="5" t="s">
        <v>32</v>
      </c>
      <c r="E4755" s="5" t="s">
        <v>62</v>
      </c>
      <c r="F4755" s="9">
        <v>45</v>
      </c>
      <c r="G4755" s="9">
        <v>457</v>
      </c>
      <c r="H4755" s="5" t="s">
        <v>20</v>
      </c>
      <c r="I4755" s="5" t="s">
        <v>10504</v>
      </c>
      <c r="J4755" s="12" t="str">
        <f>HYPERLINK("https://www.boe.es/gazeta/dias/1806/05/30/pdfs/GMD-1806-45.pdf#page=9","Abrir facsímil")</f>
        <v>Abrir facsímil</v>
      </c>
      <c r="K4755" s="15" t="s">
        <v>22</v>
      </c>
    </row>
    <row r="4756" spans="1:11" ht="42" customHeight="1">
      <c r="A4756" s="4" t="s">
        <v>10505</v>
      </c>
      <c r="B4756" s="5" t="s">
        <v>10505</v>
      </c>
      <c r="C4756" s="5" t="s">
        <v>36</v>
      </c>
      <c r="D4756" s="5" t="s">
        <v>37</v>
      </c>
      <c r="E4756" s="5" t="s">
        <v>144</v>
      </c>
      <c r="F4756" s="9">
        <v>79</v>
      </c>
      <c r="G4756" s="9">
        <v>820</v>
      </c>
      <c r="H4756" s="5" t="s">
        <v>20</v>
      </c>
      <c r="I4756" s="5" t="s">
        <v>10506</v>
      </c>
      <c r="J4756" s="12" t="str">
        <f>HYPERLINK("https://www.boe.es/gazeta/dias/1806/09/26/pdfs/GMD-1806-79.pdf#page=12","Abrir facsímil")</f>
        <v>Abrir facsímil</v>
      </c>
      <c r="K4756" s="15" t="s">
        <v>22</v>
      </c>
    </row>
    <row r="4757" spans="1:11" ht="42" customHeight="1">
      <c r="A4757" s="4" t="s">
        <v>10507</v>
      </c>
      <c r="B4757" s="5" t="s">
        <v>10508</v>
      </c>
      <c r="C4757" s="5" t="s">
        <v>31</v>
      </c>
      <c r="D4757" s="5" t="s">
        <v>32</v>
      </c>
      <c r="E4757" s="5" t="s">
        <v>76</v>
      </c>
      <c r="F4757" s="9">
        <v>98</v>
      </c>
      <c r="G4757" s="9">
        <v>1043</v>
      </c>
      <c r="H4757" s="5" t="s">
        <v>20</v>
      </c>
      <c r="I4757" s="5" t="s">
        <v>10509</v>
      </c>
      <c r="J4757" s="12" t="str">
        <f>HYPERLINK("https://www.boe.es/gazeta/dias/1806/12/02/pdfs/GMD-1806-98.pdf#page=11","Abrir facsímil")</f>
        <v>Abrir facsímil</v>
      </c>
      <c r="K4757" s="15" t="s">
        <v>22</v>
      </c>
    </row>
    <row r="4758" spans="1:11" ht="42" customHeight="1">
      <c r="A4758" s="4" t="s">
        <v>10510</v>
      </c>
      <c r="B4758" s="5" t="s">
        <v>10511</v>
      </c>
      <c r="C4758" s="5" t="s">
        <v>31</v>
      </c>
      <c r="D4758" s="5" t="s">
        <v>32</v>
      </c>
      <c r="E4758" s="5" t="s">
        <v>48</v>
      </c>
      <c r="F4758" s="9">
        <v>67</v>
      </c>
      <c r="G4758" s="9">
        <v>696</v>
      </c>
      <c r="H4758" s="5" t="s">
        <v>20</v>
      </c>
      <c r="I4758" s="5" t="s">
        <v>10512</v>
      </c>
      <c r="J4758" s="12" t="str">
        <f>HYPERLINK("https://www.boe.es/gazeta/dias/1806/08/15/pdfs/GMD-1806-67.pdf#page=4","Abrir facsímil")</f>
        <v>Abrir facsímil</v>
      </c>
      <c r="K4758" s="15" t="s">
        <v>22</v>
      </c>
    </row>
    <row r="4759" spans="1:11" ht="42" customHeight="1">
      <c r="A4759" s="4" t="s">
        <v>10513</v>
      </c>
      <c r="B4759" s="5" t="s">
        <v>10514</v>
      </c>
      <c r="C4759" s="5" t="s">
        <v>17</v>
      </c>
      <c r="D4759" s="5" t="s">
        <v>18</v>
      </c>
      <c r="E4759" s="5" t="s">
        <v>494</v>
      </c>
      <c r="F4759" s="9">
        <v>69</v>
      </c>
      <c r="G4759" s="9">
        <v>721</v>
      </c>
      <c r="H4759" s="5" t="s">
        <v>20</v>
      </c>
      <c r="I4759" s="5" t="s">
        <v>10515</v>
      </c>
      <c r="J4759" s="12" t="str">
        <f>HYPERLINK("https://www.boe.es/gazeta/dias/1806/08/22/pdfs/GMD-1806-69.pdf#page=9","Abrir facsímil")</f>
        <v>Abrir facsímil</v>
      </c>
      <c r="K4759" s="15" t="s">
        <v>22</v>
      </c>
    </row>
    <row r="4760" spans="1:11" ht="42" customHeight="1">
      <c r="A4760" s="4" t="s">
        <v>10516</v>
      </c>
      <c r="B4760" s="5" t="s">
        <v>10517</v>
      </c>
      <c r="C4760" s="5" t="s">
        <v>42</v>
      </c>
      <c r="D4760" s="5" t="s">
        <v>43</v>
      </c>
      <c r="E4760" s="5" t="s">
        <v>301</v>
      </c>
      <c r="F4760" s="9">
        <v>75</v>
      </c>
      <c r="G4760" s="9">
        <v>776</v>
      </c>
      <c r="H4760" s="5" t="s">
        <v>20</v>
      </c>
      <c r="I4760" s="5" t="s">
        <v>10518</v>
      </c>
      <c r="J4760" s="12" t="str">
        <f>HYPERLINK("https://www.boe.es/gazeta/dias/1806/09/12/pdfs/GMD-1806-75.pdf#page=8","Abrir facsímil")</f>
        <v>Abrir facsímil</v>
      </c>
      <c r="K4760" s="15" t="s">
        <v>22</v>
      </c>
    </row>
    <row r="4761" spans="1:11" ht="42" customHeight="1">
      <c r="A4761" s="4" t="s">
        <v>10519</v>
      </c>
      <c r="B4761" s="5" t="s">
        <v>10520</v>
      </c>
      <c r="C4761" s="5" t="s">
        <v>31</v>
      </c>
      <c r="D4761" s="5" t="s">
        <v>32</v>
      </c>
      <c r="E4761" s="5" t="s">
        <v>290</v>
      </c>
      <c r="F4761" s="9">
        <v>1</v>
      </c>
      <c r="G4761" s="9">
        <v>4</v>
      </c>
      <c r="H4761" s="5" t="s">
        <v>20</v>
      </c>
      <c r="I4761" s="5" t="s">
        <v>10521</v>
      </c>
      <c r="J4761" s="12" t="str">
        <f>HYPERLINK("https://www.boe.es/gazeta/dias/1806/01/03/pdfs/GMD-1806-1.pdf#page=4","Abrir facsímil")</f>
        <v>Abrir facsímil</v>
      </c>
      <c r="K4761" s="15" t="s">
        <v>22</v>
      </c>
    </row>
    <row r="4762" spans="1:11" ht="42" customHeight="1">
      <c r="A4762" s="4" t="s">
        <v>10522</v>
      </c>
      <c r="B4762" s="5" t="s">
        <v>10523</v>
      </c>
      <c r="C4762" s="5" t="s">
        <v>69</v>
      </c>
      <c r="D4762" s="5" t="s">
        <v>70</v>
      </c>
      <c r="E4762" s="5" t="s">
        <v>661</v>
      </c>
      <c r="F4762" s="9">
        <v>38</v>
      </c>
      <c r="G4762" s="9">
        <v>367</v>
      </c>
      <c r="H4762" s="5" t="s">
        <v>20</v>
      </c>
      <c r="I4762" s="5" t="s">
        <v>10524</v>
      </c>
      <c r="J4762" s="12" t="str">
        <f>HYPERLINK("https://www.boe.es/gazeta/dias/1806/05/06/pdfs/GMD-1806-38.pdf#page=3","Abrir facsímil")</f>
        <v>Abrir facsímil</v>
      </c>
      <c r="K4762" s="15" t="s">
        <v>22</v>
      </c>
    </row>
    <row r="4763" spans="1:11" ht="42" customHeight="1">
      <c r="A4763" s="4" t="s">
        <v>10525</v>
      </c>
      <c r="B4763" s="5" t="s">
        <v>10526</v>
      </c>
      <c r="C4763" s="5" t="s">
        <v>17</v>
      </c>
      <c r="D4763" s="5" t="s">
        <v>18</v>
      </c>
      <c r="E4763" s="5" t="s">
        <v>438</v>
      </c>
      <c r="F4763" s="9">
        <v>70</v>
      </c>
      <c r="G4763" s="9">
        <v>728</v>
      </c>
      <c r="H4763" s="5" t="s">
        <v>20</v>
      </c>
      <c r="I4763" s="5" t="s">
        <v>10527</v>
      </c>
      <c r="J4763" s="12" t="str">
        <f>HYPERLINK("https://www.boe.es/gazeta/dias/1806/08/26/pdfs/GMD-1806-70.pdf#page=4","Abrir facsímil")</f>
        <v>Abrir facsímil</v>
      </c>
      <c r="K4763" s="15" t="s">
        <v>22</v>
      </c>
    </row>
    <row r="4764" spans="1:11" ht="42" customHeight="1">
      <c r="A4764" s="4" t="s">
        <v>10528</v>
      </c>
      <c r="B4764" s="5" t="s">
        <v>10528</v>
      </c>
      <c r="C4764" s="5" t="s">
        <v>75</v>
      </c>
      <c r="D4764" s="5" t="s">
        <v>43</v>
      </c>
      <c r="E4764" s="5" t="s">
        <v>430</v>
      </c>
      <c r="F4764" s="9">
        <v>12</v>
      </c>
      <c r="G4764" s="9">
        <v>107</v>
      </c>
      <c r="H4764" s="5" t="s">
        <v>20</v>
      </c>
      <c r="I4764" s="5" t="s">
        <v>10529</v>
      </c>
      <c r="J4764" s="12" t="str">
        <f>HYPERLINK("https://www.boe.es/gazeta/dias/1806/02/04/pdfs/GMD-1806-12.pdf#page=7","Abrir facsímil")</f>
        <v>Abrir facsímil</v>
      </c>
      <c r="K4764" s="15" t="s">
        <v>22</v>
      </c>
    </row>
    <row r="4765" spans="1:11" ht="42" customHeight="1">
      <c r="A4765" s="4" t="s">
        <v>10530</v>
      </c>
      <c r="B4765" s="5" t="s">
        <v>10531</v>
      </c>
      <c r="C4765" s="5" t="s">
        <v>31</v>
      </c>
      <c r="D4765" s="5" t="s">
        <v>32</v>
      </c>
      <c r="E4765" s="5" t="s">
        <v>24</v>
      </c>
      <c r="F4765" s="9">
        <v>32</v>
      </c>
      <c r="G4765" s="9">
        <v>315</v>
      </c>
      <c r="H4765" s="5" t="s">
        <v>20</v>
      </c>
      <c r="I4765" s="5" t="s">
        <v>10532</v>
      </c>
      <c r="J4765" s="12" t="str">
        <f>HYPERLINK("https://www.boe.es/gazeta/dias/1806/04/15/pdfs/GMD-1806-32.pdf#page=7","Abrir facsímil")</f>
        <v>Abrir facsímil</v>
      </c>
      <c r="K4765" s="15" t="s">
        <v>22</v>
      </c>
    </row>
    <row r="4766" spans="1:11" ht="42" customHeight="1">
      <c r="A4766" s="4" t="s">
        <v>10533</v>
      </c>
      <c r="B4766" s="5" t="s">
        <v>10534</v>
      </c>
      <c r="C4766" s="5" t="s">
        <v>31</v>
      </c>
      <c r="D4766" s="5" t="s">
        <v>32</v>
      </c>
      <c r="E4766" s="5" t="s">
        <v>181</v>
      </c>
      <c r="F4766" s="9">
        <v>99</v>
      </c>
      <c r="G4766" s="9">
        <v>1053</v>
      </c>
      <c r="H4766" s="5" t="s">
        <v>20</v>
      </c>
      <c r="I4766" s="5" t="s">
        <v>10535</v>
      </c>
      <c r="J4766" s="12" t="str">
        <f>HYPERLINK("https://www.boe.es/gazeta/dias/1806/12/05/pdfs/GMD-1806-99.pdf#page=9","Abrir facsímil")</f>
        <v>Abrir facsímil</v>
      </c>
      <c r="K4766" s="15" t="s">
        <v>22</v>
      </c>
    </row>
    <row r="4767" spans="1:11" ht="42" customHeight="1">
      <c r="A4767" s="4" t="s">
        <v>10536</v>
      </c>
      <c r="B4767" s="5" t="s">
        <v>10537</v>
      </c>
      <c r="C4767" s="5" t="s">
        <v>17</v>
      </c>
      <c r="D4767" s="5" t="s">
        <v>18</v>
      </c>
      <c r="E4767" s="5" t="s">
        <v>181</v>
      </c>
      <c r="F4767" s="9">
        <v>99</v>
      </c>
      <c r="G4767" s="9">
        <v>1055</v>
      </c>
      <c r="H4767" s="5" t="s">
        <v>20</v>
      </c>
      <c r="I4767" s="5" t="s">
        <v>10538</v>
      </c>
      <c r="J4767" s="12" t="str">
        <f>HYPERLINK("https://www.boe.es/gazeta/dias/1806/12/05/pdfs/GMD-1806-99.pdf#page=11","Abrir facsímil")</f>
        <v>Abrir facsímil</v>
      </c>
      <c r="K4767" s="15" t="s">
        <v>22</v>
      </c>
    </row>
    <row r="4768" spans="1:11" ht="42" customHeight="1">
      <c r="A4768" s="4" t="s">
        <v>10539</v>
      </c>
      <c r="B4768" s="5" t="s">
        <v>10539</v>
      </c>
      <c r="C4768" s="5" t="s">
        <v>17</v>
      </c>
      <c r="D4768" s="5" t="s">
        <v>18</v>
      </c>
      <c r="E4768" s="5" t="s">
        <v>1080</v>
      </c>
      <c r="F4768" s="9">
        <v>49</v>
      </c>
      <c r="G4768" s="9">
        <v>506</v>
      </c>
      <c r="H4768" s="5" t="s">
        <v>20</v>
      </c>
      <c r="I4768" s="5" t="s">
        <v>10540</v>
      </c>
      <c r="J4768" s="12" t="str">
        <f>HYPERLINK("https://www.boe.es/gazeta/dias/1806/06/13/pdfs/GMD-1806-49.pdf#page=6","Abrir facsímil")</f>
        <v>Abrir facsímil</v>
      </c>
      <c r="K4768" s="15" t="s">
        <v>22</v>
      </c>
    </row>
    <row r="4769" spans="1:11" ht="42" customHeight="1">
      <c r="A4769" s="4" t="s">
        <v>10541</v>
      </c>
      <c r="B4769" s="5" t="s">
        <v>10541</v>
      </c>
      <c r="C4769" s="5" t="s">
        <v>69</v>
      </c>
      <c r="D4769" s="5" t="s">
        <v>70</v>
      </c>
      <c r="E4769" s="5" t="s">
        <v>570</v>
      </c>
      <c r="F4769" s="9">
        <v>93</v>
      </c>
      <c r="G4769" s="9">
        <v>973</v>
      </c>
      <c r="H4769" s="5" t="s">
        <v>20</v>
      </c>
      <c r="I4769" s="5" t="s">
        <v>10542</v>
      </c>
      <c r="J4769" s="12" t="str">
        <f>HYPERLINK("https://www.boe.es/gazeta/dias/1806/11/14/pdfs/GMD-1806-93.pdf#page=9","Abrir facsímil")</f>
        <v>Abrir facsímil</v>
      </c>
      <c r="K4769" s="15" t="s">
        <v>22</v>
      </c>
    </row>
    <row r="4770" spans="1:11" ht="42" customHeight="1">
      <c r="A4770" s="4" t="s">
        <v>10543</v>
      </c>
      <c r="B4770" s="5" t="s">
        <v>10543</v>
      </c>
      <c r="C4770" s="5" t="s">
        <v>69</v>
      </c>
      <c r="D4770" s="5" t="s">
        <v>70</v>
      </c>
      <c r="E4770" s="5" t="s">
        <v>540</v>
      </c>
      <c r="F4770" s="9">
        <v>51</v>
      </c>
      <c r="G4770" s="9">
        <v>521</v>
      </c>
      <c r="H4770" s="5" t="s">
        <v>20</v>
      </c>
      <c r="I4770" s="5" t="s">
        <v>10544</v>
      </c>
      <c r="J4770" s="12" t="str">
        <f>HYPERLINK("https://www.boe.es/gazeta/dias/1806/06/20/pdfs/GMD-1806-51.pdf#page=1","Abrir facsímil")</f>
        <v>Abrir facsímil</v>
      </c>
      <c r="K4770" s="15" t="s">
        <v>22</v>
      </c>
    </row>
    <row r="4771" spans="1:11" ht="42" customHeight="1">
      <c r="A4771" s="4" t="s">
        <v>10545</v>
      </c>
      <c r="B4771" s="5" t="s">
        <v>10546</v>
      </c>
      <c r="C4771" s="5" t="s">
        <v>36</v>
      </c>
      <c r="D4771" s="5" t="s">
        <v>37</v>
      </c>
      <c r="E4771" s="5" t="s">
        <v>297</v>
      </c>
      <c r="F4771" s="9">
        <v>94</v>
      </c>
      <c r="G4771" s="9">
        <v>991</v>
      </c>
      <c r="H4771" s="5" t="s">
        <v>20</v>
      </c>
      <c r="I4771" s="5" t="s">
        <v>10547</v>
      </c>
      <c r="J4771" s="12" t="str">
        <f>HYPERLINK("https://www.boe.es/gazeta/dias/1806/11/18/pdfs/GMD-1806-94.pdf#page=11","Abrir facsímil")</f>
        <v>Abrir facsímil</v>
      </c>
      <c r="K4771" s="15" t="s">
        <v>22</v>
      </c>
    </row>
    <row r="4772" spans="1:11" ht="42" customHeight="1">
      <c r="A4772" s="4" t="s">
        <v>10548</v>
      </c>
      <c r="B4772" s="5" t="s">
        <v>10549</v>
      </c>
      <c r="C4772" s="5" t="s">
        <v>31</v>
      </c>
      <c r="D4772" s="5" t="s">
        <v>32</v>
      </c>
      <c r="E4772" s="5" t="s">
        <v>48</v>
      </c>
      <c r="F4772" s="9">
        <v>67</v>
      </c>
      <c r="G4772" s="9">
        <v>695</v>
      </c>
      <c r="H4772" s="5" t="s">
        <v>20</v>
      </c>
      <c r="I4772" s="5" t="s">
        <v>10550</v>
      </c>
      <c r="J4772" s="12" t="str">
        <f>HYPERLINK("https://www.boe.es/gazeta/dias/1806/08/15/pdfs/GMD-1806-67.pdf#page=3","Abrir facsímil")</f>
        <v>Abrir facsímil</v>
      </c>
      <c r="K4772" s="15" t="s">
        <v>22</v>
      </c>
    </row>
    <row r="4773" spans="1:11" ht="42" customHeight="1">
      <c r="A4773" s="4" t="s">
        <v>10551</v>
      </c>
      <c r="B4773" s="5" t="s">
        <v>10552</v>
      </c>
      <c r="C4773" s="5" t="s">
        <v>31</v>
      </c>
      <c r="D4773" s="5" t="s">
        <v>32</v>
      </c>
      <c r="E4773" s="5" t="s">
        <v>1005</v>
      </c>
      <c r="F4773" s="9">
        <v>76</v>
      </c>
      <c r="G4773" s="9">
        <v>782</v>
      </c>
      <c r="H4773" s="5" t="s">
        <v>20</v>
      </c>
      <c r="I4773" s="5" t="s">
        <v>10553</v>
      </c>
      <c r="J4773" s="12" t="str">
        <f>HYPERLINK("https://www.boe.es/gazeta/dias/1806/09/16/pdfs/GMD-1806-76.pdf#page=2","Abrir facsímil")</f>
        <v>Abrir facsímil</v>
      </c>
      <c r="K4773" s="15" t="s">
        <v>22</v>
      </c>
    </row>
    <row r="4774" spans="1:11" ht="42" customHeight="1">
      <c r="A4774" s="4" t="s">
        <v>10554</v>
      </c>
      <c r="B4774" s="5" t="s">
        <v>10555</v>
      </c>
      <c r="C4774" s="5" t="s">
        <v>31</v>
      </c>
      <c r="D4774" s="5" t="s">
        <v>32</v>
      </c>
      <c r="E4774" s="5" t="s">
        <v>1568</v>
      </c>
      <c r="F4774" s="9">
        <v>84</v>
      </c>
      <c r="G4774" s="9">
        <v>868</v>
      </c>
      <c r="H4774" s="5" t="s">
        <v>20</v>
      </c>
      <c r="I4774" s="5" t="s">
        <v>10556</v>
      </c>
      <c r="J4774" s="12" t="str">
        <f>HYPERLINK("https://www.boe.es/gazeta/dias/1806/10/14/pdfs/GMD-1806-84.pdf#page=4","Abrir facsímil")</f>
        <v>Abrir facsímil</v>
      </c>
      <c r="K4774" s="15" t="s">
        <v>22</v>
      </c>
    </row>
    <row r="4775" spans="1:11" ht="42" customHeight="1">
      <c r="A4775" s="4" t="s">
        <v>10554</v>
      </c>
      <c r="B4775" s="5" t="s">
        <v>10555</v>
      </c>
      <c r="C4775" s="5" t="s">
        <v>31</v>
      </c>
      <c r="D4775" s="5" t="s">
        <v>32</v>
      </c>
      <c r="E4775" s="5" t="s">
        <v>348</v>
      </c>
      <c r="F4775" s="9">
        <v>88</v>
      </c>
      <c r="G4775" s="9">
        <v>909</v>
      </c>
      <c r="H4775" s="5" t="s">
        <v>20</v>
      </c>
      <c r="I4775" s="5" t="s">
        <v>10557</v>
      </c>
      <c r="J4775" s="12" t="str">
        <f>HYPERLINK("https://www.boe.es/gazeta/dias/1806/10/28/pdfs/GMD-1806-88.pdf#page=5","Abrir facsímil")</f>
        <v>Abrir facsímil</v>
      </c>
      <c r="K4775" s="15" t="s">
        <v>22</v>
      </c>
    </row>
    <row r="4776" spans="1:11" ht="42" customHeight="1">
      <c r="A4776" s="4" t="s">
        <v>10554</v>
      </c>
      <c r="B4776" s="5" t="s">
        <v>10555</v>
      </c>
      <c r="C4776" s="5" t="s">
        <v>31</v>
      </c>
      <c r="D4776" s="5" t="s">
        <v>32</v>
      </c>
      <c r="E4776" s="5" t="s">
        <v>554</v>
      </c>
      <c r="F4776" s="9">
        <v>90</v>
      </c>
      <c r="G4776" s="9">
        <v>925</v>
      </c>
      <c r="H4776" s="5" t="s">
        <v>20</v>
      </c>
      <c r="I4776" s="5" t="s">
        <v>10558</v>
      </c>
      <c r="J4776" s="12" t="str">
        <f>HYPERLINK("https://www.boe.es/gazeta/dias/1806/11/04/pdfs/GMD-1806-90.pdf#page=1","Abrir facsímil")</f>
        <v>Abrir facsímil</v>
      </c>
      <c r="K4776" s="15" t="s">
        <v>22</v>
      </c>
    </row>
    <row r="4777" spans="1:11" ht="42" customHeight="1">
      <c r="A4777" s="4" t="s">
        <v>10559</v>
      </c>
      <c r="B4777" s="5" t="s">
        <v>10560</v>
      </c>
      <c r="C4777" s="5" t="s">
        <v>31</v>
      </c>
      <c r="D4777" s="5" t="s">
        <v>32</v>
      </c>
      <c r="E4777" s="5" t="s">
        <v>810</v>
      </c>
      <c r="F4777" s="9">
        <v>71</v>
      </c>
      <c r="G4777" s="9">
        <v>738</v>
      </c>
      <c r="H4777" s="5" t="s">
        <v>20</v>
      </c>
      <c r="I4777" s="5" t="s">
        <v>10561</v>
      </c>
      <c r="J4777" s="12" t="str">
        <f>HYPERLINK("https://www.boe.es/gazeta/dias/1806/08/29/pdfs/GMD-1806-71.pdf#page=6","Abrir facsímil")</f>
        <v>Abrir facsímil</v>
      </c>
      <c r="K4777" s="15" t="s">
        <v>22</v>
      </c>
    </row>
    <row r="4778" spans="1:11" ht="42" customHeight="1">
      <c r="A4778" s="4" t="s">
        <v>10559</v>
      </c>
      <c r="B4778" s="5" t="s">
        <v>10560</v>
      </c>
      <c r="C4778" s="5" t="s">
        <v>31</v>
      </c>
      <c r="D4778" s="5" t="s">
        <v>32</v>
      </c>
      <c r="E4778" s="5" t="s">
        <v>213</v>
      </c>
      <c r="F4778" s="9">
        <v>73</v>
      </c>
      <c r="G4778" s="9">
        <v>754</v>
      </c>
      <c r="H4778" s="5" t="s">
        <v>20</v>
      </c>
      <c r="I4778" s="5" t="s">
        <v>10562</v>
      </c>
      <c r="J4778" s="12" t="str">
        <f>HYPERLINK("https://www.boe.es/gazeta/dias/1806/09/05/pdfs/GMD-1806-73.pdf#page=2","Abrir facsímil")</f>
        <v>Abrir facsímil</v>
      </c>
      <c r="K4778" s="15" t="s">
        <v>22</v>
      </c>
    </row>
    <row r="4779" spans="1:11" ht="42" customHeight="1">
      <c r="A4779" s="4" t="s">
        <v>10559</v>
      </c>
      <c r="B4779" s="5" t="s">
        <v>10560</v>
      </c>
      <c r="C4779" s="5" t="s">
        <v>42</v>
      </c>
      <c r="D4779" s="5" t="s">
        <v>43</v>
      </c>
      <c r="E4779" s="5" t="s">
        <v>301</v>
      </c>
      <c r="F4779" s="9">
        <v>75</v>
      </c>
      <c r="G4779" s="9">
        <v>776</v>
      </c>
      <c r="H4779" s="5" t="s">
        <v>20</v>
      </c>
      <c r="I4779" s="5" t="s">
        <v>10563</v>
      </c>
      <c r="J4779" s="12" t="str">
        <f>HYPERLINK("https://www.boe.es/gazeta/dias/1806/09/12/pdfs/GMD-1806-75.pdf#page=8","Abrir facsímil")</f>
        <v>Abrir facsímil</v>
      </c>
      <c r="K4779" s="15" t="s">
        <v>22</v>
      </c>
    </row>
    <row r="4780" spans="1:11" ht="42" customHeight="1">
      <c r="A4780" s="4" t="s">
        <v>10559</v>
      </c>
      <c r="B4780" s="5" t="s">
        <v>10560</v>
      </c>
      <c r="C4780" s="5" t="s">
        <v>31</v>
      </c>
      <c r="D4780" s="5" t="s">
        <v>32</v>
      </c>
      <c r="E4780" s="5" t="s">
        <v>127</v>
      </c>
      <c r="F4780" s="9">
        <v>81</v>
      </c>
      <c r="G4780" s="9">
        <v>834</v>
      </c>
      <c r="H4780" s="5" t="s">
        <v>20</v>
      </c>
      <c r="I4780" s="5" t="s">
        <v>10564</v>
      </c>
      <c r="J4780" s="12" t="str">
        <f>HYPERLINK("https://www.boe.es/gazeta/dias/1806/10/03/pdfs/GMD-1806-81.pdf#page=2","Abrir facsímil")</f>
        <v>Abrir facsímil</v>
      </c>
      <c r="K4780" s="15" t="s">
        <v>22</v>
      </c>
    </row>
    <row r="4781" spans="1:11" ht="42" customHeight="1">
      <c r="A4781" s="4" t="s">
        <v>10559</v>
      </c>
      <c r="B4781" s="5" t="s">
        <v>10560</v>
      </c>
      <c r="C4781" s="5" t="s">
        <v>69</v>
      </c>
      <c r="D4781" s="5" t="s">
        <v>70</v>
      </c>
      <c r="E4781" s="5" t="s">
        <v>127</v>
      </c>
      <c r="F4781" s="9">
        <v>81</v>
      </c>
      <c r="G4781" s="9">
        <v>835</v>
      </c>
      <c r="H4781" s="5" t="s">
        <v>20</v>
      </c>
      <c r="I4781" s="5" t="s">
        <v>10565</v>
      </c>
      <c r="J4781" s="12" t="str">
        <f>HYPERLINK("https://www.boe.es/gazeta/dias/1806/10/03/pdfs/GMD-1806-81.pdf#page=3","Abrir facsímil")</f>
        <v>Abrir facsímil</v>
      </c>
      <c r="K4781" s="15" t="s">
        <v>22</v>
      </c>
    </row>
    <row r="4782" spans="1:11" ht="42" customHeight="1">
      <c r="A4782" s="4" t="s">
        <v>10559</v>
      </c>
      <c r="B4782" s="5" t="s">
        <v>10560</v>
      </c>
      <c r="C4782" s="5" t="s">
        <v>31</v>
      </c>
      <c r="D4782" s="5" t="s">
        <v>32</v>
      </c>
      <c r="E4782" s="5" t="s">
        <v>1568</v>
      </c>
      <c r="F4782" s="9">
        <v>84</v>
      </c>
      <c r="G4782" s="9">
        <v>870</v>
      </c>
      <c r="H4782" s="5" t="s">
        <v>20</v>
      </c>
      <c r="I4782" s="5" t="s">
        <v>10566</v>
      </c>
      <c r="J4782" s="12" t="str">
        <f>HYPERLINK("https://www.boe.es/gazeta/dias/1806/10/14/pdfs/GMD-1806-84.pdf#page=6","Abrir facsímil")</f>
        <v>Abrir facsímil</v>
      </c>
      <c r="K4782" s="15" t="s">
        <v>22</v>
      </c>
    </row>
    <row r="4783" spans="1:11" ht="42" customHeight="1">
      <c r="A4783" s="4" t="s">
        <v>10559</v>
      </c>
      <c r="B4783" s="5" t="s">
        <v>10560</v>
      </c>
      <c r="C4783" s="5" t="s">
        <v>69</v>
      </c>
      <c r="D4783" s="5" t="s">
        <v>70</v>
      </c>
      <c r="E4783" s="5" t="s">
        <v>455</v>
      </c>
      <c r="F4783" s="9">
        <v>85</v>
      </c>
      <c r="G4783" s="9">
        <v>875</v>
      </c>
      <c r="H4783" s="5" t="s">
        <v>20</v>
      </c>
      <c r="I4783" s="5" t="s">
        <v>10567</v>
      </c>
      <c r="J4783" s="12" t="str">
        <f>HYPERLINK("https://www.boe.es/gazeta/dias/1806/10/17/pdfs/GMD-1806-85.pdf#page=3","Abrir facsímil")</f>
        <v>Abrir facsímil</v>
      </c>
      <c r="K4783" s="15" t="s">
        <v>22</v>
      </c>
    </row>
    <row r="4784" spans="1:11" ht="42" customHeight="1">
      <c r="A4784" s="4" t="s">
        <v>10559</v>
      </c>
      <c r="B4784" s="5" t="s">
        <v>10560</v>
      </c>
      <c r="C4784" s="5" t="s">
        <v>69</v>
      </c>
      <c r="D4784" s="5" t="s">
        <v>70</v>
      </c>
      <c r="E4784" s="5" t="s">
        <v>455</v>
      </c>
      <c r="F4784" s="9">
        <v>85</v>
      </c>
      <c r="G4784" s="9">
        <v>876</v>
      </c>
      <c r="H4784" s="5" t="s">
        <v>20</v>
      </c>
      <c r="I4784" s="5" t="s">
        <v>10568</v>
      </c>
      <c r="J4784" s="12" t="str">
        <f>HYPERLINK("https://www.boe.es/gazeta/dias/1806/10/17/pdfs/GMD-1806-85.pdf#page=4","Abrir facsímil")</f>
        <v>Abrir facsímil</v>
      </c>
      <c r="K4784" s="15" t="s">
        <v>22</v>
      </c>
    </row>
    <row r="4785" spans="1:11" ht="42" customHeight="1">
      <c r="A4785" s="4" t="s">
        <v>10559</v>
      </c>
      <c r="B4785" s="5" t="s">
        <v>10560</v>
      </c>
      <c r="C4785" s="5" t="s">
        <v>69</v>
      </c>
      <c r="D4785" s="5" t="s">
        <v>70</v>
      </c>
      <c r="E4785" s="5" t="s">
        <v>816</v>
      </c>
      <c r="F4785" s="9">
        <v>86</v>
      </c>
      <c r="G4785" s="9">
        <v>888</v>
      </c>
      <c r="H4785" s="5" t="s">
        <v>20</v>
      </c>
      <c r="I4785" s="5" t="s">
        <v>10569</v>
      </c>
      <c r="J4785" s="12" t="str">
        <f>HYPERLINK("https://www.boe.es/gazeta/dias/1806/10/21/pdfs/GMD-1806-86.pdf#page=4","Abrir facsímil")</f>
        <v>Abrir facsímil</v>
      </c>
      <c r="K4785" s="15" t="s">
        <v>22</v>
      </c>
    </row>
    <row r="4786" spans="1:11" ht="42" customHeight="1">
      <c r="A4786" s="4" t="s">
        <v>10559</v>
      </c>
      <c r="B4786" s="5" t="s">
        <v>10560</v>
      </c>
      <c r="C4786" s="5" t="s">
        <v>31</v>
      </c>
      <c r="D4786" s="5" t="s">
        <v>32</v>
      </c>
      <c r="E4786" s="5" t="s">
        <v>816</v>
      </c>
      <c r="F4786" s="9">
        <v>86</v>
      </c>
      <c r="G4786" s="9">
        <v>891</v>
      </c>
      <c r="H4786" s="5" t="s">
        <v>20</v>
      </c>
      <c r="I4786" s="5" t="s">
        <v>10570</v>
      </c>
      <c r="J4786" s="12" t="str">
        <f>HYPERLINK("https://www.boe.es/gazeta/dias/1806/10/21/pdfs/GMD-1806-86.pdf#page=7","Abrir facsímil")</f>
        <v>Abrir facsímil</v>
      </c>
      <c r="K4786" s="15" t="s">
        <v>22</v>
      </c>
    </row>
    <row r="4787" spans="1:11" ht="42" customHeight="1">
      <c r="A4787" s="4" t="s">
        <v>10559</v>
      </c>
      <c r="B4787" s="5" t="s">
        <v>10560</v>
      </c>
      <c r="C4787" s="5" t="s">
        <v>31</v>
      </c>
      <c r="D4787" s="5" t="s">
        <v>32</v>
      </c>
      <c r="E4787" s="5" t="s">
        <v>297</v>
      </c>
      <c r="F4787" s="9">
        <v>94</v>
      </c>
      <c r="G4787" s="9">
        <v>981</v>
      </c>
      <c r="H4787" s="5" t="s">
        <v>20</v>
      </c>
      <c r="I4787" s="5" t="s">
        <v>10571</v>
      </c>
      <c r="J4787" s="12" t="str">
        <f>HYPERLINK("https://www.boe.es/gazeta/dias/1806/11/18/pdfs/GMD-1806-94.pdf#page=1","Abrir facsímil")</f>
        <v>Abrir facsímil</v>
      </c>
      <c r="K4787" s="15" t="s">
        <v>22</v>
      </c>
    </row>
    <row r="4788" spans="1:11" ht="42" customHeight="1">
      <c r="A4788" s="4" t="s">
        <v>10559</v>
      </c>
      <c r="B4788" s="5" t="s">
        <v>10560</v>
      </c>
      <c r="C4788" s="5" t="s">
        <v>69</v>
      </c>
      <c r="D4788" s="5" t="s">
        <v>70</v>
      </c>
      <c r="E4788" s="5" t="s">
        <v>191</v>
      </c>
      <c r="F4788" s="9">
        <v>103</v>
      </c>
      <c r="G4788" s="9">
        <v>1092</v>
      </c>
      <c r="H4788" s="5" t="s">
        <v>20</v>
      </c>
      <c r="I4788" s="5" t="s">
        <v>10572</v>
      </c>
      <c r="J4788" s="12" t="str">
        <f>HYPERLINK("https://www.boe.es/gazeta/dias/1806/12/19/pdfs/GMD-1806-103.pdf#page=4","Abrir facsímil")</f>
        <v>Abrir facsímil</v>
      </c>
      <c r="K4788" s="15" t="s">
        <v>22</v>
      </c>
    </row>
    <row r="4789" spans="1:11" ht="42" customHeight="1">
      <c r="A4789" s="4" t="s">
        <v>10573</v>
      </c>
      <c r="B4789" s="5" t="s">
        <v>10574</v>
      </c>
      <c r="C4789" s="5" t="s">
        <v>31</v>
      </c>
      <c r="D4789" s="5" t="s">
        <v>32</v>
      </c>
      <c r="E4789" s="5" t="s">
        <v>144</v>
      </c>
      <c r="F4789" s="9">
        <v>79</v>
      </c>
      <c r="G4789" s="9">
        <v>813</v>
      </c>
      <c r="H4789" s="5" t="s">
        <v>20</v>
      </c>
      <c r="I4789" s="5" t="s">
        <v>10575</v>
      </c>
      <c r="J4789" s="12" t="str">
        <f>HYPERLINK("https://www.boe.es/gazeta/dias/1806/09/26/pdfs/GMD-1806-79.pdf#page=5","Abrir facsímil")</f>
        <v>Abrir facsímil</v>
      </c>
      <c r="K4789" s="15" t="s">
        <v>22</v>
      </c>
    </row>
    <row r="4790" spans="1:11" ht="42" customHeight="1">
      <c r="A4790" s="4" t="s">
        <v>10576</v>
      </c>
      <c r="B4790" s="5" t="s">
        <v>10577</v>
      </c>
      <c r="C4790" s="5" t="s">
        <v>31</v>
      </c>
      <c r="D4790" s="5" t="s">
        <v>32</v>
      </c>
      <c r="E4790" s="5" t="s">
        <v>209</v>
      </c>
      <c r="F4790" s="9">
        <v>95</v>
      </c>
      <c r="G4790" s="9">
        <v>993</v>
      </c>
      <c r="H4790" s="5" t="s">
        <v>20</v>
      </c>
      <c r="I4790" s="5" t="s">
        <v>10578</v>
      </c>
      <c r="J4790" s="12" t="str">
        <f>HYPERLINK("https://www.boe.es/gazeta/dias/1806/11/21/pdfs/GMD-1806-95.pdf#page=1","Abrir facsímil")</f>
        <v>Abrir facsímil</v>
      </c>
      <c r="K4790" s="15" t="s">
        <v>22</v>
      </c>
    </row>
    <row r="4791" spans="1:11" ht="42" customHeight="1">
      <c r="A4791" s="4" t="s">
        <v>10579</v>
      </c>
      <c r="B4791" s="5" t="s">
        <v>10580</v>
      </c>
      <c r="C4791" s="5" t="s">
        <v>69</v>
      </c>
      <c r="D4791" s="5" t="s">
        <v>70</v>
      </c>
      <c r="E4791" s="5" t="s">
        <v>165</v>
      </c>
      <c r="F4791" s="9">
        <v>101</v>
      </c>
      <c r="G4791" s="9">
        <v>1070</v>
      </c>
      <c r="H4791" s="5" t="s">
        <v>20</v>
      </c>
      <c r="I4791" s="5" t="s">
        <v>10581</v>
      </c>
      <c r="J4791" s="12" t="str">
        <f>HYPERLINK("https://www.boe.es/gazeta/dias/1806/12/12/pdfs/GMD-1806-101.pdf#page=2","Abrir facsímil")</f>
        <v>Abrir facsímil</v>
      </c>
      <c r="K4791" s="15" t="s">
        <v>22</v>
      </c>
    </row>
    <row r="4792" spans="1:11" ht="42" customHeight="1">
      <c r="A4792" s="4" t="s">
        <v>10582</v>
      </c>
      <c r="B4792" s="5" t="s">
        <v>10583</v>
      </c>
      <c r="C4792" s="5" t="s">
        <v>69</v>
      </c>
      <c r="D4792" s="5" t="s">
        <v>70</v>
      </c>
      <c r="E4792" s="5" t="s">
        <v>38</v>
      </c>
      <c r="F4792" s="9">
        <v>92</v>
      </c>
      <c r="G4792" s="9">
        <v>950</v>
      </c>
      <c r="H4792" s="5" t="s">
        <v>20</v>
      </c>
      <c r="I4792" s="5" t="s">
        <v>10584</v>
      </c>
      <c r="J4792" s="12" t="str">
        <f>HYPERLINK("https://www.boe.es/gazeta/dias/1806/11/11/pdfs/GMD-1806-92.pdf#page=2","Abrir facsímil")</f>
        <v>Abrir facsímil</v>
      </c>
      <c r="K4792" s="15" t="s">
        <v>22</v>
      </c>
    </row>
    <row r="4793" spans="1:11" ht="42" customHeight="1">
      <c r="A4793" s="4" t="s">
        <v>10585</v>
      </c>
      <c r="B4793" s="5" t="s">
        <v>10586</v>
      </c>
      <c r="C4793" s="5" t="s">
        <v>69</v>
      </c>
      <c r="D4793" s="5" t="s">
        <v>70</v>
      </c>
      <c r="E4793" s="5" t="s">
        <v>554</v>
      </c>
      <c r="F4793" s="9">
        <v>90</v>
      </c>
      <c r="G4793" s="9">
        <v>928</v>
      </c>
      <c r="H4793" s="5" t="s">
        <v>20</v>
      </c>
      <c r="I4793" s="5" t="s">
        <v>10587</v>
      </c>
      <c r="J4793" s="12" t="str">
        <f>HYPERLINK("https://www.boe.es/gazeta/dias/1806/11/04/pdfs/GMD-1806-90.pdf#page=4","Abrir facsímil")</f>
        <v>Abrir facsímil</v>
      </c>
      <c r="K4793" s="15" t="s">
        <v>22</v>
      </c>
    </row>
    <row r="4794" spans="1:11" ht="42" customHeight="1">
      <c r="A4794" s="4" t="s">
        <v>10585</v>
      </c>
      <c r="B4794" s="5" t="s">
        <v>10586</v>
      </c>
      <c r="C4794" s="5" t="s">
        <v>31</v>
      </c>
      <c r="D4794" s="5" t="s">
        <v>32</v>
      </c>
      <c r="E4794" s="5" t="s">
        <v>554</v>
      </c>
      <c r="F4794" s="9">
        <v>90</v>
      </c>
      <c r="G4794" s="9">
        <v>929</v>
      </c>
      <c r="H4794" s="5" t="s">
        <v>20</v>
      </c>
      <c r="I4794" s="5" t="s">
        <v>10588</v>
      </c>
      <c r="J4794" s="12" t="str">
        <f>HYPERLINK("https://www.boe.es/gazeta/dias/1806/11/04/pdfs/GMD-1806-90.pdf#page=5","Abrir facsímil")</f>
        <v>Abrir facsímil</v>
      </c>
      <c r="K4794" s="15" t="s">
        <v>22</v>
      </c>
    </row>
    <row r="4795" spans="1:11" ht="42" customHeight="1">
      <c r="A4795" s="4" t="s">
        <v>10589</v>
      </c>
      <c r="B4795" s="5" t="s">
        <v>10590</v>
      </c>
      <c r="C4795" s="5" t="s">
        <v>31</v>
      </c>
      <c r="D4795" s="5" t="s">
        <v>32</v>
      </c>
      <c r="E4795" s="5" t="s">
        <v>285</v>
      </c>
      <c r="F4795" s="9">
        <v>13</v>
      </c>
      <c r="G4795" s="9">
        <v>110</v>
      </c>
      <c r="H4795" s="5" t="s">
        <v>20</v>
      </c>
      <c r="I4795" s="5" t="s">
        <v>10591</v>
      </c>
      <c r="J4795" s="12" t="str">
        <f>HYPERLINK("https://www.boe.es/gazeta/dias/1806/02/07/pdfs/GMD-1806-13.pdf#page=2","Abrir facsímil")</f>
        <v>Abrir facsímil</v>
      </c>
      <c r="K4795" s="15" t="s">
        <v>22</v>
      </c>
    </row>
    <row r="4796" spans="1:11" ht="42" customHeight="1">
      <c r="A4796" s="4" t="s">
        <v>10592</v>
      </c>
      <c r="B4796" s="5" t="s">
        <v>10593</v>
      </c>
      <c r="C4796" s="5" t="s">
        <v>69</v>
      </c>
      <c r="D4796" s="5" t="s">
        <v>70</v>
      </c>
      <c r="E4796" s="5" t="s">
        <v>118</v>
      </c>
      <c r="F4796" s="9">
        <v>15</v>
      </c>
      <c r="G4796" s="9">
        <v>128</v>
      </c>
      <c r="H4796" s="5" t="s">
        <v>20</v>
      </c>
      <c r="I4796" s="5" t="s">
        <v>10594</v>
      </c>
      <c r="J4796" s="12" t="str">
        <f>HYPERLINK("https://www.boe.es/gazeta/dias/1806/02/14/pdfs/GMD-1806-15.pdf#page=4","Abrir facsímil")</f>
        <v>Abrir facsímil</v>
      </c>
      <c r="K4796" s="15" t="s">
        <v>22</v>
      </c>
    </row>
    <row r="4797" spans="1:11" ht="42" customHeight="1">
      <c r="A4797" s="4" t="s">
        <v>10595</v>
      </c>
      <c r="B4797" s="5" t="s">
        <v>10596</v>
      </c>
      <c r="C4797" s="5" t="s">
        <v>69</v>
      </c>
      <c r="D4797" s="5" t="s">
        <v>70</v>
      </c>
      <c r="E4797" s="5" t="s">
        <v>140</v>
      </c>
      <c r="F4797" s="9">
        <v>83</v>
      </c>
      <c r="G4797" s="9">
        <v>855</v>
      </c>
      <c r="H4797" s="5" t="s">
        <v>20</v>
      </c>
      <c r="I4797" s="5" t="s">
        <v>10597</v>
      </c>
      <c r="J4797" s="12" t="str">
        <f>HYPERLINK("https://www.boe.es/gazeta/dias/1806/10/10/pdfs/GMD-1806-83.pdf#page=3","Abrir facsímil")</f>
        <v>Abrir facsímil</v>
      </c>
      <c r="K4797" s="15" t="s">
        <v>22</v>
      </c>
    </row>
    <row r="4798" spans="1:11" ht="42" customHeight="1">
      <c r="A4798" s="4" t="s">
        <v>10598</v>
      </c>
      <c r="B4798" s="5" t="s">
        <v>10599</v>
      </c>
      <c r="C4798" s="5" t="s">
        <v>69</v>
      </c>
      <c r="D4798" s="5" t="s">
        <v>70</v>
      </c>
      <c r="E4798" s="5" t="s">
        <v>113</v>
      </c>
      <c r="F4798" s="9">
        <v>28</v>
      </c>
      <c r="G4798" s="9">
        <v>273</v>
      </c>
      <c r="H4798" s="5" t="s">
        <v>20</v>
      </c>
      <c r="I4798" s="5" t="s">
        <v>10600</v>
      </c>
      <c r="J4798" s="12" t="str">
        <f>HYPERLINK("https://www.boe.es/gazeta/dias/1806/04/01/pdfs/GMD-1806-28.pdf#page=1","Abrir facsímil")</f>
        <v>Abrir facsímil</v>
      </c>
      <c r="K4798" s="15" t="s">
        <v>22</v>
      </c>
    </row>
    <row r="4799" spans="1:11" ht="42" customHeight="1">
      <c r="A4799" s="4" t="s">
        <v>10601</v>
      </c>
      <c r="B4799" s="5" t="s">
        <v>10602</v>
      </c>
      <c r="C4799" s="5" t="s">
        <v>69</v>
      </c>
      <c r="D4799" s="5" t="s">
        <v>70</v>
      </c>
      <c r="E4799" s="5" t="s">
        <v>297</v>
      </c>
      <c r="F4799" s="9">
        <v>94</v>
      </c>
      <c r="G4799" s="9">
        <v>985</v>
      </c>
      <c r="H4799" s="5" t="s">
        <v>20</v>
      </c>
      <c r="I4799" s="5" t="s">
        <v>10603</v>
      </c>
      <c r="J4799" s="12" t="str">
        <f>HYPERLINK("https://www.boe.es/gazeta/dias/1806/11/18/pdfs/GMD-1806-94.pdf#page=5","Abrir facsímil")</f>
        <v>Abrir facsímil</v>
      </c>
      <c r="K4799" s="15" t="s">
        <v>22</v>
      </c>
    </row>
    <row r="4800" spans="1:11" ht="42" customHeight="1">
      <c r="A4800" s="4" t="s">
        <v>10604</v>
      </c>
      <c r="B4800" s="5" t="s">
        <v>10605</v>
      </c>
      <c r="C4800" s="5" t="s">
        <v>69</v>
      </c>
      <c r="D4800" s="5" t="s">
        <v>70</v>
      </c>
      <c r="E4800" s="5" t="s">
        <v>570</v>
      </c>
      <c r="F4800" s="9">
        <v>93</v>
      </c>
      <c r="G4800" s="9">
        <v>971</v>
      </c>
      <c r="H4800" s="5" t="s">
        <v>20</v>
      </c>
      <c r="I4800" s="5" t="s">
        <v>10606</v>
      </c>
      <c r="J4800" s="12" t="str">
        <f>HYPERLINK("https://www.boe.es/gazeta/dias/1806/11/14/pdfs/GMD-1806-93.pdf#page=7","Abrir facsímil")</f>
        <v>Abrir facsímil</v>
      </c>
      <c r="K4800" s="15" t="s">
        <v>22</v>
      </c>
    </row>
    <row r="4801" spans="1:11" ht="42" customHeight="1">
      <c r="A4801" s="4" t="s">
        <v>10607</v>
      </c>
      <c r="B4801" s="5" t="s">
        <v>10608</v>
      </c>
      <c r="C4801" s="5" t="s">
        <v>36</v>
      </c>
      <c r="D4801" s="5" t="s">
        <v>37</v>
      </c>
      <c r="E4801" s="5" t="s">
        <v>161</v>
      </c>
      <c r="F4801" s="9">
        <v>11</v>
      </c>
      <c r="G4801" s="9">
        <v>98</v>
      </c>
      <c r="H4801" s="5" t="s">
        <v>20</v>
      </c>
      <c r="I4801" s="5" t="s">
        <v>10609</v>
      </c>
      <c r="J4801" s="12" t="str">
        <f>HYPERLINK("https://www.boe.es/gazeta/dias/1806/01/31/pdfs/GMD-1806-11.pdf#page=6","Abrir facsímil")</f>
        <v>Abrir facsímil</v>
      </c>
      <c r="K4801" s="15" t="s">
        <v>22</v>
      </c>
    </row>
    <row r="4802" spans="1:11" ht="42" customHeight="1">
      <c r="A4802" s="4" t="s">
        <v>10607</v>
      </c>
      <c r="B4802" s="5" t="s">
        <v>10608</v>
      </c>
      <c r="C4802" s="5" t="s">
        <v>17</v>
      </c>
      <c r="D4802" s="5" t="s">
        <v>18</v>
      </c>
      <c r="E4802" s="5" t="s">
        <v>175</v>
      </c>
      <c r="F4802" s="9">
        <v>40</v>
      </c>
      <c r="G4802" s="9">
        <v>399</v>
      </c>
      <c r="H4802" s="5" t="s">
        <v>20</v>
      </c>
      <c r="I4802" s="5" t="s">
        <v>10610</v>
      </c>
      <c r="J4802" s="12" t="str">
        <f>HYPERLINK("https://www.boe.es/gazeta/dias/1806/05/13/pdfs/GMD-1806-40.pdf#page=11","Abrir facsímil")</f>
        <v>Abrir facsímil</v>
      </c>
      <c r="K4802" s="15" t="s">
        <v>22</v>
      </c>
    </row>
    <row r="4803" spans="1:11" ht="42" customHeight="1">
      <c r="A4803" s="4" t="s">
        <v>10607</v>
      </c>
      <c r="B4803" s="5" t="s">
        <v>10608</v>
      </c>
      <c r="C4803" s="5" t="s">
        <v>36</v>
      </c>
      <c r="D4803" s="5" t="s">
        <v>37</v>
      </c>
      <c r="E4803" s="5" t="s">
        <v>140</v>
      </c>
      <c r="F4803" s="9">
        <v>83</v>
      </c>
      <c r="G4803" s="9">
        <v>864</v>
      </c>
      <c r="H4803" s="5" t="s">
        <v>20</v>
      </c>
      <c r="I4803" s="5" t="s">
        <v>10611</v>
      </c>
      <c r="J4803" s="12" t="str">
        <f>HYPERLINK("https://www.boe.es/gazeta/dias/1806/10/10/pdfs/GMD-1806-83.pdf#page=12","Abrir facsímil")</f>
        <v>Abrir facsímil</v>
      </c>
      <c r="K4803" s="15" t="s">
        <v>22</v>
      </c>
    </row>
    <row r="4804" spans="1:11" ht="42" customHeight="1">
      <c r="A4804" s="4" t="s">
        <v>10612</v>
      </c>
      <c r="B4804" s="5" t="s">
        <v>10613</v>
      </c>
      <c r="C4804" s="5" t="s">
        <v>31</v>
      </c>
      <c r="D4804" s="5" t="s">
        <v>32</v>
      </c>
      <c r="E4804" s="5" t="s">
        <v>148</v>
      </c>
      <c r="F4804" s="9">
        <v>78</v>
      </c>
      <c r="G4804" s="9">
        <v>808</v>
      </c>
      <c r="H4804" s="5" t="s">
        <v>20</v>
      </c>
      <c r="I4804" s="5" t="s">
        <v>10614</v>
      </c>
      <c r="J4804" s="12" t="str">
        <f>HYPERLINK("https://www.boe.es/gazeta/dias/1806/09/23/pdfs/GMD-1806-78.pdf#page=12","Abrir facsímil")</f>
        <v>Abrir facsímil</v>
      </c>
      <c r="K4804" s="15" t="s">
        <v>22</v>
      </c>
    </row>
    <row r="4805" spans="1:11" ht="42" customHeight="1">
      <c r="A4805" s="4" t="s">
        <v>10615</v>
      </c>
      <c r="B4805" s="5" t="s">
        <v>10615</v>
      </c>
      <c r="C4805" s="5" t="s">
        <v>75</v>
      </c>
      <c r="D4805" s="5" t="s">
        <v>43</v>
      </c>
      <c r="E4805" s="5" t="s">
        <v>259</v>
      </c>
      <c r="F4805" s="9">
        <v>34</v>
      </c>
      <c r="G4805" s="9">
        <v>335</v>
      </c>
      <c r="H4805" s="5" t="s">
        <v>20</v>
      </c>
      <c r="I4805" s="5" t="s">
        <v>10616</v>
      </c>
      <c r="J4805" s="12" t="str">
        <f>HYPERLINK("https://www.boe.es/gazeta/dias/1806/04/22/pdfs/GMD-1806-34.pdf#page=7","Abrir facsímil")</f>
        <v>Abrir facsímil</v>
      </c>
      <c r="K4805" s="15" t="s">
        <v>22</v>
      </c>
    </row>
    <row r="4806" spans="1:11" ht="42" customHeight="1">
      <c r="A4806" s="4" t="s">
        <v>10617</v>
      </c>
      <c r="B4806" s="5" t="s">
        <v>10618</v>
      </c>
      <c r="C4806" s="5" t="s">
        <v>69</v>
      </c>
      <c r="D4806" s="5" t="s">
        <v>70</v>
      </c>
      <c r="E4806" s="5" t="s">
        <v>657</v>
      </c>
      <c r="F4806" s="9">
        <v>96</v>
      </c>
      <c r="G4806" s="9">
        <v>1015</v>
      </c>
      <c r="H4806" s="5" t="s">
        <v>20</v>
      </c>
      <c r="I4806" s="5" t="s">
        <v>10619</v>
      </c>
      <c r="J4806" s="12" t="str">
        <f>HYPERLINK("https://www.boe.es/gazeta/dias/1806/11/25/pdfs/GMD-1806-96.pdf#page=7","Abrir facsímil")</f>
        <v>Abrir facsímil</v>
      </c>
      <c r="K4806" s="15" t="s">
        <v>22</v>
      </c>
    </row>
    <row r="4807" spans="1:11" ht="42" customHeight="1">
      <c r="A4807" s="4" t="s">
        <v>10617</v>
      </c>
      <c r="B4807" s="5" t="s">
        <v>10618</v>
      </c>
      <c r="C4807" s="5" t="s">
        <v>69</v>
      </c>
      <c r="D4807" s="5" t="s">
        <v>70</v>
      </c>
      <c r="E4807" s="5" t="s">
        <v>657</v>
      </c>
      <c r="F4807" s="9">
        <v>96</v>
      </c>
      <c r="G4807" s="9">
        <v>1017</v>
      </c>
      <c r="H4807" s="5" t="s">
        <v>20</v>
      </c>
      <c r="I4807" s="5" t="s">
        <v>10620</v>
      </c>
      <c r="J4807" s="12" t="str">
        <f>HYPERLINK("https://www.boe.es/gazeta/dias/1806/11/25/pdfs/GMD-1806-96.pdf#page=9","Abrir facsímil")</f>
        <v>Abrir facsímil</v>
      </c>
      <c r="K4807" s="15" t="s">
        <v>22</v>
      </c>
    </row>
    <row r="4808" spans="1:11" ht="42" customHeight="1">
      <c r="A4808" s="4" t="s">
        <v>10621</v>
      </c>
      <c r="B4808" s="5" t="s">
        <v>10622</v>
      </c>
      <c r="C4808" s="5" t="s">
        <v>69</v>
      </c>
      <c r="D4808" s="5" t="s">
        <v>70</v>
      </c>
      <c r="E4808" s="5" t="s">
        <v>38</v>
      </c>
      <c r="F4808" s="9">
        <v>92</v>
      </c>
      <c r="G4808" s="9">
        <v>959</v>
      </c>
      <c r="H4808" s="5" t="s">
        <v>20</v>
      </c>
      <c r="I4808" s="5" t="s">
        <v>10623</v>
      </c>
      <c r="J4808" s="12" t="str">
        <f>HYPERLINK("https://www.boe.es/gazeta/dias/1806/11/11/pdfs/GMD-1806-92.pdf#page=11","Abrir facsímil")</f>
        <v>Abrir facsímil</v>
      </c>
      <c r="K4808" s="15" t="s">
        <v>22</v>
      </c>
    </row>
    <row r="4809" spans="1:11" ht="42" customHeight="1">
      <c r="A4809" s="4" t="s">
        <v>10624</v>
      </c>
      <c r="B4809" s="5" t="s">
        <v>10625</v>
      </c>
      <c r="C4809" s="5" t="s">
        <v>31</v>
      </c>
      <c r="D4809" s="5" t="s">
        <v>32</v>
      </c>
      <c r="E4809" s="5" t="s">
        <v>181</v>
      </c>
      <c r="F4809" s="9">
        <v>99</v>
      </c>
      <c r="G4809" s="9">
        <v>1049</v>
      </c>
      <c r="H4809" s="5" t="s">
        <v>20</v>
      </c>
      <c r="I4809" s="5" t="s">
        <v>10626</v>
      </c>
      <c r="J4809" s="12" t="str">
        <f>HYPERLINK("https://www.boe.es/gazeta/dias/1806/12/05/pdfs/GMD-1806-99.pdf#page=5","Abrir facsímil")</f>
        <v>Abrir facsímil</v>
      </c>
      <c r="K4809" s="15" t="s">
        <v>22</v>
      </c>
    </row>
    <row r="4810" spans="1:11" ht="42" customHeight="1">
      <c r="A4810" s="4" t="s">
        <v>10627</v>
      </c>
      <c r="B4810" s="5" t="s">
        <v>10628</v>
      </c>
      <c r="C4810" s="5" t="s">
        <v>17</v>
      </c>
      <c r="D4810" s="5" t="s">
        <v>18</v>
      </c>
      <c r="E4810" s="5" t="s">
        <v>76</v>
      </c>
      <c r="F4810" s="9">
        <v>98</v>
      </c>
      <c r="G4810" s="9">
        <v>1035</v>
      </c>
      <c r="H4810" s="5" t="s">
        <v>20</v>
      </c>
      <c r="I4810" s="5" t="s">
        <v>10629</v>
      </c>
      <c r="J4810" s="12" t="str">
        <f>HYPERLINK("https://www.boe.es/gazeta/dias/1806/12/02/pdfs/GMD-1806-98.pdf#page=3","Abrir facsímil")</f>
        <v>Abrir facsímil</v>
      </c>
      <c r="K4810" s="15" t="s">
        <v>22</v>
      </c>
    </row>
    <row r="4811" spans="1:11" ht="42" customHeight="1">
      <c r="A4811" s="4" t="s">
        <v>10630</v>
      </c>
      <c r="B4811" s="5" t="s">
        <v>10631</v>
      </c>
      <c r="C4811" s="5" t="s">
        <v>69</v>
      </c>
      <c r="D4811" s="5" t="s">
        <v>70</v>
      </c>
      <c r="E4811" s="5" t="s">
        <v>312</v>
      </c>
      <c r="F4811" s="9">
        <v>100</v>
      </c>
      <c r="G4811" s="9">
        <v>1060</v>
      </c>
      <c r="H4811" s="5" t="s">
        <v>20</v>
      </c>
      <c r="I4811" s="5" t="s">
        <v>10632</v>
      </c>
      <c r="J4811" s="12" t="str">
        <f>HYPERLINK("https://www.boe.es/gazeta/dias/1806/12/09/pdfs/GMD-1806-100.pdf#page=4","Abrir facsímil")</f>
        <v>Abrir facsímil</v>
      </c>
      <c r="K4811" s="15" t="s">
        <v>22</v>
      </c>
    </row>
    <row r="4812" spans="1:11" ht="42" customHeight="1">
      <c r="A4812" s="4" t="s">
        <v>10633</v>
      </c>
      <c r="B4812" s="5" t="s">
        <v>10634</v>
      </c>
      <c r="C4812" s="5" t="s">
        <v>17</v>
      </c>
      <c r="D4812" s="5" t="s">
        <v>18</v>
      </c>
      <c r="E4812" s="5" t="s">
        <v>501</v>
      </c>
      <c r="F4812" s="9">
        <v>39</v>
      </c>
      <c r="G4812" s="9">
        <v>387</v>
      </c>
      <c r="H4812" s="5" t="s">
        <v>20</v>
      </c>
      <c r="I4812" s="5" t="s">
        <v>10635</v>
      </c>
      <c r="J4812" s="12" t="str">
        <f>HYPERLINK("https://www.boe.es/gazeta/dias/1806/05/09/pdfs/GMD-1806-39.pdf#page=11","Abrir facsímil")</f>
        <v>Abrir facsímil</v>
      </c>
      <c r="K4812" s="15" t="s">
        <v>22</v>
      </c>
    </row>
    <row r="4813" spans="1:11" ht="42" customHeight="1">
      <c r="A4813" s="4" t="s">
        <v>10633</v>
      </c>
      <c r="B4813" s="5" t="s">
        <v>10634</v>
      </c>
      <c r="C4813" s="5" t="s">
        <v>31</v>
      </c>
      <c r="D4813" s="5" t="s">
        <v>32</v>
      </c>
      <c r="E4813" s="5" t="s">
        <v>90</v>
      </c>
      <c r="F4813" s="9">
        <v>60</v>
      </c>
      <c r="G4813" s="9">
        <v>618</v>
      </c>
      <c r="H4813" s="5" t="s">
        <v>20</v>
      </c>
      <c r="I4813" s="5" t="s">
        <v>10636</v>
      </c>
      <c r="J4813" s="12" t="str">
        <f>HYPERLINK("https://www.boe.es/gazeta/dias/1806/07/22/pdfs/GMD-1806-60.pdf#page=2","Abrir facsímil")</f>
        <v>Abrir facsímil</v>
      </c>
      <c r="K4813" s="15" t="s">
        <v>22</v>
      </c>
    </row>
    <row r="4814" spans="1:11" ht="42" customHeight="1">
      <c r="A4814" s="4" t="s">
        <v>10633</v>
      </c>
      <c r="B4814" s="5" t="s">
        <v>10634</v>
      </c>
      <c r="C4814" s="5" t="s">
        <v>69</v>
      </c>
      <c r="D4814" s="5" t="s">
        <v>70</v>
      </c>
      <c r="E4814" s="5" t="s">
        <v>554</v>
      </c>
      <c r="F4814" s="9">
        <v>90</v>
      </c>
      <c r="G4814" s="9">
        <v>929</v>
      </c>
      <c r="H4814" s="5" t="s">
        <v>20</v>
      </c>
      <c r="I4814" s="5" t="s">
        <v>10637</v>
      </c>
      <c r="J4814" s="12" t="str">
        <f>HYPERLINK("https://www.boe.es/gazeta/dias/1806/11/04/pdfs/GMD-1806-90.pdf#page=5","Abrir facsímil")</f>
        <v>Abrir facsímil</v>
      </c>
      <c r="K4814" s="15" t="s">
        <v>22</v>
      </c>
    </row>
    <row r="4815" spans="1:11" ht="42" customHeight="1">
      <c r="A4815" s="4" t="s">
        <v>10638</v>
      </c>
      <c r="B4815" s="5" t="s">
        <v>10639</v>
      </c>
      <c r="C4815" s="5" t="s">
        <v>31</v>
      </c>
      <c r="D4815" s="5" t="s">
        <v>32</v>
      </c>
      <c r="E4815" s="5" t="s">
        <v>59</v>
      </c>
      <c r="F4815" s="9">
        <v>21</v>
      </c>
      <c r="G4815" s="9">
        <v>196</v>
      </c>
      <c r="H4815" s="5" t="s">
        <v>20</v>
      </c>
      <c r="I4815" s="5" t="s">
        <v>10640</v>
      </c>
      <c r="J4815" s="12" t="str">
        <f>HYPERLINK("https://www.boe.es/gazeta/dias/1806/03/07/pdfs/GMD-1806-21.pdf#page=8","Abrir facsímil")</f>
        <v>Abrir facsímil</v>
      </c>
      <c r="K4815" s="15" t="s">
        <v>22</v>
      </c>
    </row>
    <row r="4816" spans="1:11" ht="42" customHeight="1">
      <c r="A4816" s="4" t="s">
        <v>10641</v>
      </c>
      <c r="B4816" s="5" t="s">
        <v>10642</v>
      </c>
      <c r="C4816" s="5" t="s">
        <v>17</v>
      </c>
      <c r="D4816" s="5" t="s">
        <v>18</v>
      </c>
      <c r="E4816" s="5" t="s">
        <v>113</v>
      </c>
      <c r="F4816" s="9">
        <v>28</v>
      </c>
      <c r="G4816" s="9">
        <v>279</v>
      </c>
      <c r="H4816" s="5" t="s">
        <v>20</v>
      </c>
      <c r="I4816" s="5" t="s">
        <v>10643</v>
      </c>
      <c r="J4816" s="12" t="str">
        <f>HYPERLINK("https://www.boe.es/gazeta/dias/1806/04/01/pdfs/GMD-1806-28.pdf#page=7","Abrir facsímil")</f>
        <v>Abrir facsímil</v>
      </c>
      <c r="K4816" s="15" t="s">
        <v>22</v>
      </c>
    </row>
    <row r="4817" spans="1:11" ht="42" customHeight="1">
      <c r="A4817" s="4" t="s">
        <v>10644</v>
      </c>
      <c r="B4817" s="5" t="s">
        <v>10645</v>
      </c>
      <c r="C4817" s="5" t="s">
        <v>17</v>
      </c>
      <c r="D4817" s="5" t="s">
        <v>18</v>
      </c>
      <c r="E4817" s="5" t="s">
        <v>438</v>
      </c>
      <c r="F4817" s="9">
        <v>70</v>
      </c>
      <c r="G4817" s="9">
        <v>728</v>
      </c>
      <c r="H4817" s="5" t="s">
        <v>20</v>
      </c>
      <c r="I4817" s="5" t="s">
        <v>10646</v>
      </c>
      <c r="J4817" s="12" t="str">
        <f>HYPERLINK("https://www.boe.es/gazeta/dias/1806/08/26/pdfs/GMD-1806-70.pdf#page=4","Abrir facsímil")</f>
        <v>Abrir facsímil</v>
      </c>
      <c r="K4817" s="15" t="s">
        <v>22</v>
      </c>
    </row>
    <row r="4818" spans="1:11" ht="42" customHeight="1">
      <c r="A4818" s="4" t="s">
        <v>10647</v>
      </c>
      <c r="B4818" s="5" t="s">
        <v>10648</v>
      </c>
      <c r="C4818" s="5" t="s">
        <v>31</v>
      </c>
      <c r="D4818" s="5" t="s">
        <v>32</v>
      </c>
      <c r="E4818" s="5" t="s">
        <v>570</v>
      </c>
      <c r="F4818" s="9">
        <v>93</v>
      </c>
      <c r="G4818" s="9">
        <v>978</v>
      </c>
      <c r="H4818" s="5" t="s">
        <v>20</v>
      </c>
      <c r="I4818" s="5" t="s">
        <v>10649</v>
      </c>
      <c r="J4818" s="12" t="str">
        <f>HYPERLINK("https://www.boe.es/gazeta/dias/1806/11/14/pdfs/GMD-1806-93.pdf#page=14","Abrir facsímil")</f>
        <v>Abrir facsímil</v>
      </c>
      <c r="K4818" s="15" t="s">
        <v>22</v>
      </c>
    </row>
    <row r="4819" spans="1:11" ht="42" customHeight="1">
      <c r="A4819" s="4" t="s">
        <v>10650</v>
      </c>
      <c r="B4819" s="5" t="s">
        <v>10651</v>
      </c>
      <c r="C4819" s="5" t="s">
        <v>42</v>
      </c>
      <c r="D4819" s="5" t="s">
        <v>43</v>
      </c>
      <c r="E4819" s="5" t="s">
        <v>33</v>
      </c>
      <c r="F4819" s="9">
        <v>82</v>
      </c>
      <c r="G4819" s="9">
        <v>850</v>
      </c>
      <c r="H4819" s="5" t="s">
        <v>20</v>
      </c>
      <c r="I4819" s="5" t="s">
        <v>10652</v>
      </c>
      <c r="J4819" s="12" t="str">
        <f>HYPERLINK("https://www.boe.es/gazeta/dias/1806/10/07/pdfs/GMD-1806-82.pdf#page=10","Abrir facsímil")</f>
        <v>Abrir facsímil</v>
      </c>
      <c r="K4819" s="15" t="s">
        <v>22</v>
      </c>
    </row>
    <row r="4820" spans="1:11" ht="42" customHeight="1">
      <c r="A4820" s="4" t="s">
        <v>10653</v>
      </c>
      <c r="B4820" s="5" t="s">
        <v>10654</v>
      </c>
      <c r="C4820" s="5" t="s">
        <v>36</v>
      </c>
      <c r="D4820" s="5" t="s">
        <v>37</v>
      </c>
      <c r="E4820" s="5" t="s">
        <v>205</v>
      </c>
      <c r="F4820" s="9">
        <v>57</v>
      </c>
      <c r="G4820" s="9">
        <v>595</v>
      </c>
      <c r="H4820" s="5" t="s">
        <v>20</v>
      </c>
      <c r="I4820" s="5" t="s">
        <v>10655</v>
      </c>
      <c r="J4820" s="12" t="str">
        <f>HYPERLINK("https://www.boe.es/gazeta/dias/1806/07/11/pdfs/GMD-1806-57.pdf#page=7","Abrir facsímil")</f>
        <v>Abrir facsímil</v>
      </c>
      <c r="K4820" s="15" t="s">
        <v>22</v>
      </c>
    </row>
    <row r="4821" spans="1:11" ht="42" customHeight="1">
      <c r="A4821" s="4" t="s">
        <v>10656</v>
      </c>
      <c r="B4821" s="5" t="s">
        <v>10657</v>
      </c>
      <c r="C4821" s="5" t="s">
        <v>31</v>
      </c>
      <c r="D4821" s="5" t="s">
        <v>32</v>
      </c>
      <c r="E4821" s="5" t="s">
        <v>285</v>
      </c>
      <c r="F4821" s="9">
        <v>13</v>
      </c>
      <c r="G4821" s="9">
        <v>114</v>
      </c>
      <c r="H4821" s="5" t="s">
        <v>20</v>
      </c>
      <c r="I4821" s="5" t="s">
        <v>10658</v>
      </c>
      <c r="J4821" s="12" t="str">
        <f>HYPERLINK("https://www.boe.es/gazeta/dias/1806/02/07/pdfs/GMD-1806-13.pdf#page=6","Abrir facsímil")</f>
        <v>Abrir facsímil</v>
      </c>
      <c r="K4821" s="15" t="s">
        <v>22</v>
      </c>
    </row>
    <row r="4822" spans="1:11" ht="42" customHeight="1">
      <c r="A4822" s="4" t="s">
        <v>10659</v>
      </c>
      <c r="B4822" s="5" t="s">
        <v>10659</v>
      </c>
      <c r="C4822" s="5" t="s">
        <v>69</v>
      </c>
      <c r="D4822" s="5" t="s">
        <v>70</v>
      </c>
      <c r="E4822" s="5" t="s">
        <v>86</v>
      </c>
      <c r="F4822" s="9">
        <v>53</v>
      </c>
      <c r="G4822" s="9">
        <v>549</v>
      </c>
      <c r="H4822" s="5" t="s">
        <v>20</v>
      </c>
      <c r="I4822" s="5" t="s">
        <v>10660</v>
      </c>
      <c r="J4822" s="12" t="str">
        <f>HYPERLINK("https://www.boe.es/gazeta/dias/1806/06/27/pdfs/GMD-1806-53.pdf#page=5","Abrir facsímil")</f>
        <v>Abrir facsímil</v>
      </c>
      <c r="K4822" s="15" t="s">
        <v>22</v>
      </c>
    </row>
    <row r="4823" spans="1:11" ht="42" customHeight="1">
      <c r="A4823" s="4" t="s">
        <v>10661</v>
      </c>
      <c r="B4823" s="5" t="s">
        <v>10661</v>
      </c>
      <c r="C4823" s="5" t="s">
        <v>69</v>
      </c>
      <c r="D4823" s="5" t="s">
        <v>70</v>
      </c>
      <c r="E4823" s="5" t="s">
        <v>327</v>
      </c>
      <c r="F4823" s="9">
        <v>104</v>
      </c>
      <c r="G4823" s="9">
        <v>1104</v>
      </c>
      <c r="H4823" s="5" t="s">
        <v>20</v>
      </c>
      <c r="I4823" s="5" t="s">
        <v>10662</v>
      </c>
      <c r="J4823" s="12" t="str">
        <f>HYPERLINK("https://www.boe.es/gazeta/dias/1806/12/23/pdfs/GMD-1806-104.pdf#page=4","Abrir facsímil")</f>
        <v>Abrir facsímil</v>
      </c>
      <c r="K4823" s="15" t="s">
        <v>22</v>
      </c>
    </row>
    <row r="4824" spans="1:11" ht="42" customHeight="1">
      <c r="A4824" s="4" t="s">
        <v>10663</v>
      </c>
      <c r="B4824" s="5" t="s">
        <v>10664</v>
      </c>
      <c r="C4824" s="5" t="s">
        <v>31</v>
      </c>
      <c r="D4824" s="5" t="s">
        <v>32</v>
      </c>
      <c r="E4824" s="5" t="s">
        <v>312</v>
      </c>
      <c r="F4824" s="9">
        <v>100</v>
      </c>
      <c r="G4824" s="9">
        <v>1059</v>
      </c>
      <c r="H4824" s="5" t="s">
        <v>20</v>
      </c>
      <c r="I4824" s="5" t="s">
        <v>10665</v>
      </c>
      <c r="J4824" s="12" t="str">
        <f>HYPERLINK("https://www.boe.es/gazeta/dias/1806/12/09/pdfs/GMD-1806-100.pdf#page=3","Abrir facsímil")</f>
        <v>Abrir facsímil</v>
      </c>
      <c r="K4824" s="15" t="s">
        <v>22</v>
      </c>
    </row>
    <row r="4825" spans="1:11" ht="42" customHeight="1">
      <c r="A4825" s="4" t="s">
        <v>10666</v>
      </c>
      <c r="B4825" s="5" t="s">
        <v>10666</v>
      </c>
      <c r="C4825" s="5" t="s">
        <v>69</v>
      </c>
      <c r="D4825" s="5" t="s">
        <v>70</v>
      </c>
      <c r="E4825" s="5" t="s">
        <v>430</v>
      </c>
      <c r="F4825" s="9">
        <v>12</v>
      </c>
      <c r="G4825" s="9">
        <v>104</v>
      </c>
      <c r="H4825" s="5" t="s">
        <v>20</v>
      </c>
      <c r="I4825" s="5" t="s">
        <v>10667</v>
      </c>
      <c r="J4825" s="12" t="str">
        <f>HYPERLINK("https://www.boe.es/gazeta/dias/1806/02/04/pdfs/GMD-1806-12.pdf#page=4","Abrir facsímil")</f>
        <v>Abrir facsímil</v>
      </c>
      <c r="K4825" s="15" t="s">
        <v>22</v>
      </c>
    </row>
    <row r="4826" spans="1:11" ht="42" customHeight="1">
      <c r="A4826" s="4" t="s">
        <v>10668</v>
      </c>
      <c r="B4826" s="5" t="s">
        <v>10669</v>
      </c>
      <c r="C4826" s="5" t="s">
        <v>69</v>
      </c>
      <c r="D4826" s="5" t="s">
        <v>70</v>
      </c>
      <c r="E4826" s="5" t="s">
        <v>661</v>
      </c>
      <c r="F4826" s="9">
        <v>38</v>
      </c>
      <c r="G4826" s="9">
        <v>371</v>
      </c>
      <c r="H4826" s="5" t="s">
        <v>20</v>
      </c>
      <c r="I4826" s="5" t="s">
        <v>10670</v>
      </c>
      <c r="J4826" s="12" t="str">
        <f>HYPERLINK("https://www.boe.es/gazeta/dias/1806/05/06/pdfs/GMD-1806-38.pdf#page=7","Abrir facsímil")</f>
        <v>Abrir facsímil</v>
      </c>
      <c r="K4826" s="15" t="s">
        <v>22</v>
      </c>
    </row>
    <row r="4827" spans="1:11" ht="42" customHeight="1">
      <c r="A4827" s="4" t="s">
        <v>10671</v>
      </c>
      <c r="B4827" s="5" t="s">
        <v>10672</v>
      </c>
      <c r="C4827" s="5" t="s">
        <v>17</v>
      </c>
      <c r="D4827" s="5" t="s">
        <v>18</v>
      </c>
      <c r="E4827" s="5" t="s">
        <v>195</v>
      </c>
      <c r="F4827" s="9">
        <v>4</v>
      </c>
      <c r="G4827" s="9">
        <v>35</v>
      </c>
      <c r="H4827" s="5" t="s">
        <v>20</v>
      </c>
      <c r="I4827" s="5" t="s">
        <v>10673</v>
      </c>
      <c r="J4827" s="12" t="str">
        <f>HYPERLINK("https://www.boe.es/gazeta/dias/1806/01/14/pdfs/GMD-1806-4.pdf#page=7","Abrir facsímil")</f>
        <v>Abrir facsímil</v>
      </c>
      <c r="K4827" s="15" t="s">
        <v>22</v>
      </c>
    </row>
    <row r="4828" spans="1:11" ht="42" customHeight="1">
      <c r="A4828" s="4" t="s">
        <v>10674</v>
      </c>
      <c r="B4828" s="5" t="s">
        <v>10675</v>
      </c>
      <c r="C4828" s="5" t="s">
        <v>42</v>
      </c>
      <c r="D4828" s="5" t="s">
        <v>43</v>
      </c>
      <c r="E4828" s="5" t="s">
        <v>304</v>
      </c>
      <c r="F4828" s="9">
        <v>47</v>
      </c>
      <c r="G4828" s="9">
        <v>484</v>
      </c>
      <c r="H4828" s="5" t="s">
        <v>20</v>
      </c>
      <c r="I4828" s="5" t="s">
        <v>10676</v>
      </c>
      <c r="J4828" s="12" t="str">
        <f>HYPERLINK("https://www.boe.es/gazeta/dias/1806/06/06/pdfs/GMD-C-1806-47.pdf#page=4","Abrir facsímil")</f>
        <v>Abrir facsímil</v>
      </c>
      <c r="K4828" s="15" t="s">
        <v>22</v>
      </c>
    </row>
    <row r="4829" spans="1:11" ht="42" customHeight="1">
      <c r="A4829" s="4" t="s">
        <v>10677</v>
      </c>
      <c r="B4829" s="5" t="s">
        <v>10678</v>
      </c>
      <c r="C4829" s="5" t="s">
        <v>42</v>
      </c>
      <c r="D4829" s="5" t="s">
        <v>43</v>
      </c>
      <c r="E4829" s="5" t="s">
        <v>82</v>
      </c>
      <c r="F4829" s="9">
        <v>48</v>
      </c>
      <c r="G4829" s="9">
        <v>499</v>
      </c>
      <c r="H4829" s="5" t="s">
        <v>20</v>
      </c>
      <c r="I4829" s="5" t="s">
        <v>10679</v>
      </c>
      <c r="J4829" s="12" t="str">
        <f>HYPERLINK("https://www.boe.es/gazeta/dias/1806/06/10/pdfs/GMD-1806-48.pdf#page=11","Abrir facsímil")</f>
        <v>Abrir facsímil</v>
      </c>
      <c r="K4829" s="15" t="s">
        <v>22</v>
      </c>
    </row>
    <row r="4830" spans="1:11" ht="42" customHeight="1">
      <c r="A4830" s="4" t="s">
        <v>10680</v>
      </c>
      <c r="B4830" s="5" t="s">
        <v>10681</v>
      </c>
      <c r="C4830" s="5" t="s">
        <v>75</v>
      </c>
      <c r="D4830" s="5" t="s">
        <v>43</v>
      </c>
      <c r="E4830" s="5" t="s">
        <v>540</v>
      </c>
      <c r="F4830" s="9">
        <v>51</v>
      </c>
      <c r="G4830" s="9">
        <v>531</v>
      </c>
      <c r="H4830" s="5" t="s">
        <v>20</v>
      </c>
      <c r="I4830" s="5" t="s">
        <v>10682</v>
      </c>
      <c r="J4830" s="12" t="str">
        <f>HYPERLINK("https://www.boe.es/gazeta/dias/1806/06/20/pdfs/GMD-1806-51.pdf#page=11","Abrir facsímil")</f>
        <v>Abrir facsímil</v>
      </c>
      <c r="K4830" s="15" t="s">
        <v>22</v>
      </c>
    </row>
    <row r="4831" spans="1:11" ht="42" customHeight="1">
      <c r="A4831" s="4" t="s">
        <v>10680</v>
      </c>
      <c r="B4831" s="5" t="s">
        <v>10681</v>
      </c>
      <c r="C4831" s="5" t="s">
        <v>75</v>
      </c>
      <c r="D4831" s="5" t="s">
        <v>43</v>
      </c>
      <c r="E4831" s="5" t="s">
        <v>148</v>
      </c>
      <c r="F4831" s="9">
        <v>78</v>
      </c>
      <c r="G4831" s="9">
        <v>805</v>
      </c>
      <c r="H4831" s="5" t="s">
        <v>20</v>
      </c>
      <c r="I4831" s="5" t="s">
        <v>10683</v>
      </c>
      <c r="J4831" s="12" t="str">
        <f>HYPERLINK("https://www.boe.es/gazeta/dias/1806/09/23/pdfs/GMD-1806-78.pdf#page=9","Abrir facsímil")</f>
        <v>Abrir facsímil</v>
      </c>
      <c r="K4831" s="15" t="s">
        <v>22</v>
      </c>
    </row>
    <row r="4832" spans="1:11" ht="42" customHeight="1">
      <c r="A4832" s="4" t="s">
        <v>10680</v>
      </c>
      <c r="B4832" s="5" t="s">
        <v>10681</v>
      </c>
      <c r="C4832" s="5" t="s">
        <v>17</v>
      </c>
      <c r="D4832" s="5" t="s">
        <v>18</v>
      </c>
      <c r="E4832" s="5" t="s">
        <v>33</v>
      </c>
      <c r="F4832" s="9">
        <v>82</v>
      </c>
      <c r="G4832" s="9">
        <v>850</v>
      </c>
      <c r="H4832" s="5" t="s">
        <v>20</v>
      </c>
      <c r="I4832" s="5" t="s">
        <v>10684</v>
      </c>
      <c r="J4832" s="12" t="str">
        <f>HYPERLINK("https://www.boe.es/gazeta/dias/1806/10/07/pdfs/GMD-1806-82.pdf#page=10","Abrir facsímil")</f>
        <v>Abrir facsímil</v>
      </c>
      <c r="K4832" s="15" t="s">
        <v>22</v>
      </c>
    </row>
    <row r="4833" spans="1:11" ht="42" customHeight="1">
      <c r="A4833" s="4" t="s">
        <v>10680</v>
      </c>
      <c r="B4833" s="5" t="s">
        <v>10681</v>
      </c>
      <c r="C4833" s="5" t="s">
        <v>75</v>
      </c>
      <c r="D4833" s="5" t="s">
        <v>43</v>
      </c>
      <c r="E4833" s="5" t="s">
        <v>455</v>
      </c>
      <c r="F4833" s="9">
        <v>85</v>
      </c>
      <c r="G4833" s="9">
        <v>882</v>
      </c>
      <c r="H4833" s="5" t="s">
        <v>20</v>
      </c>
      <c r="I4833" s="5" t="s">
        <v>10685</v>
      </c>
      <c r="J4833" s="12" t="str">
        <f>HYPERLINK("https://www.boe.es/gazeta/dias/1806/10/17/pdfs/GMD-1806-85.pdf#page=10","Abrir facsímil")</f>
        <v>Abrir facsímil</v>
      </c>
      <c r="K4833" s="15" t="s">
        <v>22</v>
      </c>
    </row>
    <row r="4834" spans="1:11" ht="42" customHeight="1">
      <c r="A4834" s="4" t="s">
        <v>10680</v>
      </c>
      <c r="B4834" s="5" t="s">
        <v>10681</v>
      </c>
      <c r="C4834" s="5" t="s">
        <v>75</v>
      </c>
      <c r="D4834" s="5" t="s">
        <v>43</v>
      </c>
      <c r="E4834" s="5" t="s">
        <v>327</v>
      </c>
      <c r="F4834" s="9">
        <v>104</v>
      </c>
      <c r="G4834" s="9">
        <v>1111</v>
      </c>
      <c r="H4834" s="5" t="s">
        <v>20</v>
      </c>
      <c r="I4834" s="5" t="s">
        <v>10686</v>
      </c>
      <c r="J4834" s="12" t="str">
        <f>HYPERLINK("https://www.boe.es/gazeta/dias/1806/12/23/pdfs/GMD-1806-104.pdf#page=11","Abrir facsímil")</f>
        <v>Abrir facsímil</v>
      </c>
      <c r="K4834" s="15" t="s">
        <v>22</v>
      </c>
    </row>
    <row r="4835" spans="1:11" ht="42" customHeight="1">
      <c r="A4835" s="4" t="s">
        <v>10687</v>
      </c>
      <c r="B4835" s="5" t="s">
        <v>10688</v>
      </c>
      <c r="C4835" s="5" t="s">
        <v>31</v>
      </c>
      <c r="D4835" s="5" t="s">
        <v>32</v>
      </c>
      <c r="E4835" s="5" t="s">
        <v>297</v>
      </c>
      <c r="F4835" s="9">
        <v>94</v>
      </c>
      <c r="G4835" s="9">
        <v>989</v>
      </c>
      <c r="H4835" s="5" t="s">
        <v>20</v>
      </c>
      <c r="I4835" s="5" t="s">
        <v>10689</v>
      </c>
      <c r="J4835" s="12" t="str">
        <f>HYPERLINK("https://www.boe.es/gazeta/dias/1806/11/18/pdfs/GMD-1806-94.pdf#page=9","Abrir facsímil")</f>
        <v>Abrir facsímil</v>
      </c>
      <c r="K4835" s="15" t="s">
        <v>22</v>
      </c>
    </row>
    <row r="4836" spans="1:11" ht="42" customHeight="1">
      <c r="A4836" s="4" t="s">
        <v>10690</v>
      </c>
      <c r="B4836" s="5" t="s">
        <v>10691</v>
      </c>
      <c r="C4836" s="5" t="s">
        <v>17</v>
      </c>
      <c r="D4836" s="5" t="s">
        <v>18</v>
      </c>
      <c r="E4836" s="5" t="s">
        <v>396</v>
      </c>
      <c r="F4836" s="9">
        <v>91</v>
      </c>
      <c r="G4836" s="9">
        <v>945</v>
      </c>
      <c r="H4836" s="5" t="s">
        <v>20</v>
      </c>
      <c r="I4836" s="5" t="s">
        <v>10692</v>
      </c>
      <c r="J4836" s="12" t="str">
        <f>HYPERLINK("https://www.boe.es/gazeta/dias/1806/11/07/pdfs/GMD-1806-91.pdf#page=9","Abrir facsímil")</f>
        <v>Abrir facsímil</v>
      </c>
      <c r="K4836" s="15" t="s">
        <v>22</v>
      </c>
    </row>
    <row r="4837" spans="1:11" ht="42" customHeight="1">
      <c r="A4837" s="4" t="s">
        <v>10693</v>
      </c>
      <c r="B4837" s="5" t="s">
        <v>10693</v>
      </c>
      <c r="C4837" s="5" t="s">
        <v>17</v>
      </c>
      <c r="D4837" s="5" t="s">
        <v>18</v>
      </c>
      <c r="E4837" s="5" t="s">
        <v>195</v>
      </c>
      <c r="F4837" s="9">
        <v>4</v>
      </c>
      <c r="G4837" s="9">
        <v>35</v>
      </c>
      <c r="H4837" s="5" t="s">
        <v>20</v>
      </c>
      <c r="I4837" s="5" t="s">
        <v>10694</v>
      </c>
      <c r="J4837" s="12" t="str">
        <f>HYPERLINK("https://www.boe.es/gazeta/dias/1806/01/14/pdfs/GMD-1806-4.pdf#page=7","Abrir facsímil")</f>
        <v>Abrir facsímil</v>
      </c>
      <c r="K4837" s="15" t="s">
        <v>22</v>
      </c>
    </row>
    <row r="4838" spans="1:11" ht="42" customHeight="1">
      <c r="A4838" s="4" t="s">
        <v>10695</v>
      </c>
      <c r="B4838" s="5" t="s">
        <v>10696</v>
      </c>
      <c r="C4838" s="5" t="s">
        <v>36</v>
      </c>
      <c r="D4838" s="5" t="s">
        <v>37</v>
      </c>
      <c r="E4838" s="5" t="s">
        <v>62</v>
      </c>
      <c r="F4838" s="9">
        <v>45</v>
      </c>
      <c r="G4838" s="9">
        <v>458</v>
      </c>
      <c r="H4838" s="5" t="s">
        <v>20</v>
      </c>
      <c r="I4838" s="5" t="s">
        <v>10697</v>
      </c>
      <c r="J4838" s="12" t="str">
        <f>HYPERLINK("https://www.boe.es/gazeta/dias/1806/05/30/pdfs/GMD-1806-45.pdf#page=10","Abrir facsímil")</f>
        <v>Abrir facsímil</v>
      </c>
      <c r="K4838" s="15" t="s">
        <v>22</v>
      </c>
    </row>
    <row r="4839" spans="1:11" ht="42" customHeight="1">
      <c r="A4839" s="4" t="s">
        <v>10695</v>
      </c>
      <c r="B4839" s="5" t="s">
        <v>10696</v>
      </c>
      <c r="C4839" s="5" t="s">
        <v>36</v>
      </c>
      <c r="D4839" s="5" t="s">
        <v>37</v>
      </c>
      <c r="E4839" s="5" t="s">
        <v>1005</v>
      </c>
      <c r="F4839" s="9">
        <v>76</v>
      </c>
      <c r="G4839" s="9">
        <v>787</v>
      </c>
      <c r="H4839" s="5" t="s">
        <v>20</v>
      </c>
      <c r="I4839" s="5" t="s">
        <v>10698</v>
      </c>
      <c r="J4839" s="12" t="str">
        <f>HYPERLINK("https://www.boe.es/gazeta/dias/1806/09/16/pdfs/GMD-1806-76.pdf#page=7","Abrir facsímil")</f>
        <v>Abrir facsímil</v>
      </c>
      <c r="K4839" s="15" t="s">
        <v>22</v>
      </c>
    </row>
    <row r="4840" spans="1:11" ht="42" customHeight="1">
      <c r="A4840" s="4" t="s">
        <v>10699</v>
      </c>
      <c r="B4840" s="5" t="s">
        <v>10700</v>
      </c>
      <c r="C4840" s="5" t="s">
        <v>31</v>
      </c>
      <c r="D4840" s="5" t="s">
        <v>32</v>
      </c>
      <c r="E4840" s="5" t="s">
        <v>554</v>
      </c>
      <c r="F4840" s="9">
        <v>90</v>
      </c>
      <c r="G4840" s="9">
        <v>934</v>
      </c>
      <c r="H4840" s="5" t="s">
        <v>20</v>
      </c>
      <c r="I4840" s="5" t="s">
        <v>10701</v>
      </c>
      <c r="J4840" s="12" t="str">
        <f>HYPERLINK("https://www.boe.es/gazeta/dias/1806/11/04/pdfs/GMD-1806-90.pdf#page=10","Abrir facsímil")</f>
        <v>Abrir facsímil</v>
      </c>
      <c r="K4840" s="15" t="s">
        <v>22</v>
      </c>
    </row>
    <row r="4841" spans="1:11" ht="42" customHeight="1">
      <c r="A4841" s="4" t="s">
        <v>10702</v>
      </c>
      <c r="B4841" s="5" t="s">
        <v>10702</v>
      </c>
      <c r="C4841" s="5" t="s">
        <v>17</v>
      </c>
      <c r="D4841" s="5" t="s">
        <v>18</v>
      </c>
      <c r="E4841" s="5" t="s">
        <v>669</v>
      </c>
      <c r="F4841" s="9">
        <v>14</v>
      </c>
      <c r="G4841" s="9">
        <v>124</v>
      </c>
      <c r="H4841" s="5" t="s">
        <v>20</v>
      </c>
      <c r="I4841" s="5" t="s">
        <v>10703</v>
      </c>
      <c r="J4841" s="12" t="str">
        <f>HYPERLINK("https://www.boe.es/gazeta/dias/1806/02/11/pdfs/GMD-1806-14.pdf#page=8","Abrir facsímil")</f>
        <v>Abrir facsímil</v>
      </c>
      <c r="K4841" s="15" t="s">
        <v>22</v>
      </c>
    </row>
    <row r="4842" spans="1:11" ht="42" customHeight="1">
      <c r="A4842" s="4" t="s">
        <v>10702</v>
      </c>
      <c r="B4842" s="5" t="s">
        <v>10702</v>
      </c>
      <c r="C4842" s="5" t="s">
        <v>75</v>
      </c>
      <c r="D4842" s="5" t="s">
        <v>43</v>
      </c>
      <c r="E4842" s="5" t="s">
        <v>144</v>
      </c>
      <c r="F4842" s="9">
        <v>79</v>
      </c>
      <c r="G4842" s="9">
        <v>811</v>
      </c>
      <c r="H4842" s="5" t="s">
        <v>20</v>
      </c>
      <c r="I4842" s="5" t="s">
        <v>10704</v>
      </c>
      <c r="J4842" s="12" t="str">
        <f>HYPERLINK("https://www.boe.es/gazeta/dias/1806/09/26/pdfs/GMD-1806-79.pdf#page=3","Abrir facsímil")</f>
        <v>Abrir facsímil</v>
      </c>
      <c r="K4842" s="15" t="s">
        <v>22</v>
      </c>
    </row>
    <row r="4843" spans="1:11" ht="42" customHeight="1">
      <c r="A4843" s="4" t="s">
        <v>10705</v>
      </c>
      <c r="B4843" s="5" t="s">
        <v>10705</v>
      </c>
      <c r="C4843" s="5" t="s">
        <v>17</v>
      </c>
      <c r="D4843" s="5" t="s">
        <v>18</v>
      </c>
      <c r="E4843" s="5" t="s">
        <v>178</v>
      </c>
      <c r="F4843" s="9">
        <v>36</v>
      </c>
      <c r="G4843" s="9">
        <v>352</v>
      </c>
      <c r="H4843" s="5" t="s">
        <v>20</v>
      </c>
      <c r="I4843" s="5" t="s">
        <v>10706</v>
      </c>
      <c r="J4843" s="12" t="str">
        <f>HYPERLINK("https://www.boe.es/gazeta/dias/1806/04/29/pdfs/GMD-1806-36.pdf#page=8","Abrir facsímil")</f>
        <v>Abrir facsímil</v>
      </c>
      <c r="K4843" s="15" t="s">
        <v>22</v>
      </c>
    </row>
    <row r="4844" spans="1:11" ht="42" customHeight="1">
      <c r="A4844" s="4" t="s">
        <v>10707</v>
      </c>
      <c r="B4844" s="5" t="s">
        <v>10707</v>
      </c>
      <c r="C4844" s="5" t="s">
        <v>17</v>
      </c>
      <c r="D4844" s="5" t="s">
        <v>18</v>
      </c>
      <c r="E4844" s="5" t="s">
        <v>290</v>
      </c>
      <c r="F4844" s="9">
        <v>1</v>
      </c>
      <c r="G4844" s="9">
        <v>8</v>
      </c>
      <c r="H4844" s="5" t="s">
        <v>20</v>
      </c>
      <c r="I4844" s="5" t="s">
        <v>10708</v>
      </c>
      <c r="J4844" s="12" t="str">
        <f>HYPERLINK("https://www.boe.es/gazeta/dias/1806/01/03/pdfs/GMD-1806-1.pdf#page=8","Abrir facsímil")</f>
        <v>Abrir facsímil</v>
      </c>
      <c r="K4844" s="15" t="s">
        <v>22</v>
      </c>
    </row>
    <row r="4845" spans="1:11" ht="42" customHeight="1">
      <c r="A4845" s="4" t="s">
        <v>10709</v>
      </c>
      <c r="B4845" s="5" t="s">
        <v>10709</v>
      </c>
      <c r="C4845" s="5" t="s">
        <v>31</v>
      </c>
      <c r="D4845" s="5" t="s">
        <v>32</v>
      </c>
      <c r="E4845" s="5" t="s">
        <v>290</v>
      </c>
      <c r="F4845" s="9">
        <v>1</v>
      </c>
      <c r="G4845" s="9">
        <v>8</v>
      </c>
      <c r="H4845" s="5" t="s">
        <v>20</v>
      </c>
      <c r="I4845" s="5" t="s">
        <v>10710</v>
      </c>
      <c r="J4845" s="12" t="str">
        <f>HYPERLINK("https://www.boe.es/gazeta/dias/1806/01/03/pdfs/GMD-1806-1.pdf#page=8","Abrir facsímil")</f>
        <v>Abrir facsímil</v>
      </c>
      <c r="K4845" s="15" t="s">
        <v>22</v>
      </c>
    </row>
    <row r="4846" spans="1:11" ht="42" customHeight="1">
      <c r="A4846" s="4" t="s">
        <v>10711</v>
      </c>
      <c r="B4846" s="5" t="s">
        <v>10711</v>
      </c>
      <c r="C4846" s="5" t="s">
        <v>31</v>
      </c>
      <c r="D4846" s="5" t="s">
        <v>32</v>
      </c>
      <c r="E4846" s="5" t="s">
        <v>285</v>
      </c>
      <c r="F4846" s="9">
        <v>13</v>
      </c>
      <c r="G4846" s="9">
        <v>115</v>
      </c>
      <c r="H4846" s="5" t="s">
        <v>20</v>
      </c>
      <c r="I4846" s="5" t="s">
        <v>10712</v>
      </c>
      <c r="J4846" s="12" t="str">
        <f>HYPERLINK("https://www.boe.es/gazeta/dias/1806/02/07/pdfs/GMD-1806-13.pdf#page=7","Abrir facsímil")</f>
        <v>Abrir facsímil</v>
      </c>
      <c r="K4846" s="15" t="s">
        <v>22</v>
      </c>
    </row>
    <row r="4847" spans="1:11" ht="42" customHeight="1">
      <c r="A4847" s="4" t="s">
        <v>10713</v>
      </c>
      <c r="B4847" s="5" t="s">
        <v>10713</v>
      </c>
      <c r="C4847" s="5" t="s">
        <v>31</v>
      </c>
      <c r="D4847" s="5" t="s">
        <v>32</v>
      </c>
      <c r="E4847" s="5" t="s">
        <v>340</v>
      </c>
      <c r="F4847" s="9">
        <v>31</v>
      </c>
      <c r="G4847" s="9">
        <v>304</v>
      </c>
      <c r="H4847" s="5" t="s">
        <v>20</v>
      </c>
      <c r="I4847" s="5" t="s">
        <v>10714</v>
      </c>
      <c r="J4847" s="12" t="str">
        <f>HYPERLINK("https://www.boe.es/gazeta/dias/1806/04/11/pdfs/GMD-1806-31.pdf#page=8","Abrir facsímil")</f>
        <v>Abrir facsímil</v>
      </c>
      <c r="K4847" s="15" t="s">
        <v>22</v>
      </c>
    </row>
    <row r="4848" spans="1:11" ht="42" customHeight="1">
      <c r="A4848" s="4" t="s">
        <v>10715</v>
      </c>
      <c r="B4848" s="5" t="s">
        <v>10716</v>
      </c>
      <c r="C4848" s="5" t="s">
        <v>75</v>
      </c>
      <c r="D4848" s="5" t="s">
        <v>43</v>
      </c>
      <c r="E4848" s="5" t="s">
        <v>297</v>
      </c>
      <c r="F4848" s="9">
        <v>94</v>
      </c>
      <c r="G4848" s="9">
        <v>991</v>
      </c>
      <c r="H4848" s="5" t="s">
        <v>20</v>
      </c>
      <c r="I4848" s="5" t="s">
        <v>10717</v>
      </c>
      <c r="J4848" s="12" t="str">
        <f>HYPERLINK("https://www.boe.es/gazeta/dias/1806/11/18/pdfs/GMD-1806-94.pdf#page=11","Abrir facsímil")</f>
        <v>Abrir facsímil</v>
      </c>
      <c r="K4848" s="15" t="s">
        <v>22</v>
      </c>
    </row>
    <row r="4849" spans="1:11" ht="42" customHeight="1">
      <c r="A4849" s="4" t="s">
        <v>10718</v>
      </c>
      <c r="B4849" s="5" t="s">
        <v>10719</v>
      </c>
      <c r="C4849" s="5" t="s">
        <v>31</v>
      </c>
      <c r="D4849" s="5" t="s">
        <v>32</v>
      </c>
      <c r="E4849" s="5" t="s">
        <v>400</v>
      </c>
      <c r="F4849" s="9">
        <v>22</v>
      </c>
      <c r="G4849" s="9">
        <v>207</v>
      </c>
      <c r="H4849" s="5" t="s">
        <v>20</v>
      </c>
      <c r="I4849" s="5" t="s">
        <v>10720</v>
      </c>
      <c r="J4849" s="12" t="str">
        <f>HYPERLINK("https://www.boe.es/gazeta/dias/1806/03/11/pdfs/GMD-1806-22.pdf#page=7","Abrir facsímil")</f>
        <v>Abrir facsímil</v>
      </c>
      <c r="K4849" s="15" t="s">
        <v>22</v>
      </c>
    </row>
    <row r="4850" spans="1:11" ht="42" customHeight="1">
      <c r="A4850" s="4" t="s">
        <v>10721</v>
      </c>
      <c r="B4850" s="5" t="s">
        <v>10722</v>
      </c>
      <c r="C4850" s="5" t="s">
        <v>31</v>
      </c>
      <c r="D4850" s="5" t="s">
        <v>32</v>
      </c>
      <c r="E4850" s="5" t="s">
        <v>383</v>
      </c>
      <c r="F4850" s="9">
        <v>54</v>
      </c>
      <c r="G4850" s="9">
        <v>562</v>
      </c>
      <c r="H4850" s="5" t="s">
        <v>20</v>
      </c>
      <c r="I4850" s="5" t="s">
        <v>10723</v>
      </c>
      <c r="J4850" s="12" t="str">
        <f>HYPERLINK("https://www.boe.es/gazeta/dias/1806/07/01/pdfs/GMD-1806-54.pdf#page=6","Abrir facsímil")</f>
        <v>Abrir facsímil</v>
      </c>
      <c r="K4850" s="15" t="s">
        <v>22</v>
      </c>
    </row>
    <row r="4851" spans="1:11" ht="42" customHeight="1">
      <c r="A4851" s="4" t="s">
        <v>10724</v>
      </c>
      <c r="B4851" s="5" t="s">
        <v>10725</v>
      </c>
      <c r="C4851" s="5" t="s">
        <v>17</v>
      </c>
      <c r="D4851" s="5" t="s">
        <v>18</v>
      </c>
      <c r="E4851" s="5" t="s">
        <v>213</v>
      </c>
      <c r="F4851" s="9">
        <v>73</v>
      </c>
      <c r="G4851" s="9">
        <v>759</v>
      </c>
      <c r="H4851" s="5" t="s">
        <v>20</v>
      </c>
      <c r="I4851" s="5" t="s">
        <v>10726</v>
      </c>
      <c r="J4851" s="12" t="str">
        <f>HYPERLINK("https://www.boe.es/gazeta/dias/1806/09/05/pdfs/GMD-1806-73.pdf#page=7","Abrir facsímil")</f>
        <v>Abrir facsímil</v>
      </c>
      <c r="K4851" s="15" t="s">
        <v>22</v>
      </c>
    </row>
    <row r="4852" spans="1:11" ht="42" customHeight="1">
      <c r="A4852" s="4" t="s">
        <v>10727</v>
      </c>
      <c r="B4852" s="5" t="s">
        <v>10728</v>
      </c>
      <c r="C4852" s="5" t="s">
        <v>31</v>
      </c>
      <c r="D4852" s="5" t="s">
        <v>32</v>
      </c>
      <c r="E4852" s="5" t="s">
        <v>185</v>
      </c>
      <c r="F4852" s="9">
        <v>46</v>
      </c>
      <c r="G4852" s="9">
        <v>469</v>
      </c>
      <c r="H4852" s="5" t="s">
        <v>20</v>
      </c>
      <c r="I4852" s="5" t="s">
        <v>10729</v>
      </c>
      <c r="J4852" s="12" t="str">
        <f>HYPERLINK("https://www.boe.es/gazeta/dias/1806/06/03/pdfs/GMD-1806-46.pdf#page=9","Abrir facsímil")</f>
        <v>Abrir facsímil</v>
      </c>
      <c r="K4852" s="15" t="s">
        <v>22</v>
      </c>
    </row>
    <row r="4853" spans="1:11" ht="42" customHeight="1">
      <c r="A4853" s="4" t="s">
        <v>10730</v>
      </c>
      <c r="B4853" s="5" t="s">
        <v>10731</v>
      </c>
      <c r="C4853" s="5" t="s">
        <v>31</v>
      </c>
      <c r="D4853" s="5" t="s">
        <v>32</v>
      </c>
      <c r="E4853" s="5" t="s">
        <v>483</v>
      </c>
      <c r="F4853" s="9">
        <v>58</v>
      </c>
      <c r="G4853" s="9">
        <v>602</v>
      </c>
      <c r="H4853" s="5" t="s">
        <v>20</v>
      </c>
      <c r="I4853" s="5" t="s">
        <v>10732</v>
      </c>
      <c r="J4853" s="12" t="str">
        <f>HYPERLINK("https://www.boe.es/gazeta/dias/1806/07/15/pdfs/GMD-1806-58.pdf#page=6","Abrir facsímil")</f>
        <v>Abrir facsímil</v>
      </c>
      <c r="K4853" s="15" t="s">
        <v>22</v>
      </c>
    </row>
    <row r="4854" spans="1:11" ht="42" customHeight="1">
      <c r="A4854" s="4" t="s">
        <v>10733</v>
      </c>
      <c r="B4854" s="5" t="s">
        <v>10734</v>
      </c>
      <c r="C4854" s="5" t="s">
        <v>75</v>
      </c>
      <c r="D4854" s="5" t="s">
        <v>43</v>
      </c>
      <c r="E4854" s="5" t="s">
        <v>33</v>
      </c>
      <c r="F4854" s="9">
        <v>82</v>
      </c>
      <c r="G4854" s="9">
        <v>850</v>
      </c>
      <c r="H4854" s="5" t="s">
        <v>20</v>
      </c>
      <c r="I4854" s="5" t="s">
        <v>10735</v>
      </c>
      <c r="J4854" s="12" t="str">
        <f>HYPERLINK("https://www.boe.es/gazeta/dias/1806/10/07/pdfs/GMD-1806-82.pdf#page=10","Abrir facsímil")</f>
        <v>Abrir facsímil</v>
      </c>
      <c r="K4854" s="15" t="s">
        <v>22</v>
      </c>
    </row>
    <row r="4855" spans="1:11" ht="42" customHeight="1">
      <c r="A4855" s="4" t="s">
        <v>10736</v>
      </c>
      <c r="B4855" s="5" t="s">
        <v>10736</v>
      </c>
      <c r="C4855" s="5" t="s">
        <v>31</v>
      </c>
      <c r="D4855" s="5" t="s">
        <v>32</v>
      </c>
      <c r="E4855" s="5" t="s">
        <v>48</v>
      </c>
      <c r="F4855" s="9">
        <v>67</v>
      </c>
      <c r="G4855" s="9">
        <v>704</v>
      </c>
      <c r="H4855" s="5" t="s">
        <v>20</v>
      </c>
      <c r="I4855" s="5" t="s">
        <v>10737</v>
      </c>
      <c r="J4855" s="12" t="str">
        <f>HYPERLINK("https://www.boe.es/gazeta/dias/1806/08/15/pdfs/GMD-1806-67.pdf#page=12","Abrir facsímil")</f>
        <v>Abrir facsímil</v>
      </c>
      <c r="K4855" s="15" t="s">
        <v>22</v>
      </c>
    </row>
    <row r="4856" spans="1:11" ht="42" customHeight="1">
      <c r="A4856" s="4" t="s">
        <v>10738</v>
      </c>
      <c r="B4856" s="5" t="s">
        <v>10738</v>
      </c>
      <c r="C4856" s="5" t="s">
        <v>31</v>
      </c>
      <c r="D4856" s="5" t="s">
        <v>32</v>
      </c>
      <c r="E4856" s="5" t="s">
        <v>140</v>
      </c>
      <c r="F4856" s="9">
        <v>83</v>
      </c>
      <c r="G4856" s="9">
        <v>863</v>
      </c>
      <c r="H4856" s="5" t="s">
        <v>20</v>
      </c>
      <c r="I4856" s="5" t="s">
        <v>10739</v>
      </c>
      <c r="J4856" s="12" t="str">
        <f>HYPERLINK("https://www.boe.es/gazeta/dias/1806/10/10/pdfs/GMD-1806-83.pdf#page=11","Abrir facsímil")</f>
        <v>Abrir facsímil</v>
      </c>
      <c r="K4856" s="15" t="s">
        <v>22</v>
      </c>
    </row>
    <row r="4857" spans="1:11" ht="42" customHeight="1">
      <c r="A4857" s="4" t="s">
        <v>10740</v>
      </c>
      <c r="B4857" s="5" t="s">
        <v>10740</v>
      </c>
      <c r="C4857" s="5" t="s">
        <v>31</v>
      </c>
      <c r="D4857" s="5" t="s">
        <v>32</v>
      </c>
      <c r="E4857" s="5" t="s">
        <v>501</v>
      </c>
      <c r="F4857" s="9">
        <v>39</v>
      </c>
      <c r="G4857" s="9">
        <v>383</v>
      </c>
      <c r="H4857" s="5" t="s">
        <v>20</v>
      </c>
      <c r="I4857" s="5" t="s">
        <v>10741</v>
      </c>
      <c r="J4857" s="12" t="str">
        <f>HYPERLINK("https://www.boe.es/gazeta/dias/1806/05/09/pdfs/GMD-1806-39.pdf#page=7","Abrir facsímil")</f>
        <v>Abrir facsímil</v>
      </c>
      <c r="K4857" s="15" t="s">
        <v>22</v>
      </c>
    </row>
    <row r="4858" spans="1:11" ht="42" customHeight="1">
      <c r="A4858" s="4" t="s">
        <v>10742</v>
      </c>
      <c r="B4858" s="5" t="s">
        <v>10743</v>
      </c>
      <c r="C4858" s="5" t="s">
        <v>42</v>
      </c>
      <c r="D4858" s="5" t="s">
        <v>43</v>
      </c>
      <c r="E4858" s="5" t="s">
        <v>124</v>
      </c>
      <c r="F4858" s="9">
        <v>25</v>
      </c>
      <c r="G4858" s="9">
        <v>245</v>
      </c>
      <c r="H4858" s="5" t="s">
        <v>20</v>
      </c>
      <c r="I4858" s="5" t="s">
        <v>10744</v>
      </c>
      <c r="J4858" s="12" t="str">
        <f>HYPERLINK("https://www.boe.es/gazeta/dias/1806/03/21/pdfs/GMD-1806-25.pdf#page=9","Abrir facsímil")</f>
        <v>Abrir facsímil</v>
      </c>
      <c r="K4858" s="15" t="s">
        <v>22</v>
      </c>
    </row>
    <row r="4859" spans="1:11" ht="42" customHeight="1">
      <c r="A4859" s="4" t="s">
        <v>10745</v>
      </c>
      <c r="B4859" s="5" t="s">
        <v>10746</v>
      </c>
      <c r="C4859" s="5" t="s">
        <v>31</v>
      </c>
      <c r="D4859" s="5" t="s">
        <v>32</v>
      </c>
      <c r="E4859" s="5" t="s">
        <v>44</v>
      </c>
      <c r="F4859" s="9">
        <v>42</v>
      </c>
      <c r="G4859" s="9">
        <v>421</v>
      </c>
      <c r="H4859" s="5" t="s">
        <v>20</v>
      </c>
      <c r="I4859" s="5" t="s">
        <v>10747</v>
      </c>
      <c r="J4859" s="12" t="str">
        <f>HYPERLINK("https://www.boe.es/gazeta/dias/1806/05/20/pdfs/GMD-1806-42.pdf#page=9","Abrir facsímil")</f>
        <v>Abrir facsímil</v>
      </c>
      <c r="K4859" s="15" t="s">
        <v>22</v>
      </c>
    </row>
    <row r="4860" spans="1:11" ht="42" customHeight="1">
      <c r="A4860" s="4" t="s">
        <v>10745</v>
      </c>
      <c r="B4860" s="5" t="s">
        <v>10746</v>
      </c>
      <c r="C4860" s="5" t="s">
        <v>42</v>
      </c>
      <c r="D4860" s="5" t="s">
        <v>43</v>
      </c>
      <c r="E4860" s="5" t="s">
        <v>185</v>
      </c>
      <c r="F4860" s="9">
        <v>46</v>
      </c>
      <c r="G4860" s="9">
        <v>468</v>
      </c>
      <c r="H4860" s="5" t="s">
        <v>20</v>
      </c>
      <c r="I4860" s="5" t="s">
        <v>10748</v>
      </c>
      <c r="J4860" s="12" t="str">
        <f>HYPERLINK("https://www.boe.es/gazeta/dias/1806/06/03/pdfs/GMD-1806-46.pdf#page=8","Abrir facsímil")</f>
        <v>Abrir facsímil</v>
      </c>
      <c r="K4860" s="15" t="s">
        <v>22</v>
      </c>
    </row>
    <row r="4861" spans="1:11" ht="42" customHeight="1">
      <c r="A4861" s="4" t="s">
        <v>10749</v>
      </c>
      <c r="B4861" s="5" t="s">
        <v>10750</v>
      </c>
      <c r="C4861" s="5" t="s">
        <v>17</v>
      </c>
      <c r="D4861" s="5" t="s">
        <v>18</v>
      </c>
      <c r="E4861" s="5" t="s">
        <v>859</v>
      </c>
      <c r="F4861" s="9">
        <v>63</v>
      </c>
      <c r="G4861" s="9">
        <v>660</v>
      </c>
      <c r="H4861" s="5" t="s">
        <v>20</v>
      </c>
      <c r="I4861" s="5" t="s">
        <v>10751</v>
      </c>
      <c r="J4861" s="12" t="str">
        <f>HYPERLINK("https://www.boe.es/gazeta/dias/1806/08/01/pdfs/GMD-1806-63.pdf#page=8","Abrir facsímil")</f>
        <v>Abrir facsímil</v>
      </c>
      <c r="K4861" s="15" t="s">
        <v>22</v>
      </c>
    </row>
    <row r="4862" spans="1:11" ht="42" customHeight="1">
      <c r="A4862" s="4" t="s">
        <v>10752</v>
      </c>
      <c r="B4862" s="5" t="s">
        <v>10752</v>
      </c>
      <c r="C4862" s="5" t="s">
        <v>31</v>
      </c>
      <c r="D4862" s="5" t="s">
        <v>32</v>
      </c>
      <c r="E4862" s="5" t="s">
        <v>185</v>
      </c>
      <c r="F4862" s="9">
        <v>46</v>
      </c>
      <c r="G4862" s="9">
        <v>470</v>
      </c>
      <c r="H4862" s="5" t="s">
        <v>20</v>
      </c>
      <c r="I4862" s="5" t="s">
        <v>10753</v>
      </c>
      <c r="J4862" s="12" t="str">
        <f>HYPERLINK("https://www.boe.es/gazeta/dias/1806/06/03/pdfs/GMD-1806-46.pdf#page=10","Abrir facsímil")</f>
        <v>Abrir facsímil</v>
      </c>
      <c r="K4862" s="15" t="s">
        <v>22</v>
      </c>
    </row>
    <row r="4863" spans="1:11" ht="42" customHeight="1">
      <c r="A4863" s="4" t="s">
        <v>10754</v>
      </c>
      <c r="B4863" s="5" t="s">
        <v>10754</v>
      </c>
      <c r="C4863" s="5" t="s">
        <v>31</v>
      </c>
      <c r="D4863" s="5" t="s">
        <v>32</v>
      </c>
      <c r="E4863" s="5" t="s">
        <v>76</v>
      </c>
      <c r="F4863" s="9">
        <v>98</v>
      </c>
      <c r="G4863" s="9">
        <v>1043</v>
      </c>
      <c r="H4863" s="5" t="s">
        <v>20</v>
      </c>
      <c r="I4863" s="5" t="s">
        <v>10755</v>
      </c>
      <c r="J4863" s="12" t="str">
        <f>HYPERLINK("https://www.boe.es/gazeta/dias/1806/12/02/pdfs/GMD-1806-98.pdf#page=11","Abrir facsímil")</f>
        <v>Abrir facsímil</v>
      </c>
      <c r="K4863" s="15" t="s">
        <v>22</v>
      </c>
    </row>
    <row r="4864" spans="1:11" ht="42" customHeight="1">
      <c r="A4864" s="4" t="s">
        <v>10756</v>
      </c>
      <c r="B4864" s="5" t="s">
        <v>10756</v>
      </c>
      <c r="C4864" s="5" t="s">
        <v>17</v>
      </c>
      <c r="D4864" s="5" t="s">
        <v>18</v>
      </c>
      <c r="E4864" s="5" t="s">
        <v>96</v>
      </c>
      <c r="F4864" s="9">
        <v>62</v>
      </c>
      <c r="G4864" s="9">
        <v>648</v>
      </c>
      <c r="H4864" s="5" t="s">
        <v>20</v>
      </c>
      <c r="I4864" s="5" t="s">
        <v>10757</v>
      </c>
      <c r="J4864" s="12" t="str">
        <f>HYPERLINK("https://www.boe.es/gazeta/dias/1806/07/29/pdfs/GMD-1806-62.pdf#page=8","Abrir facsímil")</f>
        <v>Abrir facsímil</v>
      </c>
      <c r="K4864" s="15" t="s">
        <v>22</v>
      </c>
    </row>
    <row r="4865" spans="1:11" ht="42" customHeight="1">
      <c r="A4865" s="4" t="s">
        <v>10758</v>
      </c>
      <c r="B4865" s="5" t="s">
        <v>10758</v>
      </c>
      <c r="C4865" s="5" t="s">
        <v>31</v>
      </c>
      <c r="D4865" s="5" t="s">
        <v>32</v>
      </c>
      <c r="E4865" s="5" t="s">
        <v>301</v>
      </c>
      <c r="F4865" s="9">
        <v>75</v>
      </c>
      <c r="G4865" s="9">
        <v>776</v>
      </c>
      <c r="H4865" s="5" t="s">
        <v>20</v>
      </c>
      <c r="I4865" s="5" t="s">
        <v>10759</v>
      </c>
      <c r="J4865" s="12" t="str">
        <f>HYPERLINK("https://www.boe.es/gazeta/dias/1806/09/12/pdfs/GMD-1806-75.pdf#page=8","Abrir facsímil")</f>
        <v>Abrir facsímil</v>
      </c>
      <c r="K4865" s="15" t="s">
        <v>22</v>
      </c>
    </row>
    <row r="4866" spans="1:11" ht="42" customHeight="1">
      <c r="A4866" s="4" t="s">
        <v>10760</v>
      </c>
      <c r="B4866" s="5" t="s">
        <v>10761</v>
      </c>
      <c r="C4866" s="5" t="s">
        <v>69</v>
      </c>
      <c r="D4866" s="5" t="s">
        <v>70</v>
      </c>
      <c r="E4866" s="5" t="s">
        <v>71</v>
      </c>
      <c r="F4866" s="9">
        <v>29</v>
      </c>
      <c r="G4866" s="9">
        <v>281</v>
      </c>
      <c r="H4866" s="5" t="s">
        <v>20</v>
      </c>
      <c r="I4866" s="5" t="s">
        <v>10762</v>
      </c>
      <c r="J4866" s="12" t="str">
        <f>HYPERLINK("https://www.boe.es/gazeta/dias/1806/04/04/pdfs/GMD-1806-29.pdf#page=1","Abrir facsímil")</f>
        <v>Abrir facsímil</v>
      </c>
      <c r="K4866" s="15" t="s">
        <v>22</v>
      </c>
    </row>
    <row r="4867" spans="1:11" ht="42" customHeight="1">
      <c r="A4867" s="4" t="s">
        <v>10763</v>
      </c>
      <c r="B4867" s="5" t="s">
        <v>10763</v>
      </c>
      <c r="C4867" s="5" t="s">
        <v>17</v>
      </c>
      <c r="D4867" s="5" t="s">
        <v>18</v>
      </c>
      <c r="E4867" s="5" t="s">
        <v>245</v>
      </c>
      <c r="F4867" s="9">
        <v>106</v>
      </c>
      <c r="G4867" s="9">
        <v>1123</v>
      </c>
      <c r="H4867" s="5" t="s">
        <v>20</v>
      </c>
      <c r="I4867" s="5" t="s">
        <v>10764</v>
      </c>
      <c r="J4867" s="12" t="str">
        <f>HYPERLINK("https://www.boe.es/gazeta/dias/1806/12/26/pdfs/GMD-1806-106.pdf#page=7","Abrir facsímil")</f>
        <v>Abrir facsímil</v>
      </c>
      <c r="K4867" s="15" t="s">
        <v>22</v>
      </c>
    </row>
    <row r="4868" spans="1:11" ht="42" customHeight="1">
      <c r="A4868" s="4" t="s">
        <v>10765</v>
      </c>
      <c r="B4868" s="5" t="s">
        <v>10765</v>
      </c>
      <c r="C4868" s="5" t="s">
        <v>31</v>
      </c>
      <c r="D4868" s="5" t="s">
        <v>32</v>
      </c>
      <c r="E4868" s="5" t="s">
        <v>285</v>
      </c>
      <c r="F4868" s="9">
        <v>13</v>
      </c>
      <c r="G4868" s="9">
        <v>115</v>
      </c>
      <c r="H4868" s="5" t="s">
        <v>20</v>
      </c>
      <c r="I4868" s="5" t="s">
        <v>10766</v>
      </c>
      <c r="J4868" s="12" t="str">
        <f>HYPERLINK("https://www.boe.es/gazeta/dias/1806/02/07/pdfs/GMD-1806-13.pdf#page=7","Abrir facsímil")</f>
        <v>Abrir facsímil</v>
      </c>
      <c r="K4868" s="15" t="s">
        <v>22</v>
      </c>
    </row>
    <row r="4869" spans="1:11" ht="42" customHeight="1">
      <c r="A4869" s="4" t="s">
        <v>10767</v>
      </c>
      <c r="B4869" s="5" t="s">
        <v>10768</v>
      </c>
      <c r="C4869" s="5" t="s">
        <v>69</v>
      </c>
      <c r="D4869" s="5" t="s">
        <v>70</v>
      </c>
      <c r="E4869" s="5" t="s">
        <v>1778</v>
      </c>
      <c r="F4869" s="9">
        <v>16</v>
      </c>
      <c r="G4869" s="9">
        <v>142</v>
      </c>
      <c r="H4869" s="5" t="s">
        <v>20</v>
      </c>
      <c r="I4869" s="5" t="s">
        <v>10769</v>
      </c>
      <c r="J4869" s="12" t="str">
        <f>HYPERLINK("https://www.boe.es/gazeta/dias/1806/02/18/pdfs/GMD-1806-16.pdf#page=6","Abrir facsímil")</f>
        <v>Abrir facsímil</v>
      </c>
      <c r="K4869" s="15" t="s">
        <v>22</v>
      </c>
    </row>
    <row r="4870" spans="1:11" ht="42" customHeight="1">
      <c r="A4870" s="4" t="s">
        <v>10770</v>
      </c>
      <c r="B4870" s="5" t="s">
        <v>10771</v>
      </c>
      <c r="C4870" s="5" t="s">
        <v>69</v>
      </c>
      <c r="D4870" s="5" t="s">
        <v>70</v>
      </c>
      <c r="E4870" s="5" t="s">
        <v>172</v>
      </c>
      <c r="F4870" s="9">
        <v>17</v>
      </c>
      <c r="G4870" s="9">
        <v>146</v>
      </c>
      <c r="H4870" s="5" t="s">
        <v>20</v>
      </c>
      <c r="I4870" s="5" t="s">
        <v>10772</v>
      </c>
      <c r="J4870" s="12" t="str">
        <f>HYPERLINK("https://www.boe.es/gazeta/dias/1806/02/21/pdfs/GMD-1806-17.pdf#page=2","Abrir facsímil")</f>
        <v>Abrir facsímil</v>
      </c>
      <c r="K4870" s="15" t="s">
        <v>22</v>
      </c>
    </row>
    <row r="4871" spans="1:11" ht="42" customHeight="1">
      <c r="A4871" s="4" t="s">
        <v>10770</v>
      </c>
      <c r="B4871" s="5" t="s">
        <v>10771</v>
      </c>
      <c r="C4871" s="5" t="s">
        <v>69</v>
      </c>
      <c r="D4871" s="5" t="s">
        <v>70</v>
      </c>
      <c r="E4871" s="5" t="s">
        <v>113</v>
      </c>
      <c r="F4871" s="9">
        <v>28</v>
      </c>
      <c r="G4871" s="9">
        <v>274</v>
      </c>
      <c r="H4871" s="5" t="s">
        <v>20</v>
      </c>
      <c r="I4871" s="5" t="s">
        <v>10773</v>
      </c>
      <c r="J4871" s="12" t="str">
        <f>HYPERLINK("https://www.boe.es/gazeta/dias/1806/04/01/pdfs/GMD-1806-28.pdf#page=2","Abrir facsímil")</f>
        <v>Abrir facsímil</v>
      </c>
      <c r="K4871" s="15" t="s">
        <v>22</v>
      </c>
    </row>
    <row r="4872" spans="1:11" ht="42" customHeight="1">
      <c r="A4872" s="4" t="s">
        <v>10770</v>
      </c>
      <c r="B4872" s="5" t="s">
        <v>10771</v>
      </c>
      <c r="C4872" s="5" t="s">
        <v>31</v>
      </c>
      <c r="D4872" s="5" t="s">
        <v>32</v>
      </c>
      <c r="E4872" s="5" t="s">
        <v>185</v>
      </c>
      <c r="F4872" s="9">
        <v>46</v>
      </c>
      <c r="G4872" s="9">
        <v>464</v>
      </c>
      <c r="H4872" s="5" t="s">
        <v>20</v>
      </c>
      <c r="I4872" s="5" t="s">
        <v>10774</v>
      </c>
      <c r="J4872" s="12" t="str">
        <f>HYPERLINK("https://www.boe.es/gazeta/dias/1806/06/03/pdfs/GMD-1806-46.pdf#page=4","Abrir facsímil")</f>
        <v>Abrir facsímil</v>
      </c>
      <c r="K4872" s="15" t="s">
        <v>22</v>
      </c>
    </row>
    <row r="4873" spans="1:11" ht="42" customHeight="1">
      <c r="A4873" s="4" t="s">
        <v>10770</v>
      </c>
      <c r="B4873" s="5" t="s">
        <v>10771</v>
      </c>
      <c r="C4873" s="5" t="s">
        <v>31</v>
      </c>
      <c r="D4873" s="5" t="s">
        <v>32</v>
      </c>
      <c r="E4873" s="5" t="s">
        <v>312</v>
      </c>
      <c r="F4873" s="9">
        <v>100</v>
      </c>
      <c r="G4873" s="9">
        <v>1060</v>
      </c>
      <c r="H4873" s="5" t="s">
        <v>20</v>
      </c>
      <c r="I4873" s="5" t="s">
        <v>10775</v>
      </c>
      <c r="J4873" s="12" t="str">
        <f>HYPERLINK("https://www.boe.es/gazeta/dias/1806/12/09/pdfs/GMD-1806-100.pdf#page=4","Abrir facsímil")</f>
        <v>Abrir facsímil</v>
      </c>
      <c r="K4873" s="15" t="s">
        <v>22</v>
      </c>
    </row>
    <row r="4874" spans="1:11" ht="42" customHeight="1">
      <c r="A4874" s="4" t="s">
        <v>10776</v>
      </c>
      <c r="B4874" s="5" t="s">
        <v>10777</v>
      </c>
      <c r="C4874" s="5" t="s">
        <v>31</v>
      </c>
      <c r="D4874" s="5" t="s">
        <v>32</v>
      </c>
      <c r="E4874" s="5" t="s">
        <v>1568</v>
      </c>
      <c r="F4874" s="9">
        <v>84</v>
      </c>
      <c r="G4874" s="9">
        <v>870</v>
      </c>
      <c r="H4874" s="5" t="s">
        <v>20</v>
      </c>
      <c r="I4874" s="5" t="s">
        <v>10778</v>
      </c>
      <c r="J4874" s="12" t="str">
        <f>HYPERLINK("https://www.boe.es/gazeta/dias/1806/10/14/pdfs/GMD-1806-84.pdf#page=6","Abrir facsímil")</f>
        <v>Abrir facsímil</v>
      </c>
      <c r="K4874" s="15" t="s">
        <v>22</v>
      </c>
    </row>
    <row r="4875" spans="1:11" ht="42" customHeight="1">
      <c r="A4875" s="4" t="s">
        <v>10779</v>
      </c>
      <c r="B4875" s="5" t="s">
        <v>10780</v>
      </c>
      <c r="C4875" s="5" t="s">
        <v>31</v>
      </c>
      <c r="D4875" s="5" t="s">
        <v>32</v>
      </c>
      <c r="E4875" s="5" t="s">
        <v>1568</v>
      </c>
      <c r="F4875" s="9">
        <v>84</v>
      </c>
      <c r="G4875" s="9">
        <v>868</v>
      </c>
      <c r="H4875" s="5" t="s">
        <v>20</v>
      </c>
      <c r="I4875" s="5" t="s">
        <v>10781</v>
      </c>
      <c r="J4875" s="12" t="str">
        <f>HYPERLINK("https://www.boe.es/gazeta/dias/1806/10/14/pdfs/GMD-1806-84.pdf#page=4","Abrir facsímil")</f>
        <v>Abrir facsímil</v>
      </c>
      <c r="K4875" s="15" t="s">
        <v>22</v>
      </c>
    </row>
    <row r="4876" spans="1:11" ht="42" customHeight="1">
      <c r="A4876" s="4" t="s">
        <v>10782</v>
      </c>
      <c r="B4876" s="5" t="s">
        <v>10783</v>
      </c>
      <c r="C4876" s="5" t="s">
        <v>75</v>
      </c>
      <c r="D4876" s="5" t="s">
        <v>43</v>
      </c>
      <c r="E4876" s="5" t="s">
        <v>118</v>
      </c>
      <c r="F4876" s="9">
        <v>15</v>
      </c>
      <c r="G4876" s="9">
        <v>135</v>
      </c>
      <c r="H4876" s="5" t="s">
        <v>20</v>
      </c>
      <c r="I4876" s="5" t="s">
        <v>10784</v>
      </c>
      <c r="J4876" s="12" t="str">
        <f>HYPERLINK("https://www.boe.es/gazeta/dias/1806/02/14/pdfs/GMD-1806-15.pdf#page=11","Abrir facsímil")</f>
        <v>Abrir facsímil</v>
      </c>
      <c r="K4876" s="15" t="s">
        <v>22</v>
      </c>
    </row>
    <row r="4877" spans="1:11" ht="42" customHeight="1">
      <c r="A4877" s="4" t="s">
        <v>10785</v>
      </c>
      <c r="B4877" s="5" t="s">
        <v>10785</v>
      </c>
      <c r="C4877" s="5" t="s">
        <v>17</v>
      </c>
      <c r="D4877" s="5" t="s">
        <v>18</v>
      </c>
      <c r="E4877" s="5" t="s">
        <v>79</v>
      </c>
      <c r="F4877" s="9">
        <v>68</v>
      </c>
      <c r="G4877" s="9">
        <v>710</v>
      </c>
      <c r="H4877" s="5" t="s">
        <v>20</v>
      </c>
      <c r="I4877" s="5" t="s">
        <v>10786</v>
      </c>
      <c r="J4877" s="12" t="str">
        <f>HYPERLINK("https://www.boe.es/gazeta/dias/1806/08/19/pdfs/GMD-1806-68.pdf#page=6","Abrir facsímil")</f>
        <v>Abrir facsímil</v>
      </c>
      <c r="K4877" s="15" t="s">
        <v>22</v>
      </c>
    </row>
    <row r="4878" spans="1:11" ht="42" customHeight="1">
      <c r="A4878" s="4" t="s">
        <v>10787</v>
      </c>
      <c r="B4878" s="5" t="s">
        <v>10788</v>
      </c>
      <c r="C4878" s="5" t="s">
        <v>31</v>
      </c>
      <c r="D4878" s="5" t="s">
        <v>32</v>
      </c>
      <c r="E4878" s="5" t="s">
        <v>312</v>
      </c>
      <c r="F4878" s="9">
        <v>100</v>
      </c>
      <c r="G4878" s="9">
        <v>1059</v>
      </c>
      <c r="H4878" s="5" t="s">
        <v>20</v>
      </c>
      <c r="I4878" s="5" t="s">
        <v>10789</v>
      </c>
      <c r="J4878" s="12" t="str">
        <f>HYPERLINK("https://www.boe.es/gazeta/dias/1806/12/09/pdfs/GMD-1806-100.pdf#page=3","Abrir facsímil")</f>
        <v>Abrir facsímil</v>
      </c>
      <c r="K4878" s="15" t="s">
        <v>22</v>
      </c>
    </row>
    <row r="4879" spans="1:11" ht="42" customHeight="1">
      <c r="A4879" s="4" t="s">
        <v>10790</v>
      </c>
      <c r="B4879" s="5" t="s">
        <v>10790</v>
      </c>
      <c r="C4879" s="5" t="s">
        <v>69</v>
      </c>
      <c r="D4879" s="5" t="s">
        <v>70</v>
      </c>
      <c r="E4879" s="5" t="s">
        <v>227</v>
      </c>
      <c r="F4879" s="9">
        <v>27</v>
      </c>
      <c r="G4879" s="9">
        <v>268</v>
      </c>
      <c r="H4879" s="5" t="s">
        <v>20</v>
      </c>
      <c r="I4879" s="5" t="s">
        <v>10791</v>
      </c>
      <c r="J4879" s="12" t="str">
        <f>HYPERLINK("https://www.boe.es/gazeta/dias/1806/03/28/pdfs/GMD-1806-27.pdf#page=8","Abrir facsímil")</f>
        <v>Abrir facsímil</v>
      </c>
      <c r="K4879" s="15" t="s">
        <v>22</v>
      </c>
    </row>
    <row r="4880" spans="1:11" ht="42" customHeight="1">
      <c r="A4880" s="4" t="s">
        <v>10792</v>
      </c>
      <c r="B4880" s="5" t="s">
        <v>10792</v>
      </c>
      <c r="C4880" s="5" t="s">
        <v>31</v>
      </c>
      <c r="D4880" s="5" t="s">
        <v>32</v>
      </c>
      <c r="E4880" s="5" t="s">
        <v>62</v>
      </c>
      <c r="F4880" s="9">
        <v>45</v>
      </c>
      <c r="G4880" s="9">
        <v>456</v>
      </c>
      <c r="H4880" s="5" t="s">
        <v>20</v>
      </c>
      <c r="I4880" s="5" t="s">
        <v>10793</v>
      </c>
      <c r="J4880" s="12" t="str">
        <f>HYPERLINK("https://www.boe.es/gazeta/dias/1806/05/30/pdfs/GMD-1806-45.pdf#page=8","Abrir facsímil")</f>
        <v>Abrir facsímil</v>
      </c>
      <c r="K4880" s="15" t="s">
        <v>22</v>
      </c>
    </row>
    <row r="4881" spans="1:11" ht="42" customHeight="1">
      <c r="A4881" s="4" t="s">
        <v>10794</v>
      </c>
      <c r="B4881" s="5" t="s">
        <v>10794</v>
      </c>
      <c r="C4881" s="5" t="s">
        <v>31</v>
      </c>
      <c r="D4881" s="5" t="s">
        <v>32</v>
      </c>
      <c r="E4881" s="5" t="s">
        <v>185</v>
      </c>
      <c r="F4881" s="9">
        <v>46</v>
      </c>
      <c r="G4881" s="9">
        <v>462</v>
      </c>
      <c r="H4881" s="5" t="s">
        <v>20</v>
      </c>
      <c r="I4881" s="5" t="s">
        <v>10795</v>
      </c>
      <c r="J4881" s="12" t="str">
        <f>HYPERLINK("https://www.boe.es/gazeta/dias/1806/06/03/pdfs/GMD-1806-46.pdf#page=2","Abrir facsímil")</f>
        <v>Abrir facsímil</v>
      </c>
      <c r="K4881" s="15" t="s">
        <v>22</v>
      </c>
    </row>
    <row r="4882" spans="1:11" ht="42" customHeight="1">
      <c r="A4882" s="4" t="s">
        <v>10796</v>
      </c>
      <c r="B4882" s="5" t="s">
        <v>10796</v>
      </c>
      <c r="C4882" s="5" t="s">
        <v>31</v>
      </c>
      <c r="D4882" s="5" t="s">
        <v>32</v>
      </c>
      <c r="E4882" s="5" t="s">
        <v>309</v>
      </c>
      <c r="F4882" s="9">
        <v>41</v>
      </c>
      <c r="G4882" s="9">
        <v>406</v>
      </c>
      <c r="H4882" s="5" t="s">
        <v>20</v>
      </c>
      <c r="I4882" s="5" t="s">
        <v>10797</v>
      </c>
      <c r="J4882" s="12" t="str">
        <f>HYPERLINK("https://www.boe.es/gazeta/dias/1806/05/16/pdfs/GMD-1806-41.pdf#page=6","Abrir facsímil")</f>
        <v>Abrir facsímil</v>
      </c>
      <c r="K4882" s="15" t="s">
        <v>22</v>
      </c>
    </row>
    <row r="4883" spans="1:11" ht="42" customHeight="1">
      <c r="A4883" s="4" t="s">
        <v>10798</v>
      </c>
      <c r="B4883" s="5" t="s">
        <v>10799</v>
      </c>
      <c r="C4883" s="5" t="s">
        <v>17</v>
      </c>
      <c r="D4883" s="5" t="s">
        <v>18</v>
      </c>
      <c r="E4883" s="5" t="s">
        <v>55</v>
      </c>
      <c r="F4883" s="9">
        <v>20</v>
      </c>
      <c r="G4883" s="9">
        <v>184</v>
      </c>
      <c r="H4883" s="5" t="s">
        <v>20</v>
      </c>
      <c r="I4883" s="5" t="s">
        <v>10800</v>
      </c>
      <c r="J4883" s="12" t="str">
        <f>HYPERLINK("https://www.boe.es/gazeta/dias/1806/03/04/pdfs/GMD-1806-20.pdf#page=8","Abrir facsímil")</f>
        <v>Abrir facsímil</v>
      </c>
      <c r="K4883" s="15" t="s">
        <v>22</v>
      </c>
    </row>
    <row r="4884" spans="1:11" ht="42" customHeight="1">
      <c r="A4884" s="4" t="s">
        <v>10801</v>
      </c>
      <c r="B4884" s="5" t="s">
        <v>10802</v>
      </c>
      <c r="C4884" s="5" t="s">
        <v>31</v>
      </c>
      <c r="D4884" s="5" t="s">
        <v>32</v>
      </c>
      <c r="E4884" s="5" t="s">
        <v>271</v>
      </c>
      <c r="F4884" s="9">
        <v>6</v>
      </c>
      <c r="G4884" s="9">
        <v>55</v>
      </c>
      <c r="H4884" s="5" t="s">
        <v>20</v>
      </c>
      <c r="I4884" s="5" t="s">
        <v>10803</v>
      </c>
      <c r="J4884" s="12" t="str">
        <f>HYPERLINK("https://www.boe.es/gazeta/dias/1806/01/17/pdfs/GMD-1806-6.pdf#page=11","Abrir facsímil")</f>
        <v>Abrir facsímil</v>
      </c>
      <c r="K4884" s="15" t="s">
        <v>22</v>
      </c>
    </row>
    <row r="4885" spans="1:11" ht="42" customHeight="1">
      <c r="A4885" s="4" t="s">
        <v>10804</v>
      </c>
      <c r="B4885" s="5" t="s">
        <v>10805</v>
      </c>
      <c r="C4885" s="5" t="s">
        <v>17</v>
      </c>
      <c r="D4885" s="5" t="s">
        <v>18</v>
      </c>
      <c r="E4885" s="5" t="s">
        <v>554</v>
      </c>
      <c r="F4885" s="9">
        <v>90</v>
      </c>
      <c r="G4885" s="9">
        <v>934</v>
      </c>
      <c r="H4885" s="5" t="s">
        <v>20</v>
      </c>
      <c r="I4885" s="5" t="s">
        <v>10806</v>
      </c>
      <c r="J4885" s="12" t="str">
        <f>HYPERLINK("https://www.boe.es/gazeta/dias/1806/11/04/pdfs/GMD-1806-90.pdf#page=10","Abrir facsímil")</f>
        <v>Abrir facsímil</v>
      </c>
      <c r="K4885" s="15" t="s">
        <v>22</v>
      </c>
    </row>
    <row r="4886" spans="1:11" ht="42" customHeight="1">
      <c r="A4886" s="4" t="s">
        <v>10807</v>
      </c>
      <c r="B4886" s="5" t="s">
        <v>10808</v>
      </c>
      <c r="C4886" s="5" t="s">
        <v>69</v>
      </c>
      <c r="D4886" s="5" t="s">
        <v>70</v>
      </c>
      <c r="E4886" s="5" t="s">
        <v>188</v>
      </c>
      <c r="F4886" s="9">
        <v>2</v>
      </c>
      <c r="G4886" s="9">
        <v>16</v>
      </c>
      <c r="H4886" s="5" t="s">
        <v>20</v>
      </c>
      <c r="I4886" s="5" t="s">
        <v>10809</v>
      </c>
      <c r="J4886" s="12" t="str">
        <f>HYPERLINK("https://www.boe.es/gazeta/dias/1806/01/07/pdfs/GMD-1806-2.pdf#page=4","Abrir facsímil")</f>
        <v>Abrir facsímil</v>
      </c>
      <c r="K4886" s="15" t="s">
        <v>22</v>
      </c>
    </row>
    <row r="4887" spans="1:11" ht="42" customHeight="1">
      <c r="A4887" s="4" t="s">
        <v>10810</v>
      </c>
      <c r="B4887" s="5" t="s">
        <v>10811</v>
      </c>
      <c r="C4887" s="5" t="s">
        <v>31</v>
      </c>
      <c r="D4887" s="5" t="s">
        <v>32</v>
      </c>
      <c r="E4887" s="5" t="s">
        <v>172</v>
      </c>
      <c r="F4887" s="9">
        <v>17</v>
      </c>
      <c r="G4887" s="9">
        <v>151</v>
      </c>
      <c r="H4887" s="5" t="s">
        <v>20</v>
      </c>
      <c r="I4887" s="5" t="s">
        <v>10812</v>
      </c>
      <c r="J4887" s="12" t="str">
        <f>HYPERLINK("https://www.boe.es/gazeta/dias/1806/02/21/pdfs/GMD-1806-17.pdf#page=7","Abrir facsímil")</f>
        <v>Abrir facsímil</v>
      </c>
      <c r="K4887" s="15" t="s">
        <v>22</v>
      </c>
    </row>
    <row r="4888" spans="1:11" ht="42" customHeight="1">
      <c r="A4888" s="4" t="s">
        <v>10813</v>
      </c>
      <c r="B4888" s="5" t="s">
        <v>10814</v>
      </c>
      <c r="C4888" s="5" t="s">
        <v>31</v>
      </c>
      <c r="D4888" s="5" t="s">
        <v>32</v>
      </c>
      <c r="E4888" s="5" t="s">
        <v>716</v>
      </c>
      <c r="F4888" s="9">
        <v>56</v>
      </c>
      <c r="G4888" s="9">
        <v>586</v>
      </c>
      <c r="H4888" s="5" t="s">
        <v>20</v>
      </c>
      <c r="I4888" s="5" t="s">
        <v>10815</v>
      </c>
      <c r="J4888" s="12" t="str">
        <f>HYPERLINK("https://www.boe.es/gazeta/dias/1806/07/08/pdfs/GMD-1806-56.pdf#page=10","Abrir facsímil")</f>
        <v>Abrir facsímil</v>
      </c>
      <c r="K4888" s="15" t="s">
        <v>22</v>
      </c>
    </row>
    <row r="4889" spans="1:11" ht="42" customHeight="1">
      <c r="A4889" s="4" t="s">
        <v>10816</v>
      </c>
      <c r="B4889" s="5" t="s">
        <v>10817</v>
      </c>
      <c r="C4889" s="5" t="s">
        <v>42</v>
      </c>
      <c r="D4889" s="5" t="s">
        <v>43</v>
      </c>
      <c r="E4889" s="5" t="s">
        <v>227</v>
      </c>
      <c r="F4889" s="9">
        <v>27</v>
      </c>
      <c r="G4889" s="9">
        <v>269</v>
      </c>
      <c r="H4889" s="5" t="s">
        <v>20</v>
      </c>
      <c r="I4889" s="5" t="s">
        <v>10818</v>
      </c>
      <c r="J4889" s="12" t="str">
        <f>HYPERLINK("https://www.boe.es/gazeta/dias/1806/03/28/pdfs/GMD-1806-27.pdf#page=9","Abrir facsímil")</f>
        <v>Abrir facsímil</v>
      </c>
      <c r="K4889" s="15" t="s">
        <v>22</v>
      </c>
    </row>
    <row r="4890" spans="1:11" ht="42" customHeight="1">
      <c r="A4890" s="4" t="s">
        <v>10819</v>
      </c>
      <c r="B4890" s="5" t="s">
        <v>10820</v>
      </c>
      <c r="C4890" s="5" t="s">
        <v>17</v>
      </c>
      <c r="D4890" s="5" t="s">
        <v>18</v>
      </c>
      <c r="E4890" s="5" t="s">
        <v>279</v>
      </c>
      <c r="F4890" s="9">
        <v>52</v>
      </c>
      <c r="G4890" s="9">
        <v>539</v>
      </c>
      <c r="H4890" s="5" t="s">
        <v>20</v>
      </c>
      <c r="I4890" s="5" t="s">
        <v>10821</v>
      </c>
      <c r="J4890" s="12" t="str">
        <f>HYPERLINK("https://www.boe.es/gazeta/dias/1806/06/24/pdfs/GMD-1806-52.pdf#page=7","Abrir facsímil")</f>
        <v>Abrir facsímil</v>
      </c>
      <c r="K4890" s="15" t="s">
        <v>22</v>
      </c>
    </row>
    <row r="4891" spans="1:11" ht="42" customHeight="1">
      <c r="A4891" s="4" t="s">
        <v>10822</v>
      </c>
      <c r="B4891" s="5" t="s">
        <v>10823</v>
      </c>
      <c r="C4891" s="5" t="s">
        <v>17</v>
      </c>
      <c r="D4891" s="5" t="s">
        <v>18</v>
      </c>
      <c r="E4891" s="5" t="s">
        <v>271</v>
      </c>
      <c r="F4891" s="9">
        <v>6</v>
      </c>
      <c r="G4891" s="9">
        <v>54</v>
      </c>
      <c r="H4891" s="5" t="s">
        <v>20</v>
      </c>
      <c r="I4891" s="5" t="s">
        <v>10824</v>
      </c>
      <c r="J4891" s="12" t="str">
        <f>HYPERLINK("https://www.boe.es/gazeta/dias/1806/01/17/pdfs/GMD-1806-6.pdf#page=10","Abrir facsímil")</f>
        <v>Abrir facsímil</v>
      </c>
      <c r="K4891" s="15" t="s">
        <v>22</v>
      </c>
    </row>
    <row r="4892" spans="1:11" ht="42" customHeight="1">
      <c r="A4892" s="4" t="s">
        <v>10825</v>
      </c>
      <c r="B4892" s="5" t="s">
        <v>10826</v>
      </c>
      <c r="C4892" s="5" t="s">
        <v>31</v>
      </c>
      <c r="D4892" s="5" t="s">
        <v>32</v>
      </c>
      <c r="E4892" s="5" t="s">
        <v>55</v>
      </c>
      <c r="F4892" s="9">
        <v>20</v>
      </c>
      <c r="G4892" s="9">
        <v>185</v>
      </c>
      <c r="H4892" s="5" t="s">
        <v>20</v>
      </c>
      <c r="I4892" s="5" t="s">
        <v>10827</v>
      </c>
      <c r="J4892" s="12" t="str">
        <f>HYPERLINK("https://www.boe.es/gazeta/dias/1806/03/04/pdfs/GMD-1806-20.pdf#page=9","Abrir facsímil")</f>
        <v>Abrir facsímil</v>
      </c>
      <c r="K4892" s="15" t="s">
        <v>22</v>
      </c>
    </row>
    <row r="4893" spans="1:11" ht="42" customHeight="1">
      <c r="A4893" s="4" t="s">
        <v>10828</v>
      </c>
      <c r="B4893" s="5" t="s">
        <v>10829</v>
      </c>
      <c r="C4893" s="5" t="s">
        <v>31</v>
      </c>
      <c r="D4893" s="5" t="s">
        <v>32</v>
      </c>
      <c r="E4893" s="5" t="s">
        <v>600</v>
      </c>
      <c r="F4893" s="9">
        <v>77</v>
      </c>
      <c r="G4893" s="9">
        <v>794</v>
      </c>
      <c r="H4893" s="5" t="s">
        <v>20</v>
      </c>
      <c r="I4893" s="5" t="s">
        <v>10830</v>
      </c>
      <c r="J4893" s="12" t="str">
        <f>HYPERLINK("https://www.boe.es/gazeta/dias/1806/09/19/pdfs/GMD-1806-77.pdf#page=6","Abrir facsímil")</f>
        <v>Abrir facsímil</v>
      </c>
      <c r="K4893" s="15" t="s">
        <v>22</v>
      </c>
    </row>
    <row r="4894" spans="1:11" ht="42" customHeight="1">
      <c r="A4894" s="4" t="s">
        <v>10831</v>
      </c>
      <c r="B4894" s="5" t="s">
        <v>10832</v>
      </c>
      <c r="C4894" s="5" t="s">
        <v>31</v>
      </c>
      <c r="D4894" s="5" t="s">
        <v>32</v>
      </c>
      <c r="E4894" s="5" t="s">
        <v>121</v>
      </c>
      <c r="F4894" s="9">
        <v>19</v>
      </c>
      <c r="G4894" s="9">
        <v>173</v>
      </c>
      <c r="H4894" s="5" t="s">
        <v>20</v>
      </c>
      <c r="I4894" s="5" t="s">
        <v>10833</v>
      </c>
      <c r="J4894" s="12" t="str">
        <f>HYPERLINK("https://www.boe.es/gazeta/dias/1806/02/28/pdfs/GMD-1806-19.pdf#page=9","Abrir facsímil")</f>
        <v>Abrir facsímil</v>
      </c>
      <c r="K4894" s="15" t="s">
        <v>22</v>
      </c>
    </row>
    <row r="4895" spans="1:11" ht="42" customHeight="1">
      <c r="A4895" s="4" t="s">
        <v>10834</v>
      </c>
      <c r="B4895" s="5" t="s">
        <v>10835</v>
      </c>
      <c r="C4895" s="5" t="s">
        <v>31</v>
      </c>
      <c r="D4895" s="5" t="s">
        <v>32</v>
      </c>
      <c r="E4895" s="5" t="s">
        <v>238</v>
      </c>
      <c r="F4895" s="9">
        <v>18</v>
      </c>
      <c r="G4895" s="9">
        <v>159</v>
      </c>
      <c r="H4895" s="5" t="s">
        <v>20</v>
      </c>
      <c r="I4895" s="5" t="s">
        <v>10836</v>
      </c>
      <c r="J4895" s="12" t="str">
        <f>HYPERLINK("https://www.boe.es/gazeta/dias/1806/02/25/pdfs/GMD-1806-18.pdf#page=7","Abrir facsímil")</f>
        <v>Abrir facsímil</v>
      </c>
      <c r="K4895" s="15" t="s">
        <v>22</v>
      </c>
    </row>
    <row r="4896" spans="1:11" ht="42" customHeight="1">
      <c r="A4896" s="4" t="s">
        <v>10837</v>
      </c>
      <c r="B4896" s="5" t="s">
        <v>10838</v>
      </c>
      <c r="C4896" s="5" t="s">
        <v>17</v>
      </c>
      <c r="D4896" s="5" t="s">
        <v>18</v>
      </c>
      <c r="E4896" s="5" t="s">
        <v>580</v>
      </c>
      <c r="F4896" s="9">
        <v>23</v>
      </c>
      <c r="G4896" s="9">
        <v>218</v>
      </c>
      <c r="H4896" s="5" t="s">
        <v>20</v>
      </c>
      <c r="I4896" s="5" t="s">
        <v>10839</v>
      </c>
      <c r="J4896" s="12" t="str">
        <f>HYPERLINK("https://www.boe.es/gazeta/dias/1806/03/14/pdfs/GMD-1806-23.pdf#page=6","Abrir facsímil")</f>
        <v>Abrir facsímil</v>
      </c>
      <c r="K4896" s="15" t="s">
        <v>22</v>
      </c>
    </row>
    <row r="4897" spans="1:11" ht="42" customHeight="1">
      <c r="A4897" s="4" t="s">
        <v>10840</v>
      </c>
      <c r="B4897" s="5" t="s">
        <v>10841</v>
      </c>
      <c r="C4897" s="5" t="s">
        <v>17</v>
      </c>
      <c r="D4897" s="5" t="s">
        <v>18</v>
      </c>
      <c r="E4897" s="5" t="s">
        <v>110</v>
      </c>
      <c r="F4897" s="9">
        <v>55</v>
      </c>
      <c r="G4897" s="9">
        <v>572</v>
      </c>
      <c r="H4897" s="5" t="s">
        <v>20</v>
      </c>
      <c r="I4897" s="5" t="s">
        <v>10842</v>
      </c>
      <c r="J4897" s="12" t="str">
        <f>HYPERLINK("https://www.boe.es/gazeta/dias/1806/07/04/pdfs/GMD-1806-55.pdf#page=8","Abrir facsímil")</f>
        <v>Abrir facsímil</v>
      </c>
      <c r="K4897" s="15" t="s">
        <v>22</v>
      </c>
    </row>
    <row r="4898" spans="1:11" ht="42" customHeight="1">
      <c r="A4898" s="4" t="s">
        <v>10843</v>
      </c>
      <c r="B4898" s="5" t="s">
        <v>10843</v>
      </c>
      <c r="C4898" s="5" t="s">
        <v>17</v>
      </c>
      <c r="D4898" s="5" t="s">
        <v>18</v>
      </c>
      <c r="E4898" s="5" t="s">
        <v>191</v>
      </c>
      <c r="F4898" s="9">
        <v>103</v>
      </c>
      <c r="G4898" s="9">
        <v>1097</v>
      </c>
      <c r="H4898" s="5" t="s">
        <v>20</v>
      </c>
      <c r="I4898" s="5" t="s">
        <v>10844</v>
      </c>
      <c r="J4898" s="12" t="str">
        <f>HYPERLINK("https://www.boe.es/gazeta/dias/1806/12/19/pdfs/GMD-1806-103.pdf#page=9","Abrir facsímil")</f>
        <v>Abrir facsímil</v>
      </c>
      <c r="K4898" s="15" t="s">
        <v>22</v>
      </c>
    </row>
    <row r="4899" spans="1:11" ht="42" customHeight="1">
      <c r="A4899" s="4" t="s">
        <v>10845</v>
      </c>
      <c r="B4899" s="5" t="s">
        <v>10846</v>
      </c>
      <c r="C4899" s="5" t="s">
        <v>17</v>
      </c>
      <c r="D4899" s="5" t="s">
        <v>18</v>
      </c>
      <c r="E4899" s="5" t="s">
        <v>195</v>
      </c>
      <c r="F4899" s="9">
        <v>4</v>
      </c>
      <c r="G4899" s="9">
        <v>35</v>
      </c>
      <c r="H4899" s="5" t="s">
        <v>20</v>
      </c>
      <c r="I4899" s="5" t="s">
        <v>10847</v>
      </c>
      <c r="J4899" s="12" t="str">
        <f>HYPERLINK("https://www.boe.es/gazeta/dias/1806/01/14/pdfs/GMD-1806-4.pdf#page=7","Abrir facsímil")</f>
        <v>Abrir facsímil</v>
      </c>
      <c r="K4899" s="15" t="s">
        <v>22</v>
      </c>
    </row>
    <row r="4900" spans="1:11" ht="42" customHeight="1">
      <c r="A4900" s="4" t="s">
        <v>10848</v>
      </c>
      <c r="B4900" s="5" t="s">
        <v>10849</v>
      </c>
      <c r="C4900" s="5" t="s">
        <v>31</v>
      </c>
      <c r="D4900" s="5" t="s">
        <v>32</v>
      </c>
      <c r="E4900" s="5" t="s">
        <v>79</v>
      </c>
      <c r="F4900" s="9">
        <v>68</v>
      </c>
      <c r="G4900" s="9">
        <v>709</v>
      </c>
      <c r="H4900" s="5" t="s">
        <v>20</v>
      </c>
      <c r="I4900" s="5" t="s">
        <v>10850</v>
      </c>
      <c r="J4900" s="12" t="str">
        <f>HYPERLINK("https://www.boe.es/gazeta/dias/1806/08/19/pdfs/GMD-1806-68.pdf#page=5","Abrir facsímil")</f>
        <v>Abrir facsímil</v>
      </c>
      <c r="K4900" s="15" t="s">
        <v>22</v>
      </c>
    </row>
    <row r="4901" spans="1:11" ht="42" customHeight="1">
      <c r="A4901" s="4" t="s">
        <v>10851</v>
      </c>
      <c r="B4901" s="5" t="s">
        <v>10852</v>
      </c>
      <c r="C4901" s="5" t="s">
        <v>31</v>
      </c>
      <c r="D4901" s="5" t="s">
        <v>32</v>
      </c>
      <c r="E4901" s="5" t="s">
        <v>118</v>
      </c>
      <c r="F4901" s="9">
        <v>15</v>
      </c>
      <c r="G4901" s="9">
        <v>134</v>
      </c>
      <c r="H4901" s="5" t="s">
        <v>20</v>
      </c>
      <c r="I4901" s="5" t="s">
        <v>10853</v>
      </c>
      <c r="J4901" s="12" t="str">
        <f>HYPERLINK("https://www.boe.es/gazeta/dias/1806/02/14/pdfs/GMD-1806-15.pdf#page=10","Abrir facsímil")</f>
        <v>Abrir facsímil</v>
      </c>
      <c r="K4901" s="15" t="s">
        <v>22</v>
      </c>
    </row>
    <row r="4902" spans="1:11" ht="42" customHeight="1">
      <c r="A4902" s="4" t="s">
        <v>10854</v>
      </c>
      <c r="B4902" s="5" t="s">
        <v>10855</v>
      </c>
      <c r="C4902" s="5" t="s">
        <v>31</v>
      </c>
      <c r="D4902" s="5" t="s">
        <v>32</v>
      </c>
      <c r="E4902" s="5" t="s">
        <v>290</v>
      </c>
      <c r="F4902" s="9">
        <v>1</v>
      </c>
      <c r="G4902" s="9">
        <v>8</v>
      </c>
      <c r="H4902" s="5" t="s">
        <v>20</v>
      </c>
      <c r="I4902" s="5" t="s">
        <v>10856</v>
      </c>
      <c r="J4902" s="12" t="str">
        <f>HYPERLINK("https://www.boe.es/gazeta/dias/1806/01/03/pdfs/GMD-1806-1.pdf#page=8","Abrir facsímil")</f>
        <v>Abrir facsímil</v>
      </c>
      <c r="K4902" s="15" t="s">
        <v>22</v>
      </c>
    </row>
    <row r="4903" spans="1:11" ht="42" customHeight="1">
      <c r="A4903" s="4" t="s">
        <v>10857</v>
      </c>
      <c r="B4903" s="5" t="s">
        <v>10858</v>
      </c>
      <c r="C4903" s="5" t="s">
        <v>447</v>
      </c>
      <c r="D4903" s="5" t="s">
        <v>448</v>
      </c>
      <c r="E4903" s="5" t="s">
        <v>304</v>
      </c>
      <c r="F4903" s="9">
        <v>47</v>
      </c>
      <c r="G4903" s="9">
        <v>481</v>
      </c>
      <c r="H4903" s="5" t="s">
        <v>20</v>
      </c>
      <c r="I4903" s="5" t="s">
        <v>10859</v>
      </c>
      <c r="J4903" s="12" t="str">
        <f>HYPERLINK("https://www.boe.es/gazeta/dias/1806/06/06/pdfs/GMD-C-1806-47.pdf#page=1","Abrir facsímil")</f>
        <v>Abrir facsímil</v>
      </c>
      <c r="K4903" s="15" t="s">
        <v>22</v>
      </c>
    </row>
    <row r="4904" spans="1:11" ht="42" customHeight="1">
      <c r="A4904" s="4" t="s">
        <v>10860</v>
      </c>
      <c r="B4904" s="5" t="s">
        <v>10861</v>
      </c>
      <c r="C4904" s="5" t="s">
        <v>31</v>
      </c>
      <c r="D4904" s="5" t="s">
        <v>32</v>
      </c>
      <c r="E4904" s="5" t="s">
        <v>209</v>
      </c>
      <c r="F4904" s="9">
        <v>95</v>
      </c>
      <c r="G4904" s="9">
        <v>1005</v>
      </c>
      <c r="H4904" s="5" t="s">
        <v>20</v>
      </c>
      <c r="I4904" s="5" t="s">
        <v>10862</v>
      </c>
      <c r="J4904" s="12" t="str">
        <f>HYPERLINK("https://www.boe.es/gazeta/dias/1806/11/21/pdfs/GMD-1806-95.pdf#page=13","Abrir facsímil")</f>
        <v>Abrir facsímil</v>
      </c>
      <c r="K4904" s="15" t="s">
        <v>22</v>
      </c>
    </row>
    <row r="4905" spans="1:11" ht="42" customHeight="1">
      <c r="A4905" s="4" t="s">
        <v>10863</v>
      </c>
      <c r="B4905" s="5" t="s">
        <v>10864</v>
      </c>
      <c r="C4905" s="5" t="s">
        <v>17</v>
      </c>
      <c r="D4905" s="5" t="s">
        <v>18</v>
      </c>
      <c r="E4905" s="5" t="s">
        <v>494</v>
      </c>
      <c r="F4905" s="9">
        <v>69</v>
      </c>
      <c r="G4905" s="9">
        <v>721</v>
      </c>
      <c r="H4905" s="5" t="s">
        <v>20</v>
      </c>
      <c r="I4905" s="5" t="s">
        <v>10865</v>
      </c>
      <c r="J4905" s="12" t="str">
        <f>HYPERLINK("https://www.boe.es/gazeta/dias/1806/08/22/pdfs/GMD-1806-69.pdf#page=9","Abrir facsímil")</f>
        <v>Abrir facsímil</v>
      </c>
      <c r="K4905" s="15" t="s">
        <v>22</v>
      </c>
    </row>
    <row r="4906" spans="1:11" ht="42" customHeight="1">
      <c r="A4906" s="4" t="s">
        <v>10866</v>
      </c>
      <c r="B4906" s="5" t="s">
        <v>10867</v>
      </c>
      <c r="C4906" s="5" t="s">
        <v>31</v>
      </c>
      <c r="D4906" s="5" t="s">
        <v>32</v>
      </c>
      <c r="E4906" s="5" t="s">
        <v>689</v>
      </c>
      <c r="F4906" s="9">
        <v>37</v>
      </c>
      <c r="G4906" s="9">
        <v>361</v>
      </c>
      <c r="H4906" s="5" t="s">
        <v>20</v>
      </c>
      <c r="I4906" s="5" t="s">
        <v>10868</v>
      </c>
      <c r="J4906" s="12" t="str">
        <f>HYPERLINK("https://www.boe.es/gazeta/dias/1806/05/02/pdfs/GMD-1806-37.pdf#page=9","Abrir facsímil")</f>
        <v>Abrir facsímil</v>
      </c>
      <c r="K4906" s="15" t="s">
        <v>22</v>
      </c>
    </row>
    <row r="4907" spans="1:11" ht="42" customHeight="1">
      <c r="A4907" s="4" t="s">
        <v>10869</v>
      </c>
      <c r="B4907" s="5" t="s">
        <v>10870</v>
      </c>
      <c r="C4907" s="5" t="s">
        <v>42</v>
      </c>
      <c r="D4907" s="5" t="s">
        <v>43</v>
      </c>
      <c r="E4907" s="5" t="s">
        <v>181</v>
      </c>
      <c r="F4907" s="9">
        <v>99</v>
      </c>
      <c r="G4907" s="9">
        <v>1053</v>
      </c>
      <c r="H4907" s="5" t="s">
        <v>20</v>
      </c>
      <c r="I4907" s="5" t="s">
        <v>10871</v>
      </c>
      <c r="J4907" s="12" t="str">
        <f>HYPERLINK("https://www.boe.es/gazeta/dias/1806/12/05/pdfs/GMD-1806-99.pdf#page=9","Abrir facsímil")</f>
        <v>Abrir facsímil</v>
      </c>
      <c r="K4907" s="15" t="s">
        <v>22</v>
      </c>
    </row>
    <row r="4908" spans="1:11" ht="42" customHeight="1">
      <c r="A4908" s="4" t="s">
        <v>10872</v>
      </c>
      <c r="B4908" s="5" t="s">
        <v>10873</v>
      </c>
      <c r="C4908" s="5" t="s">
        <v>69</v>
      </c>
      <c r="D4908" s="5" t="s">
        <v>70</v>
      </c>
      <c r="E4908" s="5" t="s">
        <v>38</v>
      </c>
      <c r="F4908" s="9">
        <v>92</v>
      </c>
      <c r="G4908" s="9">
        <v>959</v>
      </c>
      <c r="H4908" s="5" t="s">
        <v>20</v>
      </c>
      <c r="I4908" s="5" t="s">
        <v>10874</v>
      </c>
      <c r="J4908" s="12" t="str">
        <f>HYPERLINK("https://www.boe.es/gazeta/dias/1806/11/11/pdfs/GMD-1806-92.pdf#page=11","Abrir facsímil")</f>
        <v>Abrir facsímil</v>
      </c>
      <c r="K4908" s="15" t="s">
        <v>22</v>
      </c>
    </row>
    <row r="4909" spans="1:11" ht="42" customHeight="1">
      <c r="A4909" s="4" t="s">
        <v>10875</v>
      </c>
      <c r="B4909" s="5" t="s">
        <v>10876</v>
      </c>
      <c r="C4909" s="5" t="s">
        <v>31</v>
      </c>
      <c r="D4909" s="5" t="s">
        <v>32</v>
      </c>
      <c r="E4909" s="5" t="s">
        <v>570</v>
      </c>
      <c r="F4909" s="9">
        <v>93</v>
      </c>
      <c r="G4909" s="9">
        <v>978</v>
      </c>
      <c r="H4909" s="5" t="s">
        <v>20</v>
      </c>
      <c r="I4909" s="5" t="s">
        <v>10877</v>
      </c>
      <c r="J4909" s="12" t="str">
        <f>HYPERLINK("https://www.boe.es/gazeta/dias/1806/11/14/pdfs/GMD-1806-93.pdf#page=14","Abrir facsímil")</f>
        <v>Abrir facsímil</v>
      </c>
      <c r="K4909" s="15" t="s">
        <v>22</v>
      </c>
    </row>
    <row r="4910" spans="1:11" ht="42" customHeight="1">
      <c r="A4910" s="4" t="s">
        <v>10878</v>
      </c>
      <c r="B4910" s="5" t="s">
        <v>10878</v>
      </c>
      <c r="C4910" s="5" t="s">
        <v>69</v>
      </c>
      <c r="D4910" s="5" t="s">
        <v>70</v>
      </c>
      <c r="E4910" s="5" t="s">
        <v>580</v>
      </c>
      <c r="F4910" s="9">
        <v>23</v>
      </c>
      <c r="G4910" s="9">
        <v>215</v>
      </c>
      <c r="H4910" s="5" t="s">
        <v>20</v>
      </c>
      <c r="I4910" s="5" t="s">
        <v>10879</v>
      </c>
      <c r="J4910" s="12" t="str">
        <f>HYPERLINK("https://www.boe.es/gazeta/dias/1806/03/14/pdfs/GMD-1806-23.pdf#page=3","Abrir facsímil")</f>
        <v>Abrir facsímil</v>
      </c>
      <c r="K4910" s="15" t="s">
        <v>22</v>
      </c>
    </row>
    <row r="4911" spans="1:11" ht="42" customHeight="1">
      <c r="A4911" s="4" t="s">
        <v>10880</v>
      </c>
      <c r="B4911" s="5" t="s">
        <v>10880</v>
      </c>
      <c r="C4911" s="5" t="s">
        <v>31</v>
      </c>
      <c r="D4911" s="5" t="s">
        <v>32</v>
      </c>
      <c r="E4911" s="5" t="s">
        <v>205</v>
      </c>
      <c r="F4911" s="9">
        <v>57</v>
      </c>
      <c r="G4911" s="9">
        <v>592</v>
      </c>
      <c r="H4911" s="5" t="s">
        <v>20</v>
      </c>
      <c r="I4911" s="5" t="s">
        <v>10881</v>
      </c>
      <c r="J4911" s="12" t="str">
        <f>HYPERLINK("https://www.boe.es/gazeta/dias/1806/07/11/pdfs/GMD-1806-57.pdf#page=4","Abrir facsímil")</f>
        <v>Abrir facsímil</v>
      </c>
      <c r="K4911" s="15" t="s">
        <v>22</v>
      </c>
    </row>
    <row r="4912" spans="1:11" ht="42" customHeight="1">
      <c r="A4912" s="4" t="s">
        <v>10882</v>
      </c>
      <c r="B4912" s="5" t="s">
        <v>10882</v>
      </c>
      <c r="C4912" s="5" t="s">
        <v>75</v>
      </c>
      <c r="D4912" s="5" t="s">
        <v>43</v>
      </c>
      <c r="E4912" s="5" t="s">
        <v>28</v>
      </c>
      <c r="F4912" s="9">
        <v>102</v>
      </c>
      <c r="G4912" s="9">
        <v>1086</v>
      </c>
      <c r="H4912" s="5" t="s">
        <v>20</v>
      </c>
      <c r="I4912" s="5" t="s">
        <v>10883</v>
      </c>
      <c r="J4912" s="12" t="str">
        <f>HYPERLINK("https://www.boe.es/gazeta/dias/1806/12/16/pdfs/GMD-1806-102.pdf#page=10","Abrir facsímil")</f>
        <v>Abrir facsímil</v>
      </c>
      <c r="K4912" s="15" t="s">
        <v>22</v>
      </c>
    </row>
    <row r="4913" spans="1:11" ht="42" customHeight="1">
      <c r="A4913" s="4" t="s">
        <v>10884</v>
      </c>
      <c r="B4913" s="5" t="s">
        <v>10885</v>
      </c>
      <c r="C4913" s="5" t="s">
        <v>36</v>
      </c>
      <c r="D4913" s="5" t="s">
        <v>37</v>
      </c>
      <c r="E4913" s="5" t="s">
        <v>680</v>
      </c>
      <c r="F4913" s="9">
        <v>97</v>
      </c>
      <c r="G4913" s="9">
        <v>1022</v>
      </c>
      <c r="H4913" s="5" t="s">
        <v>20</v>
      </c>
      <c r="I4913" s="5" t="s">
        <v>10886</v>
      </c>
      <c r="J4913" s="12" t="str">
        <f>HYPERLINK("https://www.boe.es/gazeta/dias/1806/11/28/pdfs/GMD-1806-97.pdf#page=2","Abrir facsímil")</f>
        <v>Abrir facsímil</v>
      </c>
      <c r="K4913" s="15" t="s">
        <v>22</v>
      </c>
    </row>
    <row r="4914" spans="1:11" ht="42" customHeight="1">
      <c r="A4914" s="4" t="s">
        <v>10887</v>
      </c>
      <c r="B4914" s="5" t="s">
        <v>10887</v>
      </c>
      <c r="C4914" s="5" t="s">
        <v>69</v>
      </c>
      <c r="D4914" s="5" t="s">
        <v>70</v>
      </c>
      <c r="E4914" s="5" t="s">
        <v>304</v>
      </c>
      <c r="F4914" s="9">
        <v>47</v>
      </c>
      <c r="G4914" s="9">
        <v>475</v>
      </c>
      <c r="H4914" s="5" t="s">
        <v>20</v>
      </c>
      <c r="I4914" s="5" t="s">
        <v>10888</v>
      </c>
      <c r="J4914" s="12" t="str">
        <f>HYPERLINK("https://www.boe.es/gazeta/dias/1806/06/06/pdfs/GMD-1806-47.pdf#page=3","Abrir facsímil")</f>
        <v>Abrir facsímil</v>
      </c>
      <c r="K4914" s="15" t="s">
        <v>22</v>
      </c>
    </row>
    <row r="4915" spans="1:11" ht="42" customHeight="1">
      <c r="A4915" s="4" t="s">
        <v>10889</v>
      </c>
      <c r="B4915" s="5" t="s">
        <v>10890</v>
      </c>
      <c r="C4915" s="5" t="s">
        <v>31</v>
      </c>
      <c r="D4915" s="5" t="s">
        <v>32</v>
      </c>
      <c r="E4915" s="5" t="s">
        <v>136</v>
      </c>
      <c r="F4915" s="9">
        <v>50</v>
      </c>
      <c r="G4915" s="9">
        <v>515</v>
      </c>
      <c r="H4915" s="5" t="s">
        <v>20</v>
      </c>
      <c r="I4915" s="5" t="s">
        <v>10891</v>
      </c>
      <c r="J4915" s="12" t="str">
        <f>HYPERLINK("https://www.boe.es/gazeta/dias/1806/06/17/pdfs/GMD-1806-50.pdf#page=7","Abrir facsímil")</f>
        <v>Abrir facsímil</v>
      </c>
      <c r="K4915" s="15" t="s">
        <v>22</v>
      </c>
    </row>
    <row r="4916" spans="1:11" ht="42" customHeight="1">
      <c r="A4916" s="4" t="s">
        <v>10889</v>
      </c>
      <c r="B4916" s="5" t="s">
        <v>10890</v>
      </c>
      <c r="C4916" s="5" t="s">
        <v>42</v>
      </c>
      <c r="D4916" s="5" t="s">
        <v>43</v>
      </c>
      <c r="E4916" s="5" t="s">
        <v>148</v>
      </c>
      <c r="F4916" s="9">
        <v>78</v>
      </c>
      <c r="G4916" s="9">
        <v>804</v>
      </c>
      <c r="H4916" s="5" t="s">
        <v>20</v>
      </c>
      <c r="I4916" s="5" t="s">
        <v>10892</v>
      </c>
      <c r="J4916" s="12" t="str">
        <f>HYPERLINK("https://www.boe.es/gazeta/dias/1806/09/23/pdfs/GMD-1806-78.pdf#page=8","Abrir facsímil")</f>
        <v>Abrir facsímil</v>
      </c>
      <c r="K4916" s="15" t="s">
        <v>22</v>
      </c>
    </row>
    <row r="4917" spans="1:11" ht="42" customHeight="1">
      <c r="A4917" s="4" t="s">
        <v>10893</v>
      </c>
      <c r="B4917" s="5" t="s">
        <v>10894</v>
      </c>
      <c r="C4917" s="5" t="s">
        <v>31</v>
      </c>
      <c r="D4917" s="5" t="s">
        <v>32</v>
      </c>
      <c r="E4917" s="5" t="s">
        <v>79</v>
      </c>
      <c r="F4917" s="9">
        <v>68</v>
      </c>
      <c r="G4917" s="9">
        <v>709</v>
      </c>
      <c r="H4917" s="5" t="s">
        <v>20</v>
      </c>
      <c r="I4917" s="5" t="s">
        <v>10895</v>
      </c>
      <c r="J4917" s="12" t="str">
        <f>HYPERLINK("https://www.boe.es/gazeta/dias/1806/08/19/pdfs/GMD-1806-68.pdf#page=5","Abrir facsímil")</f>
        <v>Abrir facsímil</v>
      </c>
      <c r="K4917" s="15" t="s">
        <v>22</v>
      </c>
    </row>
    <row r="4918" spans="1:11" ht="42" customHeight="1">
      <c r="A4918" s="4" t="s">
        <v>10896</v>
      </c>
      <c r="B4918" s="5" t="s">
        <v>10897</v>
      </c>
      <c r="C4918" s="5" t="s">
        <v>31</v>
      </c>
      <c r="D4918" s="5" t="s">
        <v>32</v>
      </c>
      <c r="E4918" s="5" t="s">
        <v>430</v>
      </c>
      <c r="F4918" s="9">
        <v>12</v>
      </c>
      <c r="G4918" s="9">
        <v>106</v>
      </c>
      <c r="H4918" s="5" t="s">
        <v>20</v>
      </c>
      <c r="I4918" s="5" t="s">
        <v>10898</v>
      </c>
      <c r="J4918" s="12" t="str">
        <f>HYPERLINK("https://www.boe.es/gazeta/dias/1806/02/04/pdfs/GMD-1806-12.pdf#page=6","Abrir facsímil")</f>
        <v>Abrir facsímil</v>
      </c>
      <c r="K4918" s="15" t="s">
        <v>22</v>
      </c>
    </row>
    <row r="4919" spans="1:11" ht="42" customHeight="1">
      <c r="A4919" s="4" t="s">
        <v>10899</v>
      </c>
      <c r="B4919" s="5" t="s">
        <v>10900</v>
      </c>
      <c r="C4919" s="5" t="s">
        <v>17</v>
      </c>
      <c r="D4919" s="5" t="s">
        <v>18</v>
      </c>
      <c r="E4919" s="5" t="s">
        <v>501</v>
      </c>
      <c r="F4919" s="9">
        <v>39</v>
      </c>
      <c r="G4919" s="9">
        <v>385</v>
      </c>
      <c r="H4919" s="5" t="s">
        <v>20</v>
      </c>
      <c r="I4919" s="5" t="s">
        <v>10901</v>
      </c>
      <c r="J4919" s="12" t="str">
        <f>HYPERLINK("https://www.boe.es/gazeta/dias/1806/05/09/pdfs/GMD-1806-39.pdf#page=9","Abrir facsímil")</f>
        <v>Abrir facsímil</v>
      </c>
      <c r="K4919" s="15" t="s">
        <v>22</v>
      </c>
    </row>
    <row r="4920" spans="1:11" ht="42" customHeight="1">
      <c r="A4920" s="4" t="s">
        <v>10902</v>
      </c>
      <c r="B4920" s="5" t="s">
        <v>10903</v>
      </c>
      <c r="C4920" s="5" t="s">
        <v>17</v>
      </c>
      <c r="D4920" s="5" t="s">
        <v>18</v>
      </c>
      <c r="E4920" s="5" t="s">
        <v>309</v>
      </c>
      <c r="F4920" s="9">
        <v>41</v>
      </c>
      <c r="G4920" s="9">
        <v>409</v>
      </c>
      <c r="H4920" s="5" t="s">
        <v>20</v>
      </c>
      <c r="I4920" s="5" t="s">
        <v>10904</v>
      </c>
      <c r="J4920" s="12" t="str">
        <f>HYPERLINK("https://www.boe.es/gazeta/dias/1806/05/16/pdfs/GMD-1806-41.pdf#page=9","Abrir facsímil")</f>
        <v>Abrir facsímil</v>
      </c>
      <c r="K4920" s="15" t="s">
        <v>22</v>
      </c>
    </row>
    <row r="4921" spans="1:11" ht="42" customHeight="1">
      <c r="A4921" s="4" t="s">
        <v>10905</v>
      </c>
      <c r="B4921" s="5" t="s">
        <v>10905</v>
      </c>
      <c r="C4921" s="5" t="s">
        <v>31</v>
      </c>
      <c r="D4921" s="5" t="s">
        <v>32</v>
      </c>
      <c r="E4921" s="5" t="s">
        <v>680</v>
      </c>
      <c r="F4921" s="9">
        <v>97</v>
      </c>
      <c r="G4921" s="9">
        <v>1029</v>
      </c>
      <c r="H4921" s="5" t="s">
        <v>20</v>
      </c>
      <c r="I4921" s="5" t="s">
        <v>10906</v>
      </c>
      <c r="J4921" s="12" t="str">
        <f>HYPERLINK("https://www.boe.es/gazeta/dias/1806/11/28/pdfs/GMD-1806-97.pdf#page=9","Abrir facsímil")</f>
        <v>Abrir facsímil</v>
      </c>
      <c r="K4921" s="15" t="s">
        <v>22</v>
      </c>
    </row>
    <row r="4922" spans="1:11" ht="42" customHeight="1">
      <c r="A4922" s="4" t="s">
        <v>10907</v>
      </c>
      <c r="B4922" s="5" t="s">
        <v>10908</v>
      </c>
      <c r="C4922" s="5" t="s">
        <v>31</v>
      </c>
      <c r="D4922" s="5" t="s">
        <v>32</v>
      </c>
      <c r="E4922" s="5" t="s">
        <v>327</v>
      </c>
      <c r="F4922" s="9">
        <v>104</v>
      </c>
      <c r="G4922" s="9">
        <v>1110</v>
      </c>
      <c r="H4922" s="5" t="s">
        <v>20</v>
      </c>
      <c r="I4922" s="5" t="s">
        <v>10909</v>
      </c>
      <c r="J4922" s="12" t="str">
        <f>HYPERLINK("https://www.boe.es/gazeta/dias/1806/12/23/pdfs/GMD-1806-104.pdf#page=10","Abrir facsímil")</f>
        <v>Abrir facsímil</v>
      </c>
      <c r="K4922" s="15" t="s">
        <v>22</v>
      </c>
    </row>
    <row r="4923" spans="1:11" ht="42" customHeight="1">
      <c r="A4923" s="4" t="s">
        <v>10910</v>
      </c>
      <c r="B4923" s="5" t="s">
        <v>10910</v>
      </c>
      <c r="C4923" s="5" t="s">
        <v>31</v>
      </c>
      <c r="D4923" s="5" t="s">
        <v>32</v>
      </c>
      <c r="E4923" s="5" t="s">
        <v>554</v>
      </c>
      <c r="F4923" s="9">
        <v>90</v>
      </c>
      <c r="G4923" s="9">
        <v>936</v>
      </c>
      <c r="H4923" s="5" t="s">
        <v>20</v>
      </c>
      <c r="I4923" s="5" t="s">
        <v>10911</v>
      </c>
      <c r="J4923" s="12" t="str">
        <f>HYPERLINK("https://www.boe.es/gazeta/dias/1806/11/04/pdfs/GMD-1806-90.pdf#page=12","Abrir facsímil")</f>
        <v>Abrir facsímil</v>
      </c>
      <c r="K4923" s="15" t="s">
        <v>22</v>
      </c>
    </row>
    <row r="4924" spans="1:11" ht="42" customHeight="1">
      <c r="A4924" s="4" t="s">
        <v>10912</v>
      </c>
      <c r="B4924" s="5" t="s">
        <v>10913</v>
      </c>
      <c r="C4924" s="5" t="s">
        <v>31</v>
      </c>
      <c r="D4924" s="5" t="s">
        <v>32</v>
      </c>
      <c r="E4924" s="5" t="s">
        <v>202</v>
      </c>
      <c r="F4924" s="9">
        <v>30</v>
      </c>
      <c r="G4924" s="9">
        <v>295</v>
      </c>
      <c r="H4924" s="5" t="s">
        <v>20</v>
      </c>
      <c r="I4924" s="5" t="s">
        <v>10914</v>
      </c>
      <c r="J4924" s="12" t="str">
        <f>HYPERLINK("https://www.boe.es/gazeta/dias/1806/04/08/pdfs/GMD-1806-30.pdf#page=7","Abrir facsímil")</f>
        <v>Abrir facsímil</v>
      </c>
      <c r="K4924" s="15" t="s">
        <v>22</v>
      </c>
    </row>
    <row r="4925" spans="1:11" ht="42" customHeight="1">
      <c r="A4925" s="4" t="s">
        <v>10915</v>
      </c>
      <c r="B4925" s="5" t="s">
        <v>10916</v>
      </c>
      <c r="C4925" s="5" t="s">
        <v>42</v>
      </c>
      <c r="D4925" s="5" t="s">
        <v>43</v>
      </c>
      <c r="E4925" s="5" t="s">
        <v>285</v>
      </c>
      <c r="F4925" s="9">
        <v>13</v>
      </c>
      <c r="G4925" s="9">
        <v>115</v>
      </c>
      <c r="H4925" s="5" t="s">
        <v>20</v>
      </c>
      <c r="I4925" s="5" t="s">
        <v>10917</v>
      </c>
      <c r="J4925" s="12" t="str">
        <f>HYPERLINK("https://www.boe.es/gazeta/dias/1806/02/07/pdfs/GMD-1806-13.pdf#page=7","Abrir facsímil")</f>
        <v>Abrir facsímil</v>
      </c>
      <c r="K4925" s="15" t="s">
        <v>22</v>
      </c>
    </row>
    <row r="4926" spans="1:11" ht="42" customHeight="1">
      <c r="A4926" s="4" t="s">
        <v>10918</v>
      </c>
      <c r="B4926" s="5" t="s">
        <v>10919</v>
      </c>
      <c r="C4926" s="5" t="s">
        <v>17</v>
      </c>
      <c r="D4926" s="5" t="s">
        <v>18</v>
      </c>
      <c r="E4926" s="5" t="s">
        <v>213</v>
      </c>
      <c r="F4926" s="9">
        <v>73</v>
      </c>
      <c r="G4926" s="9">
        <v>759</v>
      </c>
      <c r="H4926" s="5" t="s">
        <v>20</v>
      </c>
      <c r="I4926" s="5" t="s">
        <v>10920</v>
      </c>
      <c r="J4926" s="12" t="str">
        <f>HYPERLINK("https://www.boe.es/gazeta/dias/1806/09/05/pdfs/GMD-1806-73.pdf#page=7","Abrir facsímil")</f>
        <v>Abrir facsímil</v>
      </c>
      <c r="K4926" s="15" t="s">
        <v>22</v>
      </c>
    </row>
    <row r="4927" spans="1:11" ht="42" customHeight="1">
      <c r="A4927" s="4" t="s">
        <v>10921</v>
      </c>
      <c r="B4927" s="5" t="s">
        <v>10922</v>
      </c>
      <c r="C4927" s="5" t="s">
        <v>31</v>
      </c>
      <c r="D4927" s="5" t="s">
        <v>32</v>
      </c>
      <c r="E4927" s="5" t="s">
        <v>911</v>
      </c>
      <c r="F4927" s="9">
        <v>64</v>
      </c>
      <c r="G4927" s="9">
        <v>670</v>
      </c>
      <c r="H4927" s="5" t="s">
        <v>20</v>
      </c>
      <c r="I4927" s="5" t="s">
        <v>10923</v>
      </c>
      <c r="J4927" s="12" t="str">
        <f>HYPERLINK("https://www.boe.es/gazeta/dias/1806/08/05/pdfs/GMD-1806-64.pdf#page=6","Abrir facsímil")</f>
        <v>Abrir facsímil</v>
      </c>
      <c r="K4927" s="15" t="s">
        <v>22</v>
      </c>
    </row>
    <row r="4928" spans="1:11" ht="42" customHeight="1">
      <c r="A4928" s="4" t="s">
        <v>10924</v>
      </c>
      <c r="B4928" s="5" t="s">
        <v>10925</v>
      </c>
      <c r="C4928" s="5" t="s">
        <v>17</v>
      </c>
      <c r="D4928" s="5" t="s">
        <v>18</v>
      </c>
      <c r="E4928" s="5" t="s">
        <v>148</v>
      </c>
      <c r="F4928" s="9">
        <v>78</v>
      </c>
      <c r="G4928" s="9">
        <v>804</v>
      </c>
      <c r="H4928" s="5" t="s">
        <v>20</v>
      </c>
      <c r="I4928" s="5" t="s">
        <v>10926</v>
      </c>
      <c r="J4928" s="12" t="str">
        <f>HYPERLINK("https://www.boe.es/gazeta/dias/1806/09/23/pdfs/GMD-1806-78.pdf#page=8","Abrir facsímil")</f>
        <v>Abrir facsímil</v>
      </c>
      <c r="K4928" s="15" t="s">
        <v>22</v>
      </c>
    </row>
    <row r="4929" spans="1:11" ht="42" customHeight="1">
      <c r="A4929" s="4" t="s">
        <v>10927</v>
      </c>
      <c r="B4929" s="5" t="s">
        <v>10928</v>
      </c>
      <c r="C4929" s="5" t="s">
        <v>36</v>
      </c>
      <c r="D4929" s="5" t="s">
        <v>37</v>
      </c>
      <c r="E4929" s="5" t="s">
        <v>580</v>
      </c>
      <c r="F4929" s="9">
        <v>23</v>
      </c>
      <c r="G4929" s="9">
        <v>224</v>
      </c>
      <c r="H4929" s="5" t="s">
        <v>20</v>
      </c>
      <c r="I4929" s="5" t="s">
        <v>10929</v>
      </c>
      <c r="J4929" s="12" t="str">
        <f>HYPERLINK("https://www.boe.es/gazeta/dias/1806/03/14/pdfs/GMD-1806-23.pdf#page=12","Abrir facsímil")</f>
        <v>Abrir facsímil</v>
      </c>
      <c r="K4929" s="15" t="s">
        <v>22</v>
      </c>
    </row>
    <row r="4930" spans="1:11" ht="42" customHeight="1">
      <c r="A4930" s="4" t="s">
        <v>10930</v>
      </c>
      <c r="B4930" s="5" t="s">
        <v>10931</v>
      </c>
      <c r="C4930" s="5" t="s">
        <v>36</v>
      </c>
      <c r="D4930" s="5" t="s">
        <v>37</v>
      </c>
      <c r="E4930" s="5" t="s">
        <v>175</v>
      </c>
      <c r="F4930" s="9">
        <v>40</v>
      </c>
      <c r="G4930" s="9">
        <v>400</v>
      </c>
      <c r="H4930" s="5" t="s">
        <v>20</v>
      </c>
      <c r="I4930" s="5" t="s">
        <v>10932</v>
      </c>
      <c r="J4930" s="12" t="str">
        <f>HYPERLINK("https://www.boe.es/gazeta/dias/1806/05/13/pdfs/GMD-1806-40.pdf#page=12","Abrir facsímil")</f>
        <v>Abrir facsímil</v>
      </c>
      <c r="K4930" s="15" t="s">
        <v>22</v>
      </c>
    </row>
    <row r="4931" spans="1:11" ht="42" customHeight="1">
      <c r="A4931" s="4" t="s">
        <v>10933</v>
      </c>
      <c r="B4931" s="5" t="s">
        <v>10934</v>
      </c>
      <c r="C4931" s="5" t="s">
        <v>36</v>
      </c>
      <c r="D4931" s="5" t="s">
        <v>37</v>
      </c>
      <c r="E4931" s="5" t="s">
        <v>86</v>
      </c>
      <c r="F4931" s="9">
        <v>53</v>
      </c>
      <c r="G4931" s="9">
        <v>555</v>
      </c>
      <c r="H4931" s="5" t="s">
        <v>20</v>
      </c>
      <c r="I4931" s="5" t="s">
        <v>10935</v>
      </c>
      <c r="J4931" s="12" t="str">
        <f>HYPERLINK("https://www.boe.es/gazeta/dias/1806/06/27/pdfs/GMD-1806-53.pdf#page=11","Abrir facsímil")</f>
        <v>Abrir facsímil</v>
      </c>
      <c r="K4931" s="15" t="s">
        <v>22</v>
      </c>
    </row>
    <row r="4932" spans="1:11" ht="42" customHeight="1">
      <c r="A4932" s="4" t="s">
        <v>10936</v>
      </c>
      <c r="B4932" s="5" t="s">
        <v>10937</v>
      </c>
      <c r="C4932" s="5" t="s">
        <v>31</v>
      </c>
      <c r="D4932" s="5" t="s">
        <v>32</v>
      </c>
      <c r="E4932" s="5" t="s">
        <v>405</v>
      </c>
      <c r="F4932" s="9">
        <v>80</v>
      </c>
      <c r="G4932" s="9">
        <v>830</v>
      </c>
      <c r="H4932" s="5" t="s">
        <v>20</v>
      </c>
      <c r="I4932" s="5" t="s">
        <v>10938</v>
      </c>
      <c r="J4932" s="12" t="str">
        <f>HYPERLINK("https://www.boe.es/gazeta/dias/1806/09/30/pdfs/GMD-1806-80.pdf#page=10","Abrir facsímil")</f>
        <v>Abrir facsímil</v>
      </c>
      <c r="K4932" s="15" t="s">
        <v>22</v>
      </c>
    </row>
    <row r="4933" spans="1:11" ht="42" customHeight="1">
      <c r="A4933" s="4" t="s">
        <v>10939</v>
      </c>
      <c r="B4933" s="5" t="s">
        <v>10940</v>
      </c>
      <c r="C4933" s="5" t="s">
        <v>31</v>
      </c>
      <c r="D4933" s="5" t="s">
        <v>32</v>
      </c>
      <c r="E4933" s="5" t="s">
        <v>96</v>
      </c>
      <c r="F4933" s="9">
        <v>62</v>
      </c>
      <c r="G4933" s="9">
        <v>649</v>
      </c>
      <c r="H4933" s="5" t="s">
        <v>20</v>
      </c>
      <c r="I4933" s="5" t="s">
        <v>10941</v>
      </c>
      <c r="J4933" s="12" t="str">
        <f>HYPERLINK("https://www.boe.es/gazeta/dias/1806/07/29/pdfs/GMD-1806-62.pdf#page=9","Abrir facsímil")</f>
        <v>Abrir facsímil</v>
      </c>
      <c r="K4933" s="15" t="s">
        <v>22</v>
      </c>
    </row>
    <row r="4934" spans="1:11" ht="42" customHeight="1">
      <c r="A4934" s="4" t="s">
        <v>10942</v>
      </c>
      <c r="B4934" s="5" t="s">
        <v>10943</v>
      </c>
      <c r="C4934" s="5" t="s">
        <v>17</v>
      </c>
      <c r="D4934" s="5" t="s">
        <v>18</v>
      </c>
      <c r="E4934" s="5" t="s">
        <v>195</v>
      </c>
      <c r="F4934" s="9">
        <v>4</v>
      </c>
      <c r="G4934" s="9">
        <v>35</v>
      </c>
      <c r="H4934" s="5" t="s">
        <v>20</v>
      </c>
      <c r="I4934" s="5" t="s">
        <v>10944</v>
      </c>
      <c r="J4934" s="12" t="str">
        <f>HYPERLINK("https://www.boe.es/gazeta/dias/1806/01/14/pdfs/GMD-1806-4.pdf#page=7","Abrir facsímil")</f>
        <v>Abrir facsímil</v>
      </c>
      <c r="K4934" s="15" t="s">
        <v>22</v>
      </c>
    </row>
    <row r="4935" spans="1:11" ht="42" customHeight="1">
      <c r="A4935" s="4" t="s">
        <v>10945</v>
      </c>
      <c r="B4935" s="5" t="s">
        <v>10946</v>
      </c>
      <c r="C4935" s="5" t="s">
        <v>31</v>
      </c>
      <c r="D4935" s="5" t="s">
        <v>32</v>
      </c>
      <c r="E4935" s="5" t="s">
        <v>55</v>
      </c>
      <c r="F4935" s="9">
        <v>20</v>
      </c>
      <c r="G4935" s="9">
        <v>184</v>
      </c>
      <c r="H4935" s="5" t="s">
        <v>20</v>
      </c>
      <c r="I4935" s="5" t="s">
        <v>10947</v>
      </c>
      <c r="J4935" s="12" t="str">
        <f>HYPERLINK("https://www.boe.es/gazeta/dias/1806/03/04/pdfs/GMD-1806-20.pdf#page=8","Abrir facsímil")</f>
        <v>Abrir facsímil</v>
      </c>
      <c r="K4935" s="15" t="s">
        <v>22</v>
      </c>
    </row>
    <row r="4936" spans="1:11" ht="42" customHeight="1">
      <c r="A4936" s="4" t="s">
        <v>10948</v>
      </c>
      <c r="B4936" s="5" t="s">
        <v>10949</v>
      </c>
      <c r="C4936" s="5" t="s">
        <v>17</v>
      </c>
      <c r="D4936" s="5" t="s">
        <v>18</v>
      </c>
      <c r="E4936" s="5" t="s">
        <v>580</v>
      </c>
      <c r="F4936" s="9">
        <v>23</v>
      </c>
      <c r="G4936" s="9">
        <v>219</v>
      </c>
      <c r="H4936" s="5" t="s">
        <v>20</v>
      </c>
      <c r="I4936" s="5" t="s">
        <v>10950</v>
      </c>
      <c r="J4936" s="12" t="str">
        <f>HYPERLINK("https://www.boe.es/gazeta/dias/1806/03/14/pdfs/GMD-1806-23.pdf#page=7","Abrir facsímil")</f>
        <v>Abrir facsímil</v>
      </c>
      <c r="K4936" s="15" t="s">
        <v>22</v>
      </c>
    </row>
    <row r="4937" spans="1:11" ht="42" customHeight="1">
      <c r="A4937" s="4" t="s">
        <v>10951</v>
      </c>
      <c r="B4937" s="5" t="s">
        <v>10952</v>
      </c>
      <c r="C4937" s="5" t="s">
        <v>31</v>
      </c>
      <c r="D4937" s="5" t="s">
        <v>32</v>
      </c>
      <c r="E4937" s="5" t="s">
        <v>76</v>
      </c>
      <c r="F4937" s="9">
        <v>98</v>
      </c>
      <c r="G4937" s="9">
        <v>1043</v>
      </c>
      <c r="H4937" s="5" t="s">
        <v>20</v>
      </c>
      <c r="I4937" s="5" t="s">
        <v>10953</v>
      </c>
      <c r="J4937" s="12" t="str">
        <f>HYPERLINK("https://www.boe.es/gazeta/dias/1806/12/02/pdfs/GMD-1806-98.pdf#page=11","Abrir facsímil")</f>
        <v>Abrir facsímil</v>
      </c>
      <c r="K4937" s="15" t="s">
        <v>22</v>
      </c>
    </row>
    <row r="4938" spans="1:11" ht="42" customHeight="1">
      <c r="A4938" s="4" t="s">
        <v>10954</v>
      </c>
      <c r="B4938" s="5" t="s">
        <v>10955</v>
      </c>
      <c r="C4938" s="5" t="s">
        <v>36</v>
      </c>
      <c r="D4938" s="5" t="s">
        <v>37</v>
      </c>
      <c r="E4938" s="5" t="s">
        <v>26</v>
      </c>
      <c r="F4938" s="9">
        <v>65</v>
      </c>
      <c r="G4938" s="9">
        <v>684</v>
      </c>
      <c r="H4938" s="5" t="s">
        <v>20</v>
      </c>
      <c r="I4938" s="5" t="s">
        <v>10956</v>
      </c>
      <c r="J4938" s="12" t="str">
        <f>HYPERLINK("https://www.boe.es/gazeta/dias/1806/08/08/pdfs/GMD-1806-65.pdf#page=12","Abrir facsímil")</f>
        <v>Abrir facsímil</v>
      </c>
      <c r="K4938" s="15" t="s">
        <v>22</v>
      </c>
    </row>
    <row r="4939" spans="1:11" ht="42" customHeight="1">
      <c r="A4939" s="4" t="s">
        <v>10957</v>
      </c>
      <c r="B4939" s="5" t="s">
        <v>10958</v>
      </c>
      <c r="C4939" s="5" t="s">
        <v>31</v>
      </c>
      <c r="D4939" s="5" t="s">
        <v>32</v>
      </c>
      <c r="E4939" s="5" t="s">
        <v>44</v>
      </c>
      <c r="F4939" s="9">
        <v>42</v>
      </c>
      <c r="G4939" s="9">
        <v>421</v>
      </c>
      <c r="H4939" s="5" t="s">
        <v>20</v>
      </c>
      <c r="I4939" s="5" t="s">
        <v>10959</v>
      </c>
      <c r="J4939" s="12" t="str">
        <f>HYPERLINK("https://www.boe.es/gazeta/dias/1806/05/20/pdfs/GMD-1806-42.pdf#page=9","Abrir facsímil")</f>
        <v>Abrir facsímil</v>
      </c>
      <c r="K4939" s="15" t="s">
        <v>22</v>
      </c>
    </row>
    <row r="4940" spans="1:11" ht="42" customHeight="1">
      <c r="A4940" s="4" t="s">
        <v>10960</v>
      </c>
      <c r="B4940" s="5" t="s">
        <v>10961</v>
      </c>
      <c r="C4940" s="5" t="s">
        <v>31</v>
      </c>
      <c r="D4940" s="5" t="s">
        <v>32</v>
      </c>
      <c r="E4940" s="5" t="s">
        <v>185</v>
      </c>
      <c r="F4940" s="9">
        <v>46</v>
      </c>
      <c r="G4940" s="9">
        <v>469</v>
      </c>
      <c r="H4940" s="5" t="s">
        <v>20</v>
      </c>
      <c r="I4940" s="5" t="s">
        <v>10962</v>
      </c>
      <c r="J4940" s="12" t="str">
        <f>HYPERLINK("https://www.boe.es/gazeta/dias/1806/06/03/pdfs/GMD-1806-46.pdf#page=9","Abrir facsímil")</f>
        <v>Abrir facsímil</v>
      </c>
      <c r="K4940" s="15" t="s">
        <v>22</v>
      </c>
    </row>
    <row r="4941" spans="1:11" ht="42" customHeight="1">
      <c r="A4941" s="4" t="s">
        <v>10960</v>
      </c>
      <c r="B4941" s="5" t="s">
        <v>10961</v>
      </c>
      <c r="C4941" s="5" t="s">
        <v>36</v>
      </c>
      <c r="D4941" s="5" t="s">
        <v>37</v>
      </c>
      <c r="E4941" s="5" t="s">
        <v>48</v>
      </c>
      <c r="F4941" s="9">
        <v>67</v>
      </c>
      <c r="G4941" s="9">
        <v>704</v>
      </c>
      <c r="H4941" s="5" t="s">
        <v>20</v>
      </c>
      <c r="I4941" s="5" t="s">
        <v>10963</v>
      </c>
      <c r="J4941" s="12" t="str">
        <f>HYPERLINK("https://www.boe.es/gazeta/dias/1806/08/15/pdfs/GMD-1806-67.pdf#page=12","Abrir facsímil")</f>
        <v>Abrir facsímil</v>
      </c>
      <c r="K4941" s="15" t="s">
        <v>22</v>
      </c>
    </row>
    <row r="4942" spans="1:11" ht="42" customHeight="1">
      <c r="A4942" s="4" t="s">
        <v>10964</v>
      </c>
      <c r="B4942" s="5" t="s">
        <v>10965</v>
      </c>
      <c r="C4942" s="5" t="s">
        <v>31</v>
      </c>
      <c r="D4942" s="5" t="s">
        <v>32</v>
      </c>
      <c r="E4942" s="5" t="s">
        <v>76</v>
      </c>
      <c r="F4942" s="9">
        <v>98</v>
      </c>
      <c r="G4942" s="9">
        <v>1043</v>
      </c>
      <c r="H4942" s="5" t="s">
        <v>20</v>
      </c>
      <c r="I4942" s="5" t="s">
        <v>10966</v>
      </c>
      <c r="J4942" s="12" t="str">
        <f>HYPERLINK("https://www.boe.es/gazeta/dias/1806/12/02/pdfs/GMD-1806-98.pdf#page=11","Abrir facsímil")</f>
        <v>Abrir facsímil</v>
      </c>
      <c r="K4942" s="15" t="s">
        <v>22</v>
      </c>
    </row>
    <row r="4943" spans="1:11" ht="42" customHeight="1">
      <c r="A4943" s="4" t="s">
        <v>10967</v>
      </c>
      <c r="B4943" s="5" t="s">
        <v>10968</v>
      </c>
      <c r="C4943" s="5" t="s">
        <v>17</v>
      </c>
      <c r="D4943" s="5" t="s">
        <v>18</v>
      </c>
      <c r="E4943" s="5" t="s">
        <v>124</v>
      </c>
      <c r="F4943" s="9">
        <v>25</v>
      </c>
      <c r="G4943" s="9">
        <v>243</v>
      </c>
      <c r="H4943" s="5" t="s">
        <v>20</v>
      </c>
      <c r="I4943" s="5" t="s">
        <v>10969</v>
      </c>
      <c r="J4943" s="12" t="str">
        <f>HYPERLINK("https://www.boe.es/gazeta/dias/1806/03/21/pdfs/GMD-1806-25.pdf#page=7","Abrir facsímil")</f>
        <v>Abrir facsímil</v>
      </c>
      <c r="K4943" s="15" t="s">
        <v>22</v>
      </c>
    </row>
    <row r="4944" spans="1:11" ht="42" customHeight="1">
      <c r="A4944" s="4" t="s">
        <v>10970</v>
      </c>
      <c r="B4944" s="5" t="s">
        <v>10971</v>
      </c>
      <c r="C4944" s="5" t="s">
        <v>36</v>
      </c>
      <c r="D4944" s="5" t="s">
        <v>37</v>
      </c>
      <c r="E4944" s="5" t="s">
        <v>51</v>
      </c>
      <c r="F4944" s="9">
        <v>44</v>
      </c>
      <c r="G4944" s="9">
        <v>447</v>
      </c>
      <c r="H4944" s="5" t="s">
        <v>20</v>
      </c>
      <c r="I4944" s="5" t="s">
        <v>10972</v>
      </c>
      <c r="J4944" s="12" t="str">
        <f>HYPERLINK("https://www.boe.es/gazeta/dias/1806/05/27/pdfs/GMD-1806-44.pdf#page=11","Abrir facsímil")</f>
        <v>Abrir facsímil</v>
      </c>
      <c r="K4944" s="15" t="s">
        <v>22</v>
      </c>
    </row>
    <row r="4945" spans="1:11" ht="42" customHeight="1">
      <c r="A4945" s="4" t="s">
        <v>10970</v>
      </c>
      <c r="B4945" s="5" t="s">
        <v>10971</v>
      </c>
      <c r="C4945" s="5" t="s">
        <v>36</v>
      </c>
      <c r="D4945" s="5" t="s">
        <v>37</v>
      </c>
      <c r="E4945" s="5" t="s">
        <v>127</v>
      </c>
      <c r="F4945" s="9">
        <v>81</v>
      </c>
      <c r="G4945" s="9">
        <v>840</v>
      </c>
      <c r="H4945" s="5" t="s">
        <v>20</v>
      </c>
      <c r="I4945" s="5" t="s">
        <v>10973</v>
      </c>
      <c r="J4945" s="12" t="str">
        <f>HYPERLINK("https://www.boe.es/gazeta/dias/1806/10/03/pdfs/GMD-1806-81.pdf#page=8","Abrir facsímil")</f>
        <v>Abrir facsímil</v>
      </c>
      <c r="K4945" s="15" t="s">
        <v>22</v>
      </c>
    </row>
    <row r="4946" spans="1:11" ht="42" customHeight="1">
      <c r="A4946" s="4" t="s">
        <v>10974</v>
      </c>
      <c r="B4946" s="5" t="s">
        <v>10975</v>
      </c>
      <c r="C4946" s="5" t="s">
        <v>36</v>
      </c>
      <c r="D4946" s="5" t="s">
        <v>37</v>
      </c>
      <c r="E4946" s="5" t="s">
        <v>148</v>
      </c>
      <c r="F4946" s="9">
        <v>78</v>
      </c>
      <c r="G4946" s="9">
        <v>808</v>
      </c>
      <c r="H4946" s="5" t="s">
        <v>20</v>
      </c>
      <c r="I4946" s="5" t="s">
        <v>10976</v>
      </c>
      <c r="J4946" s="12" t="str">
        <f>HYPERLINK("https://www.boe.es/gazeta/dias/1806/09/23/pdfs/GMD-1806-78.pdf#page=12","Abrir facsímil")</f>
        <v>Abrir facsímil</v>
      </c>
      <c r="K4946" s="15" t="s">
        <v>22</v>
      </c>
    </row>
    <row r="4947" spans="1:11" ht="42" customHeight="1">
      <c r="A4947" s="4" t="s">
        <v>10977</v>
      </c>
      <c r="B4947" s="5" t="s">
        <v>10978</v>
      </c>
      <c r="C4947" s="5" t="s">
        <v>17</v>
      </c>
      <c r="D4947" s="5" t="s">
        <v>18</v>
      </c>
      <c r="E4947" s="5" t="s">
        <v>71</v>
      </c>
      <c r="F4947" s="9">
        <v>29</v>
      </c>
      <c r="G4947" s="9">
        <v>287</v>
      </c>
      <c r="H4947" s="5" t="s">
        <v>20</v>
      </c>
      <c r="I4947" s="5" t="s">
        <v>10979</v>
      </c>
      <c r="J4947" s="12" t="str">
        <f>HYPERLINK("https://www.boe.es/gazeta/dias/1806/04/04/pdfs/GMD-1806-29.pdf#page=7","Abrir facsímil")</f>
        <v>Abrir facsímil</v>
      </c>
      <c r="K4947" s="15" t="s">
        <v>22</v>
      </c>
    </row>
    <row r="4948" spans="1:11" ht="42" customHeight="1">
      <c r="A4948" s="4" t="s">
        <v>10980</v>
      </c>
      <c r="B4948" s="5" t="s">
        <v>10981</v>
      </c>
      <c r="C4948" s="5" t="s">
        <v>36</v>
      </c>
      <c r="D4948" s="5" t="s">
        <v>37</v>
      </c>
      <c r="E4948" s="5" t="s">
        <v>285</v>
      </c>
      <c r="F4948" s="9">
        <v>13</v>
      </c>
      <c r="G4948" s="9">
        <v>116</v>
      </c>
      <c r="H4948" s="5" t="s">
        <v>20</v>
      </c>
      <c r="I4948" s="5" t="s">
        <v>10982</v>
      </c>
      <c r="J4948" s="12" t="str">
        <f>HYPERLINK("https://www.boe.es/gazeta/dias/1806/02/07/pdfs/GMD-1806-13.pdf#page=8","Abrir facsímil")</f>
        <v>Abrir facsímil</v>
      </c>
      <c r="K4948" s="15" t="s">
        <v>22</v>
      </c>
    </row>
    <row r="4949" spans="1:11" ht="42" customHeight="1">
      <c r="A4949" s="4" t="s">
        <v>10983</v>
      </c>
      <c r="B4949" s="5" t="s">
        <v>10984</v>
      </c>
      <c r="C4949" s="5" t="s">
        <v>36</v>
      </c>
      <c r="D4949" s="5" t="s">
        <v>37</v>
      </c>
      <c r="E4949" s="5" t="s">
        <v>181</v>
      </c>
      <c r="F4949" s="9">
        <v>99</v>
      </c>
      <c r="G4949" s="9">
        <v>1055</v>
      </c>
      <c r="H4949" s="5" t="s">
        <v>20</v>
      </c>
      <c r="I4949" s="5" t="s">
        <v>10985</v>
      </c>
      <c r="J4949" s="12" t="str">
        <f>HYPERLINK("https://www.boe.es/gazeta/dias/1806/12/05/pdfs/GMD-1806-99.pdf#page=11","Abrir facsímil")</f>
        <v>Abrir facsímil</v>
      </c>
      <c r="K4949" s="15" t="s">
        <v>22</v>
      </c>
    </row>
    <row r="4950" spans="1:11" ht="42" customHeight="1">
      <c r="A4950" s="4" t="s">
        <v>10986</v>
      </c>
      <c r="B4950" s="5" t="s">
        <v>10987</v>
      </c>
      <c r="C4950" s="5" t="s">
        <v>17</v>
      </c>
      <c r="D4950" s="5" t="s">
        <v>18</v>
      </c>
      <c r="E4950" s="5" t="s">
        <v>438</v>
      </c>
      <c r="F4950" s="9">
        <v>70</v>
      </c>
      <c r="G4950" s="9">
        <v>728</v>
      </c>
      <c r="H4950" s="5" t="s">
        <v>20</v>
      </c>
      <c r="I4950" s="5" t="s">
        <v>10988</v>
      </c>
      <c r="J4950" s="12" t="str">
        <f>HYPERLINK("https://www.boe.es/gazeta/dias/1806/08/26/pdfs/GMD-1806-70.pdf#page=4","Abrir facsímil")</f>
        <v>Abrir facsímil</v>
      </c>
      <c r="K4950" s="15" t="s">
        <v>22</v>
      </c>
    </row>
    <row r="4951" spans="1:11" ht="42" customHeight="1">
      <c r="A4951" s="4" t="s">
        <v>10989</v>
      </c>
      <c r="B4951" s="5" t="s">
        <v>10990</v>
      </c>
      <c r="C4951" s="5" t="s">
        <v>42</v>
      </c>
      <c r="D4951" s="5" t="s">
        <v>43</v>
      </c>
      <c r="E4951" s="5" t="s">
        <v>148</v>
      </c>
      <c r="F4951" s="9">
        <v>78</v>
      </c>
      <c r="G4951" s="9">
        <v>804</v>
      </c>
      <c r="H4951" s="5" t="s">
        <v>20</v>
      </c>
      <c r="I4951" s="5" t="s">
        <v>10991</v>
      </c>
      <c r="J4951" s="12" t="str">
        <f>HYPERLINK("https://www.boe.es/gazeta/dias/1806/09/23/pdfs/GMD-1806-78.pdf#page=8","Abrir facsímil")</f>
        <v>Abrir facsímil</v>
      </c>
      <c r="K4951" s="15" t="s">
        <v>22</v>
      </c>
    </row>
    <row r="4952" spans="1:11" ht="42" customHeight="1">
      <c r="A4952" s="4" t="s">
        <v>10992</v>
      </c>
      <c r="B4952" s="5" t="s">
        <v>10993</v>
      </c>
      <c r="C4952" s="5" t="s">
        <v>31</v>
      </c>
      <c r="D4952" s="5" t="s">
        <v>32</v>
      </c>
      <c r="E4952" s="5" t="s">
        <v>110</v>
      </c>
      <c r="F4952" s="9">
        <v>55</v>
      </c>
      <c r="G4952" s="9">
        <v>572</v>
      </c>
      <c r="H4952" s="5" t="s">
        <v>20</v>
      </c>
      <c r="I4952" s="5" t="s">
        <v>10994</v>
      </c>
      <c r="J4952" s="12" t="str">
        <f>HYPERLINK("https://www.boe.es/gazeta/dias/1806/07/04/pdfs/GMD-1806-55.pdf#page=8","Abrir facsímil")</f>
        <v>Abrir facsímil</v>
      </c>
      <c r="K4952" s="15" t="s">
        <v>22</v>
      </c>
    </row>
    <row r="4953" spans="1:11" ht="42" customHeight="1">
      <c r="A4953" s="4" t="s">
        <v>10995</v>
      </c>
      <c r="B4953" s="5" t="s">
        <v>10996</v>
      </c>
      <c r="C4953" s="5" t="s">
        <v>31</v>
      </c>
      <c r="D4953" s="5" t="s">
        <v>32</v>
      </c>
      <c r="E4953" s="5" t="s">
        <v>301</v>
      </c>
      <c r="F4953" s="9">
        <v>75</v>
      </c>
      <c r="G4953" s="9">
        <v>771</v>
      </c>
      <c r="H4953" s="5" t="s">
        <v>20</v>
      </c>
      <c r="I4953" s="5" t="s">
        <v>10997</v>
      </c>
      <c r="J4953" s="12" t="str">
        <f>HYPERLINK("https://www.boe.es/gazeta/dias/1806/09/12/pdfs/GMD-1806-75.pdf#page=3","Abrir facsímil")</f>
        <v>Abrir facsímil</v>
      </c>
      <c r="K4953" s="15" t="s">
        <v>22</v>
      </c>
    </row>
    <row r="4954" spans="1:11" ht="42" customHeight="1">
      <c r="A4954" s="4" t="s">
        <v>10998</v>
      </c>
      <c r="B4954" s="5" t="s">
        <v>10999</v>
      </c>
      <c r="C4954" s="5" t="s">
        <v>17</v>
      </c>
      <c r="D4954" s="5" t="s">
        <v>18</v>
      </c>
      <c r="E4954" s="5" t="s">
        <v>110</v>
      </c>
      <c r="F4954" s="9">
        <v>55</v>
      </c>
      <c r="G4954" s="9">
        <v>574</v>
      </c>
      <c r="H4954" s="5" t="s">
        <v>20</v>
      </c>
      <c r="I4954" s="5" t="s">
        <v>11000</v>
      </c>
      <c r="J4954" s="12" t="str">
        <f>HYPERLINK("https://www.boe.es/gazeta/dias/1806/07/04/pdfs/GMD-1806-55.pdf#page=10","Abrir facsímil")</f>
        <v>Abrir facsímil</v>
      </c>
      <c r="K4954" s="15" t="s">
        <v>22</v>
      </c>
    </row>
    <row r="4955" spans="1:11" ht="42" customHeight="1">
      <c r="A4955" s="4" t="s">
        <v>11001</v>
      </c>
      <c r="B4955" s="5" t="s">
        <v>11002</v>
      </c>
      <c r="C4955" s="5" t="s">
        <v>31</v>
      </c>
      <c r="D4955" s="5" t="s">
        <v>32</v>
      </c>
      <c r="E4955" s="5" t="s">
        <v>55</v>
      </c>
      <c r="F4955" s="9">
        <v>20</v>
      </c>
      <c r="G4955" s="9">
        <v>185</v>
      </c>
      <c r="H4955" s="5" t="s">
        <v>20</v>
      </c>
      <c r="I4955" s="5" t="s">
        <v>11003</v>
      </c>
      <c r="J4955" s="12" t="str">
        <f>HYPERLINK("https://www.boe.es/gazeta/dias/1806/03/04/pdfs/GMD-1806-20.pdf#page=9","Abrir facsímil")</f>
        <v>Abrir facsímil</v>
      </c>
      <c r="K4955" s="15" t="s">
        <v>22</v>
      </c>
    </row>
    <row r="4956" spans="1:11" ht="42" customHeight="1">
      <c r="A4956" s="4" t="s">
        <v>11004</v>
      </c>
      <c r="B4956" s="5" t="s">
        <v>11005</v>
      </c>
      <c r="C4956" s="5" t="s">
        <v>17</v>
      </c>
      <c r="D4956" s="5" t="s">
        <v>18</v>
      </c>
      <c r="E4956" s="5" t="s">
        <v>59</v>
      </c>
      <c r="F4956" s="9">
        <v>21</v>
      </c>
      <c r="G4956" s="9">
        <v>195</v>
      </c>
      <c r="H4956" s="5" t="s">
        <v>20</v>
      </c>
      <c r="I4956" s="5" t="s">
        <v>11006</v>
      </c>
      <c r="J4956" s="12" t="str">
        <f>HYPERLINK("https://www.boe.es/gazeta/dias/1806/03/07/pdfs/GMD-1806-21.pdf#page=7","Abrir facsímil")</f>
        <v>Abrir facsímil</v>
      </c>
      <c r="K4956" s="15" t="s">
        <v>22</v>
      </c>
    </row>
    <row r="4957" spans="1:11" ht="42" customHeight="1">
      <c r="A4957" s="4" t="s">
        <v>11007</v>
      </c>
      <c r="B4957" s="5" t="s">
        <v>11008</v>
      </c>
      <c r="C4957" s="5" t="s">
        <v>31</v>
      </c>
      <c r="D4957" s="5" t="s">
        <v>32</v>
      </c>
      <c r="E4957" s="5" t="s">
        <v>55</v>
      </c>
      <c r="F4957" s="9">
        <v>20</v>
      </c>
      <c r="G4957" s="9">
        <v>184</v>
      </c>
      <c r="H4957" s="5" t="s">
        <v>20</v>
      </c>
      <c r="I4957" s="5" t="s">
        <v>11009</v>
      </c>
      <c r="J4957" s="12" t="str">
        <f>HYPERLINK("https://www.boe.es/gazeta/dias/1806/03/04/pdfs/GMD-1806-20.pdf#page=8","Abrir facsímil")</f>
        <v>Abrir facsímil</v>
      </c>
      <c r="K4957" s="15" t="s">
        <v>22</v>
      </c>
    </row>
    <row r="4958" spans="1:11" ht="42" customHeight="1">
      <c r="A4958" s="4" t="s">
        <v>11010</v>
      </c>
      <c r="B4958" s="5" t="s">
        <v>11010</v>
      </c>
      <c r="C4958" s="5" t="s">
        <v>17</v>
      </c>
      <c r="D4958" s="5" t="s">
        <v>18</v>
      </c>
      <c r="E4958" s="5" t="s">
        <v>455</v>
      </c>
      <c r="F4958" s="9">
        <v>85</v>
      </c>
      <c r="G4958" s="9">
        <v>882</v>
      </c>
      <c r="H4958" s="5" t="s">
        <v>20</v>
      </c>
      <c r="I4958" s="5" t="s">
        <v>11011</v>
      </c>
      <c r="J4958" s="12" t="str">
        <f>HYPERLINK("https://www.boe.es/gazeta/dias/1806/10/17/pdfs/GMD-1806-85.pdf#page=10","Abrir facsímil")</f>
        <v>Abrir facsímil</v>
      </c>
      <c r="K4958" s="15" t="s">
        <v>22</v>
      </c>
    </row>
    <row r="4959" spans="1:11" ht="42" customHeight="1">
      <c r="A4959" s="4" t="s">
        <v>11012</v>
      </c>
      <c r="B4959" s="5" t="s">
        <v>11012</v>
      </c>
      <c r="C4959" s="5" t="s">
        <v>31</v>
      </c>
      <c r="D4959" s="5" t="s">
        <v>32</v>
      </c>
      <c r="E4959" s="5" t="s">
        <v>185</v>
      </c>
      <c r="F4959" s="9">
        <v>46</v>
      </c>
      <c r="G4959" s="9">
        <v>469</v>
      </c>
      <c r="H4959" s="5" t="s">
        <v>20</v>
      </c>
      <c r="I4959" s="5" t="s">
        <v>11013</v>
      </c>
      <c r="J4959" s="12" t="str">
        <f>HYPERLINK("https://www.boe.es/gazeta/dias/1806/06/03/pdfs/GMD-1806-46.pdf#page=9","Abrir facsímil")</f>
        <v>Abrir facsímil</v>
      </c>
      <c r="K4959" s="15" t="s">
        <v>22</v>
      </c>
    </row>
    <row r="4960" spans="1:11" ht="42" customHeight="1">
      <c r="A4960" s="4" t="s">
        <v>11014</v>
      </c>
      <c r="B4960" s="5" t="s">
        <v>11014</v>
      </c>
      <c r="C4960" s="5" t="s">
        <v>17</v>
      </c>
      <c r="D4960" s="5" t="s">
        <v>18</v>
      </c>
      <c r="E4960" s="5" t="s">
        <v>28</v>
      </c>
      <c r="F4960" s="9">
        <v>102</v>
      </c>
      <c r="G4960" s="9">
        <v>1085</v>
      </c>
      <c r="H4960" s="5" t="s">
        <v>20</v>
      </c>
      <c r="I4960" s="5" t="s">
        <v>11015</v>
      </c>
      <c r="J4960" s="12" t="str">
        <f>HYPERLINK("https://www.boe.es/gazeta/dias/1806/12/16/pdfs/GMD-1806-102.pdf#page=9","Abrir facsímil")</f>
        <v>Abrir facsímil</v>
      </c>
      <c r="K4960" s="15" t="s">
        <v>22</v>
      </c>
    </row>
    <row r="4961" spans="1:11" ht="42" customHeight="1">
      <c r="A4961" s="4" t="s">
        <v>11016</v>
      </c>
      <c r="B4961" s="5" t="s">
        <v>11017</v>
      </c>
      <c r="C4961" s="5" t="s">
        <v>17</v>
      </c>
      <c r="D4961" s="5" t="s">
        <v>18</v>
      </c>
      <c r="E4961" s="5" t="s">
        <v>271</v>
      </c>
      <c r="F4961" s="9">
        <v>6</v>
      </c>
      <c r="G4961" s="9">
        <v>54</v>
      </c>
      <c r="H4961" s="5" t="s">
        <v>20</v>
      </c>
      <c r="I4961" s="5" t="s">
        <v>11018</v>
      </c>
      <c r="J4961" s="12" t="str">
        <f>HYPERLINK("https://www.boe.es/gazeta/dias/1806/01/17/pdfs/GMD-1806-6.pdf#page=10","Abrir facsímil")</f>
        <v>Abrir facsímil</v>
      </c>
      <c r="K4961" s="15" t="s">
        <v>22</v>
      </c>
    </row>
    <row r="4962" spans="1:11" ht="42" customHeight="1">
      <c r="A4962" s="4" t="s">
        <v>11019</v>
      </c>
      <c r="B4962" s="5" t="s">
        <v>11020</v>
      </c>
      <c r="C4962" s="5" t="s">
        <v>42</v>
      </c>
      <c r="D4962" s="5" t="s">
        <v>43</v>
      </c>
      <c r="E4962" s="5" t="s">
        <v>165</v>
      </c>
      <c r="F4962" s="9">
        <v>101</v>
      </c>
      <c r="G4962" s="9">
        <v>1074</v>
      </c>
      <c r="H4962" s="5" t="s">
        <v>20</v>
      </c>
      <c r="I4962" s="5" t="s">
        <v>11021</v>
      </c>
      <c r="J4962" s="12" t="str">
        <f>HYPERLINK("https://www.boe.es/gazeta/dias/1806/12/12/pdfs/GMD-1806-101.pdf#page=6","Abrir facsímil")</f>
        <v>Abrir facsímil</v>
      </c>
      <c r="K4962" s="15" t="s">
        <v>22</v>
      </c>
    </row>
    <row r="4963" spans="1:11" ht="42" customHeight="1">
      <c r="A4963" s="4" t="s">
        <v>11022</v>
      </c>
      <c r="B4963" s="5" t="s">
        <v>11023</v>
      </c>
      <c r="C4963" s="5" t="s">
        <v>31</v>
      </c>
      <c r="D4963" s="5" t="s">
        <v>32</v>
      </c>
      <c r="E4963" s="5" t="s">
        <v>165</v>
      </c>
      <c r="F4963" s="9">
        <v>101</v>
      </c>
      <c r="G4963" s="9">
        <v>1074</v>
      </c>
      <c r="H4963" s="5" t="s">
        <v>20</v>
      </c>
      <c r="I4963" s="5" t="s">
        <v>11024</v>
      </c>
      <c r="J4963" s="12" t="str">
        <f>HYPERLINK("https://www.boe.es/gazeta/dias/1806/12/12/pdfs/GMD-1806-101.pdf#page=6","Abrir facsímil")</f>
        <v>Abrir facsímil</v>
      </c>
      <c r="K4963" s="15" t="s">
        <v>22</v>
      </c>
    </row>
    <row r="4964" spans="1:11" ht="42" customHeight="1">
      <c r="A4964" s="4" t="s">
        <v>11025</v>
      </c>
      <c r="B4964" s="5" t="s">
        <v>11026</v>
      </c>
      <c r="C4964" s="5" t="s">
        <v>36</v>
      </c>
      <c r="D4964" s="5" t="s">
        <v>37</v>
      </c>
      <c r="E4964" s="5" t="s">
        <v>188</v>
      </c>
      <c r="F4964" s="9">
        <v>2</v>
      </c>
      <c r="G4964" s="9">
        <v>20</v>
      </c>
      <c r="H4964" s="5" t="s">
        <v>20</v>
      </c>
      <c r="I4964" s="5" t="s">
        <v>11027</v>
      </c>
      <c r="J4964" s="12" t="str">
        <f>HYPERLINK("https://www.boe.es/gazeta/dias/1806/01/07/pdfs/GMD-1806-2.pdf#page=8","Abrir facsímil")</f>
        <v>Abrir facsímil</v>
      </c>
      <c r="K4964" s="15" t="s">
        <v>22</v>
      </c>
    </row>
    <row r="4965" spans="1:11" ht="42" customHeight="1">
      <c r="A4965" s="4" t="s">
        <v>11025</v>
      </c>
      <c r="B4965" s="5" t="s">
        <v>11026</v>
      </c>
      <c r="C4965" s="5" t="s">
        <v>36</v>
      </c>
      <c r="D4965" s="5" t="s">
        <v>37</v>
      </c>
      <c r="E4965" s="5" t="s">
        <v>100</v>
      </c>
      <c r="F4965" s="9">
        <v>7</v>
      </c>
      <c r="G4965" s="9">
        <v>68</v>
      </c>
      <c r="H4965" s="5" t="s">
        <v>20</v>
      </c>
      <c r="I4965" s="5" t="s">
        <v>11028</v>
      </c>
      <c r="J4965" s="12" t="str">
        <f>HYPERLINK("https://www.boe.es/gazeta/dias/1806/01/21/pdfs/GMD-1806-7.pdf#page=12","Abrir facsímil")</f>
        <v>Abrir facsímil</v>
      </c>
      <c r="K4965" s="15" t="s">
        <v>22</v>
      </c>
    </row>
    <row r="4966" spans="1:11" ht="42" customHeight="1">
      <c r="A4966" s="4" t="s">
        <v>11029</v>
      </c>
      <c r="B4966" s="5" t="s">
        <v>11030</v>
      </c>
      <c r="C4966" s="5" t="s">
        <v>36</v>
      </c>
      <c r="D4966" s="5" t="s">
        <v>37</v>
      </c>
      <c r="E4966" s="5" t="s">
        <v>363</v>
      </c>
      <c r="F4966" s="9">
        <v>8</v>
      </c>
      <c r="G4966" s="9">
        <v>75</v>
      </c>
      <c r="H4966" s="5" t="s">
        <v>20</v>
      </c>
      <c r="I4966" s="5" t="s">
        <v>11031</v>
      </c>
      <c r="J4966" s="12" t="str">
        <f>HYPERLINK("https://www.boe.es/gazeta/dias/1806/01/24/pdfs/GMD-1806-8.pdf#page=7","Abrir facsímil")</f>
        <v>Abrir facsímil</v>
      </c>
      <c r="K4966" s="15" t="s">
        <v>22</v>
      </c>
    </row>
    <row r="4967" spans="1:11" ht="42" customHeight="1">
      <c r="A4967" s="4" t="s">
        <v>11032</v>
      </c>
      <c r="B4967" s="5" t="s">
        <v>11032</v>
      </c>
      <c r="C4967" s="5" t="s">
        <v>42</v>
      </c>
      <c r="D4967" s="5" t="s">
        <v>43</v>
      </c>
      <c r="E4967" s="5" t="s">
        <v>285</v>
      </c>
      <c r="F4967" s="9">
        <v>13</v>
      </c>
      <c r="G4967" s="9">
        <v>116</v>
      </c>
      <c r="H4967" s="5" t="s">
        <v>20</v>
      </c>
      <c r="I4967" s="5" t="s">
        <v>11033</v>
      </c>
      <c r="J4967" s="12" t="str">
        <f>HYPERLINK("https://www.boe.es/gazeta/dias/1806/02/07/pdfs/GMD-1806-13.pdf#page=8","Abrir facsímil")</f>
        <v>Abrir facsímil</v>
      </c>
      <c r="K4967" s="15" t="s">
        <v>22</v>
      </c>
    </row>
    <row r="4968" spans="1:11" ht="42" customHeight="1">
      <c r="A4968" s="4" t="s">
        <v>11034</v>
      </c>
      <c r="B4968" s="5" t="s">
        <v>11034</v>
      </c>
      <c r="C4968" s="5" t="s">
        <v>42</v>
      </c>
      <c r="D4968" s="5" t="s">
        <v>43</v>
      </c>
      <c r="E4968" s="5" t="s">
        <v>124</v>
      </c>
      <c r="F4968" s="9">
        <v>25</v>
      </c>
      <c r="G4968" s="9">
        <v>245</v>
      </c>
      <c r="H4968" s="5" t="s">
        <v>20</v>
      </c>
      <c r="I4968" s="5" t="s">
        <v>11035</v>
      </c>
      <c r="J4968" s="12" t="str">
        <f>HYPERLINK("https://www.boe.es/gazeta/dias/1806/03/21/pdfs/GMD-1806-25.pdf#page=9","Abrir facsímil")</f>
        <v>Abrir facsímil</v>
      </c>
      <c r="K4968" s="15" t="s">
        <v>22</v>
      </c>
    </row>
    <row r="4969" spans="1:11" ht="42" customHeight="1">
      <c r="A4969" s="4" t="s">
        <v>11036</v>
      </c>
      <c r="B4969" s="5" t="s">
        <v>11036</v>
      </c>
      <c r="C4969" s="5" t="s">
        <v>69</v>
      </c>
      <c r="D4969" s="5" t="s">
        <v>70</v>
      </c>
      <c r="E4969" s="5" t="s">
        <v>870</v>
      </c>
      <c r="F4969" s="9">
        <v>35</v>
      </c>
      <c r="G4969" s="9">
        <v>339</v>
      </c>
      <c r="H4969" s="5" t="s">
        <v>20</v>
      </c>
      <c r="I4969" s="5" t="s">
        <v>11037</v>
      </c>
      <c r="J4969" s="12" t="str">
        <f>HYPERLINK("https://www.boe.es/gazeta/dias/1806/04/25/pdfs/GMD-1806-35.pdf#page=3","Abrir facsímil")</f>
        <v>Abrir facsímil</v>
      </c>
      <c r="K4969" s="15" t="s">
        <v>22</v>
      </c>
    </row>
    <row r="4970" spans="1:11" ht="42" customHeight="1">
      <c r="A4970" s="4" t="s">
        <v>11036</v>
      </c>
      <c r="B4970" s="5" t="s">
        <v>11036</v>
      </c>
      <c r="C4970" s="5" t="s">
        <v>31</v>
      </c>
      <c r="D4970" s="5" t="s">
        <v>32</v>
      </c>
      <c r="E4970" s="5" t="s">
        <v>205</v>
      </c>
      <c r="F4970" s="9">
        <v>57</v>
      </c>
      <c r="G4970" s="9">
        <v>592</v>
      </c>
      <c r="H4970" s="5" t="s">
        <v>20</v>
      </c>
      <c r="I4970" s="5" t="s">
        <v>11038</v>
      </c>
      <c r="J4970" s="12" t="str">
        <f>HYPERLINK("https://www.boe.es/gazeta/dias/1806/07/11/pdfs/GMD-1806-57.pdf#page=4","Abrir facsímil")</f>
        <v>Abrir facsímil</v>
      </c>
      <c r="K4970" s="15" t="s">
        <v>22</v>
      </c>
    </row>
    <row r="4971" spans="1:11" ht="42" customHeight="1">
      <c r="A4971" s="4" t="s">
        <v>11036</v>
      </c>
      <c r="B4971" s="5" t="s">
        <v>11036</v>
      </c>
      <c r="C4971" s="5" t="s">
        <v>69</v>
      </c>
      <c r="D4971" s="5" t="s">
        <v>70</v>
      </c>
      <c r="E4971" s="5" t="s">
        <v>483</v>
      </c>
      <c r="F4971" s="9">
        <v>58</v>
      </c>
      <c r="G4971" s="9">
        <v>599</v>
      </c>
      <c r="H4971" s="5" t="s">
        <v>20</v>
      </c>
      <c r="I4971" s="5" t="s">
        <v>11039</v>
      </c>
      <c r="J4971" s="12" t="str">
        <f>HYPERLINK("https://www.boe.es/gazeta/dias/1806/07/15/pdfs/GMD-1806-58.pdf#page=3","Abrir facsímil")</f>
        <v>Abrir facsímil</v>
      </c>
      <c r="K4971" s="15" t="s">
        <v>22</v>
      </c>
    </row>
    <row r="4972" spans="1:11" ht="42" customHeight="1">
      <c r="A4972" s="4" t="s">
        <v>11040</v>
      </c>
      <c r="B4972" s="5" t="s">
        <v>11041</v>
      </c>
      <c r="C4972" s="5" t="s">
        <v>31</v>
      </c>
      <c r="D4972" s="5" t="s">
        <v>32</v>
      </c>
      <c r="E4972" s="5" t="s">
        <v>297</v>
      </c>
      <c r="F4972" s="9">
        <v>94</v>
      </c>
      <c r="G4972" s="9">
        <v>989</v>
      </c>
      <c r="H4972" s="5" t="s">
        <v>20</v>
      </c>
      <c r="I4972" s="5" t="s">
        <v>11042</v>
      </c>
      <c r="J4972" s="12" t="str">
        <f>HYPERLINK("https://www.boe.es/gazeta/dias/1806/11/18/pdfs/GMD-1806-94.pdf#page=9","Abrir facsímil")</f>
        <v>Abrir facsímil</v>
      </c>
      <c r="K4972" s="15" t="s">
        <v>22</v>
      </c>
    </row>
    <row r="4973" spans="1:11" ht="42" customHeight="1">
      <c r="A4973" s="4" t="s">
        <v>11043</v>
      </c>
      <c r="B4973" s="5" t="s">
        <v>11044</v>
      </c>
      <c r="C4973" s="5" t="s">
        <v>69</v>
      </c>
      <c r="D4973" s="5" t="s">
        <v>70</v>
      </c>
      <c r="E4973" s="5" t="s">
        <v>297</v>
      </c>
      <c r="F4973" s="9">
        <v>94</v>
      </c>
      <c r="G4973" s="9">
        <v>984</v>
      </c>
      <c r="H4973" s="5" t="s">
        <v>20</v>
      </c>
      <c r="I4973" s="5" t="s">
        <v>11045</v>
      </c>
      <c r="J4973" s="12" t="str">
        <f>HYPERLINK("https://www.boe.es/gazeta/dias/1806/11/18/pdfs/GMD-1806-94.pdf#page=4","Abrir facsímil")</f>
        <v>Abrir facsímil</v>
      </c>
      <c r="K4973" s="15" t="s">
        <v>22</v>
      </c>
    </row>
    <row r="4974" spans="1:11" ht="42" customHeight="1">
      <c r="A4974" s="4" t="s">
        <v>11046</v>
      </c>
      <c r="B4974" s="5" t="s">
        <v>11047</v>
      </c>
      <c r="C4974" s="5" t="s">
        <v>31</v>
      </c>
      <c r="D4974" s="5" t="s">
        <v>32</v>
      </c>
      <c r="E4974" s="5" t="s">
        <v>716</v>
      </c>
      <c r="F4974" s="9">
        <v>56</v>
      </c>
      <c r="G4974" s="9">
        <v>586</v>
      </c>
      <c r="H4974" s="5" t="s">
        <v>20</v>
      </c>
      <c r="I4974" s="5" t="s">
        <v>11048</v>
      </c>
      <c r="J4974" s="12" t="str">
        <f>HYPERLINK("https://www.boe.es/gazeta/dias/1806/07/08/pdfs/GMD-1806-56.pdf#page=10","Abrir facsímil")</f>
        <v>Abrir facsímil</v>
      </c>
      <c r="K4974" s="15" t="s">
        <v>22</v>
      </c>
    </row>
    <row r="4975" spans="1:11" ht="42" customHeight="1">
      <c r="A4975" s="4" t="s">
        <v>11049</v>
      </c>
      <c r="B4975" s="5" t="s">
        <v>11049</v>
      </c>
      <c r="C4975" s="5" t="s">
        <v>17</v>
      </c>
      <c r="D4975" s="5" t="s">
        <v>18</v>
      </c>
      <c r="E4975" s="5" t="s">
        <v>474</v>
      </c>
      <c r="F4975" s="9">
        <v>10</v>
      </c>
      <c r="G4975" s="9">
        <v>90</v>
      </c>
      <c r="H4975" s="5" t="s">
        <v>20</v>
      </c>
      <c r="I4975" s="5" t="s">
        <v>11050</v>
      </c>
      <c r="J4975" s="12" t="str">
        <f>HYPERLINK("https://www.boe.es/gazeta/dias/1806/01/28/pdfs/GMD-1806-10.pdf#page=6","Abrir facsímil")</f>
        <v>Abrir facsímil</v>
      </c>
      <c r="K4975" s="15" t="s">
        <v>22</v>
      </c>
    </row>
    <row r="4976" spans="1:11" ht="42" customHeight="1">
      <c r="A4976" s="4" t="s">
        <v>11051</v>
      </c>
      <c r="B4976" s="5" t="s">
        <v>11051</v>
      </c>
      <c r="C4976" s="5" t="s">
        <v>31</v>
      </c>
      <c r="D4976" s="5" t="s">
        <v>32</v>
      </c>
      <c r="E4976" s="5" t="s">
        <v>148</v>
      </c>
      <c r="F4976" s="9">
        <v>78</v>
      </c>
      <c r="G4976" s="9">
        <v>797</v>
      </c>
      <c r="H4976" s="5" t="s">
        <v>20</v>
      </c>
      <c r="I4976" s="5" t="s">
        <v>11052</v>
      </c>
      <c r="J4976" s="12" t="str">
        <f>HYPERLINK("https://www.boe.es/gazeta/dias/1806/09/23/pdfs/GMD-1806-78.pdf#page=1","Abrir facsímil")</f>
        <v>Abrir facsímil</v>
      </c>
      <c r="K4976" s="15" t="s">
        <v>22</v>
      </c>
    </row>
    <row r="4977" spans="1:11" ht="42" customHeight="1">
      <c r="A4977" s="4" t="s">
        <v>11053</v>
      </c>
      <c r="B4977" s="5" t="s">
        <v>11053</v>
      </c>
      <c r="C4977" s="5" t="s">
        <v>69</v>
      </c>
      <c r="D4977" s="5" t="s">
        <v>70</v>
      </c>
      <c r="E4977" s="5" t="s">
        <v>127</v>
      </c>
      <c r="F4977" s="9">
        <v>81</v>
      </c>
      <c r="G4977" s="9">
        <v>836</v>
      </c>
      <c r="H4977" s="5" t="s">
        <v>20</v>
      </c>
      <c r="I4977" s="5" t="s">
        <v>11054</v>
      </c>
      <c r="J4977" s="12" t="str">
        <f>HYPERLINK("https://www.boe.es/gazeta/dias/1806/10/03/pdfs/GMD-1806-81.pdf#page=4","Abrir facsímil")</f>
        <v>Abrir facsímil</v>
      </c>
      <c r="K4977" s="15" t="s">
        <v>22</v>
      </c>
    </row>
    <row r="4978" spans="1:11" ht="42" customHeight="1">
      <c r="A4978" s="4" t="s">
        <v>11055</v>
      </c>
      <c r="B4978" s="5" t="s">
        <v>11056</v>
      </c>
      <c r="C4978" s="5" t="s">
        <v>42</v>
      </c>
      <c r="D4978" s="5" t="s">
        <v>43</v>
      </c>
      <c r="E4978" s="5" t="s">
        <v>165</v>
      </c>
      <c r="F4978" s="9">
        <v>101</v>
      </c>
      <c r="G4978" s="9">
        <v>1074</v>
      </c>
      <c r="H4978" s="5" t="s">
        <v>20</v>
      </c>
      <c r="I4978" s="5" t="s">
        <v>11057</v>
      </c>
      <c r="J4978" s="12" t="str">
        <f>HYPERLINK("https://www.boe.es/gazeta/dias/1806/12/12/pdfs/GMD-1806-101.pdf#page=6","Abrir facsímil")</f>
        <v>Abrir facsímil</v>
      </c>
      <c r="K4978" s="15" t="s">
        <v>22</v>
      </c>
    </row>
    <row r="4979" spans="1:11" ht="42" customHeight="1">
      <c r="A4979" s="4" t="s">
        <v>11058</v>
      </c>
      <c r="B4979" s="5" t="s">
        <v>11059</v>
      </c>
      <c r="C4979" s="5" t="s">
        <v>17</v>
      </c>
      <c r="D4979" s="5" t="s">
        <v>18</v>
      </c>
      <c r="E4979" s="5" t="s">
        <v>238</v>
      </c>
      <c r="F4979" s="9">
        <v>18</v>
      </c>
      <c r="G4979" s="9">
        <v>164</v>
      </c>
      <c r="H4979" s="5" t="s">
        <v>20</v>
      </c>
      <c r="I4979" s="5" t="s">
        <v>11060</v>
      </c>
      <c r="J4979" s="12" t="str">
        <f>HYPERLINK("https://www.boe.es/gazeta/dias/1806/02/25/pdfs/GMD-1806-18.pdf#page=12","Abrir facsímil")</f>
        <v>Abrir facsímil</v>
      </c>
      <c r="K4979" s="15" t="s">
        <v>22</v>
      </c>
    </row>
    <row r="4980" spans="1:11" ht="42" customHeight="1">
      <c r="A4980" s="4" t="s">
        <v>11061</v>
      </c>
      <c r="B4980" s="5" t="s">
        <v>11062</v>
      </c>
      <c r="C4980" s="5" t="s">
        <v>31</v>
      </c>
      <c r="D4980" s="5" t="s">
        <v>32</v>
      </c>
      <c r="E4980" s="5" t="s">
        <v>271</v>
      </c>
      <c r="F4980" s="9">
        <v>6</v>
      </c>
      <c r="G4980" s="9">
        <v>53</v>
      </c>
      <c r="H4980" s="5" t="s">
        <v>20</v>
      </c>
      <c r="I4980" s="5" t="s">
        <v>11063</v>
      </c>
      <c r="J4980" s="12" t="str">
        <f>HYPERLINK("https://www.boe.es/gazeta/dias/1806/01/17/pdfs/GMD-1806-6.pdf#page=9","Abrir facsímil")</f>
        <v>Abrir facsímil</v>
      </c>
      <c r="K4980" s="15" t="s">
        <v>22</v>
      </c>
    </row>
    <row r="4981" spans="1:11" ht="42" customHeight="1">
      <c r="A4981" s="4" t="s">
        <v>11064</v>
      </c>
      <c r="B4981" s="5" t="s">
        <v>11065</v>
      </c>
      <c r="C4981" s="5" t="s">
        <v>42</v>
      </c>
      <c r="D4981" s="5" t="s">
        <v>43</v>
      </c>
      <c r="E4981" s="5" t="s">
        <v>148</v>
      </c>
      <c r="F4981" s="9">
        <v>78</v>
      </c>
      <c r="G4981" s="9">
        <v>804</v>
      </c>
      <c r="H4981" s="5" t="s">
        <v>20</v>
      </c>
      <c r="I4981" s="5" t="s">
        <v>11066</v>
      </c>
      <c r="J4981" s="12" t="str">
        <f>HYPERLINK("https://www.boe.es/gazeta/dias/1806/09/23/pdfs/GMD-1806-78.pdf#page=8","Abrir facsímil")</f>
        <v>Abrir facsímil</v>
      </c>
      <c r="K4981" s="15" t="s">
        <v>22</v>
      </c>
    </row>
    <row r="4982" spans="1:11" ht="42" customHeight="1">
      <c r="A4982" s="4" t="s">
        <v>11067</v>
      </c>
      <c r="B4982" s="5" t="s">
        <v>11068</v>
      </c>
      <c r="C4982" s="5" t="s">
        <v>447</v>
      </c>
      <c r="D4982" s="5" t="s">
        <v>448</v>
      </c>
      <c r="E4982" s="5" t="s">
        <v>304</v>
      </c>
      <c r="F4982" s="9">
        <v>47</v>
      </c>
      <c r="G4982" s="9">
        <v>482</v>
      </c>
      <c r="H4982" s="5" t="s">
        <v>20</v>
      </c>
      <c r="I4982" s="5" t="s">
        <v>11069</v>
      </c>
      <c r="J4982" s="12" t="str">
        <f>HYPERLINK("https://www.boe.es/gazeta/dias/1806/06/06/pdfs/GMD-C-1806-47.pdf#page=2","Abrir facsímil")</f>
        <v>Abrir facsímil</v>
      </c>
      <c r="K4982" s="15" t="s">
        <v>22</v>
      </c>
    </row>
    <row r="4983" spans="1:11" ht="42" customHeight="1">
      <c r="A4983" s="4" t="s">
        <v>11067</v>
      </c>
      <c r="B4983" s="5" t="s">
        <v>11068</v>
      </c>
      <c r="C4983" s="5" t="s">
        <v>447</v>
      </c>
      <c r="D4983" s="5" t="s">
        <v>448</v>
      </c>
      <c r="E4983" s="5" t="s">
        <v>304</v>
      </c>
      <c r="F4983" s="9">
        <v>47</v>
      </c>
      <c r="G4983" s="9">
        <v>484</v>
      </c>
      <c r="H4983" s="5" t="s">
        <v>20</v>
      </c>
      <c r="I4983" s="5" t="s">
        <v>11070</v>
      </c>
      <c r="J4983" s="12" t="str">
        <f>HYPERLINK("https://www.boe.es/gazeta/dias/1806/06/06/pdfs/GMD-C-1806-47.pdf#page=4","Abrir facsímil")</f>
        <v>Abrir facsímil</v>
      </c>
      <c r="K4983" s="15" t="s">
        <v>22</v>
      </c>
    </row>
    <row r="4984" spans="1:11" ht="42" customHeight="1">
      <c r="A4984" s="4" t="s">
        <v>11067</v>
      </c>
      <c r="B4984" s="5" t="s">
        <v>11068</v>
      </c>
      <c r="C4984" s="5" t="s">
        <v>447</v>
      </c>
      <c r="D4984" s="5" t="s">
        <v>448</v>
      </c>
      <c r="E4984" s="5" t="s">
        <v>304</v>
      </c>
      <c r="F4984" s="9">
        <v>47</v>
      </c>
      <c r="G4984" s="9">
        <v>487</v>
      </c>
      <c r="H4984" s="5" t="s">
        <v>20</v>
      </c>
      <c r="I4984" s="5" t="s">
        <v>11071</v>
      </c>
      <c r="J4984" s="12" t="str">
        <f>HYPERLINK("https://www.boe.es/gazeta/dias/1806/06/06/pdfs/GMD-C-1806-47.pdf#page=7","Abrir facsímil")</f>
        <v>Abrir facsímil</v>
      </c>
      <c r="K4984" s="15" t="s">
        <v>22</v>
      </c>
    </row>
    <row r="4985" spans="1:11" ht="42" customHeight="1">
      <c r="A4985" s="4" t="s">
        <v>11067</v>
      </c>
      <c r="B4985" s="5" t="s">
        <v>11068</v>
      </c>
      <c r="C4985" s="5" t="s">
        <v>42</v>
      </c>
      <c r="D4985" s="5" t="s">
        <v>43</v>
      </c>
      <c r="E4985" s="5" t="s">
        <v>304</v>
      </c>
      <c r="F4985" s="9">
        <v>47</v>
      </c>
      <c r="G4985" s="9">
        <v>488</v>
      </c>
      <c r="H4985" s="5" t="s">
        <v>20</v>
      </c>
      <c r="I4985" s="5" t="s">
        <v>11072</v>
      </c>
      <c r="J4985" s="12" t="str">
        <f>HYPERLINK("https://www.boe.es/gazeta/dias/1806/06/06/pdfs/GMD-C-1806-47.pdf#page=8","Abrir facsímil")</f>
        <v>Abrir facsímil</v>
      </c>
      <c r="K4985" s="15" t="s">
        <v>22</v>
      </c>
    </row>
    <row r="4986" spans="1:11" ht="42" customHeight="1">
      <c r="A4986" s="4" t="s">
        <v>11073</v>
      </c>
      <c r="B4986" s="5" t="s">
        <v>11074</v>
      </c>
      <c r="C4986" s="5" t="s">
        <v>17</v>
      </c>
      <c r="D4986" s="5" t="s">
        <v>18</v>
      </c>
      <c r="E4986" s="5" t="s">
        <v>220</v>
      </c>
      <c r="F4986" s="9">
        <v>24</v>
      </c>
      <c r="G4986" s="9">
        <v>234</v>
      </c>
      <c r="H4986" s="5" t="s">
        <v>20</v>
      </c>
      <c r="I4986" s="5" t="s">
        <v>11075</v>
      </c>
      <c r="J4986" s="12" t="str">
        <f>HYPERLINK("https://www.boe.es/gazeta/dias/1806/03/18/pdfs/GMD-1806-24.pdf#page=10","Abrir facsímil")</f>
        <v>Abrir facsímil</v>
      </c>
      <c r="K4986" s="15" t="s">
        <v>22</v>
      </c>
    </row>
    <row r="4987" spans="1:11" ht="42" customHeight="1">
      <c r="A4987" s="4" t="s">
        <v>11073</v>
      </c>
      <c r="B4987" s="5" t="s">
        <v>11074</v>
      </c>
      <c r="C4987" s="5" t="s">
        <v>17</v>
      </c>
      <c r="D4987" s="5" t="s">
        <v>18</v>
      </c>
      <c r="E4987" s="5" t="s">
        <v>90</v>
      </c>
      <c r="F4987" s="9">
        <v>60</v>
      </c>
      <c r="G4987" s="9">
        <v>625</v>
      </c>
      <c r="H4987" s="5" t="s">
        <v>20</v>
      </c>
      <c r="I4987" s="5" t="s">
        <v>11076</v>
      </c>
      <c r="J4987" s="12" t="str">
        <f>HYPERLINK("https://www.boe.es/gazeta/dias/1806/07/22/pdfs/GMD-1806-60.pdf#page=9","Abrir facsímil")</f>
        <v>Abrir facsímil</v>
      </c>
      <c r="K4987" s="15" t="s">
        <v>22</v>
      </c>
    </row>
    <row r="4988" spans="1:11" ht="42" customHeight="1">
      <c r="A4988" s="4" t="s">
        <v>11077</v>
      </c>
      <c r="B4988" s="5" t="s">
        <v>11078</v>
      </c>
      <c r="C4988" s="5" t="s">
        <v>42</v>
      </c>
      <c r="D4988" s="5" t="s">
        <v>43</v>
      </c>
      <c r="E4988" s="5" t="s">
        <v>185</v>
      </c>
      <c r="F4988" s="9">
        <v>46</v>
      </c>
      <c r="G4988" s="9">
        <v>471</v>
      </c>
      <c r="H4988" s="5" t="s">
        <v>20</v>
      </c>
      <c r="I4988" s="5" t="s">
        <v>11079</v>
      </c>
      <c r="J4988" s="12" t="str">
        <f>HYPERLINK("https://www.boe.es/gazeta/dias/1806/06/03/pdfs/GMD-1806-46.pdf#page=11","Abrir facsímil")</f>
        <v>Abrir facsímil</v>
      </c>
      <c r="K4988" s="15" t="s">
        <v>22</v>
      </c>
    </row>
    <row r="4989" spans="1:11" ht="42" customHeight="1">
      <c r="A4989" s="4" t="s">
        <v>11080</v>
      </c>
      <c r="B4989" s="5" t="s">
        <v>11081</v>
      </c>
      <c r="C4989" s="5" t="s">
        <v>31</v>
      </c>
      <c r="D4989" s="5" t="s">
        <v>32</v>
      </c>
      <c r="E4989" s="5" t="s">
        <v>86</v>
      </c>
      <c r="F4989" s="9">
        <v>53</v>
      </c>
      <c r="G4989" s="9">
        <v>553</v>
      </c>
      <c r="H4989" s="5" t="s">
        <v>20</v>
      </c>
      <c r="I4989" s="5" t="s">
        <v>11082</v>
      </c>
      <c r="J4989" s="12" t="str">
        <f>HYPERLINK("https://www.boe.es/gazeta/dias/1806/06/27/pdfs/GMD-1806-53.pdf#page=9","Abrir facsímil")</f>
        <v>Abrir facsímil</v>
      </c>
      <c r="K4989" s="15" t="s">
        <v>22</v>
      </c>
    </row>
    <row r="4990" spans="1:11" ht="42" customHeight="1">
      <c r="A4990" s="4" t="s">
        <v>11083</v>
      </c>
      <c r="B4990" s="5" t="s">
        <v>11084</v>
      </c>
      <c r="C4990" s="5" t="s">
        <v>69</v>
      </c>
      <c r="D4990" s="5" t="s">
        <v>70</v>
      </c>
      <c r="E4990" s="5" t="s">
        <v>816</v>
      </c>
      <c r="F4990" s="9">
        <v>86</v>
      </c>
      <c r="G4990" s="9">
        <v>886</v>
      </c>
      <c r="H4990" s="5" t="s">
        <v>20</v>
      </c>
      <c r="I4990" s="5" t="s">
        <v>11085</v>
      </c>
      <c r="J4990" s="12" t="str">
        <f>HYPERLINK("https://www.boe.es/gazeta/dias/1806/10/21/pdfs/GMD-1806-86.pdf#page=2","Abrir facsímil")</f>
        <v>Abrir facsímil</v>
      </c>
      <c r="K4990" s="15" t="s">
        <v>22</v>
      </c>
    </row>
    <row r="4991" spans="1:11" ht="42" customHeight="1">
      <c r="A4991" s="4" t="s">
        <v>11086</v>
      </c>
      <c r="B4991" s="5" t="s">
        <v>11087</v>
      </c>
      <c r="C4991" s="5" t="s">
        <v>69</v>
      </c>
      <c r="D4991" s="5" t="s">
        <v>70</v>
      </c>
      <c r="E4991" s="5" t="s">
        <v>304</v>
      </c>
      <c r="F4991" s="9">
        <v>47</v>
      </c>
      <c r="G4991" s="9">
        <v>474</v>
      </c>
      <c r="H4991" s="5" t="s">
        <v>20</v>
      </c>
      <c r="I4991" s="5" t="s">
        <v>11088</v>
      </c>
      <c r="J4991" s="12" t="str">
        <f>HYPERLINK("https://www.boe.es/gazeta/dias/1806/06/06/pdfs/GMD-1806-47.pdf#page=2","Abrir facsímil")</f>
        <v>Abrir facsímil</v>
      </c>
      <c r="K4991" s="15" t="s">
        <v>22</v>
      </c>
    </row>
    <row r="4992" spans="1:11" ht="42" customHeight="1">
      <c r="A4992" s="4" t="s">
        <v>11086</v>
      </c>
      <c r="B4992" s="5" t="s">
        <v>11087</v>
      </c>
      <c r="C4992" s="5" t="s">
        <v>17</v>
      </c>
      <c r="D4992" s="5" t="s">
        <v>18</v>
      </c>
      <c r="E4992" s="5" t="s">
        <v>554</v>
      </c>
      <c r="F4992" s="9">
        <v>90</v>
      </c>
      <c r="G4992" s="9">
        <v>933</v>
      </c>
      <c r="H4992" s="5" t="s">
        <v>20</v>
      </c>
      <c r="I4992" s="5" t="s">
        <v>11089</v>
      </c>
      <c r="J4992" s="12" t="str">
        <f>HYPERLINK("https://www.boe.es/gazeta/dias/1806/11/04/pdfs/GMD-1806-90.pdf#page=9","Abrir facsímil")</f>
        <v>Abrir facsímil</v>
      </c>
      <c r="K4992" s="15" t="s">
        <v>22</v>
      </c>
    </row>
    <row r="4993" spans="1:11" ht="42" customHeight="1">
      <c r="A4993" s="4" t="s">
        <v>11086</v>
      </c>
      <c r="B4993" s="5" t="s">
        <v>11087</v>
      </c>
      <c r="C4993" s="5" t="s">
        <v>69</v>
      </c>
      <c r="D4993" s="5" t="s">
        <v>70</v>
      </c>
      <c r="E4993" s="5" t="s">
        <v>38</v>
      </c>
      <c r="F4993" s="9">
        <v>92</v>
      </c>
      <c r="G4993" s="9">
        <v>953</v>
      </c>
      <c r="H4993" s="5" t="s">
        <v>20</v>
      </c>
      <c r="I4993" s="5" t="s">
        <v>11090</v>
      </c>
      <c r="J4993" s="12" t="str">
        <f>HYPERLINK("https://www.boe.es/gazeta/dias/1806/11/11/pdfs/GMD-1806-92.pdf#page=5","Abrir facsímil")</f>
        <v>Abrir facsímil</v>
      </c>
      <c r="K4993" s="15" t="s">
        <v>22</v>
      </c>
    </row>
    <row r="4994" spans="1:11" ht="42" customHeight="1">
      <c r="A4994" s="4" t="s">
        <v>11086</v>
      </c>
      <c r="B4994" s="5" t="s">
        <v>11087</v>
      </c>
      <c r="C4994" s="5" t="s">
        <v>69</v>
      </c>
      <c r="D4994" s="5" t="s">
        <v>70</v>
      </c>
      <c r="E4994" s="5" t="s">
        <v>312</v>
      </c>
      <c r="F4994" s="9">
        <v>100</v>
      </c>
      <c r="G4994" s="9">
        <v>1060</v>
      </c>
      <c r="H4994" s="5" t="s">
        <v>20</v>
      </c>
      <c r="I4994" s="5" t="s">
        <v>11091</v>
      </c>
      <c r="J4994" s="12" t="str">
        <f>HYPERLINK("https://www.boe.es/gazeta/dias/1806/12/09/pdfs/GMD-1806-100.pdf#page=4","Abrir facsímil")</f>
        <v>Abrir facsímil</v>
      </c>
      <c r="K4994" s="15" t="s">
        <v>22</v>
      </c>
    </row>
    <row r="4995" spans="1:11" ht="42" customHeight="1">
      <c r="A4995" s="4" t="s">
        <v>11092</v>
      </c>
      <c r="B4995" s="5" t="s">
        <v>11093</v>
      </c>
      <c r="C4995" s="5" t="s">
        <v>31</v>
      </c>
      <c r="D4995" s="5" t="s">
        <v>32</v>
      </c>
      <c r="E4995" s="5" t="s">
        <v>405</v>
      </c>
      <c r="F4995" s="9">
        <v>80</v>
      </c>
      <c r="G4995" s="9">
        <v>822</v>
      </c>
      <c r="H4995" s="5" t="s">
        <v>20</v>
      </c>
      <c r="I4995" s="5" t="s">
        <v>11094</v>
      </c>
      <c r="J4995" s="12" t="str">
        <f>HYPERLINK("https://www.boe.es/gazeta/dias/1806/09/30/pdfs/GMD-1806-80.pdf#page=2","Abrir facsímil")</f>
        <v>Abrir facsímil</v>
      </c>
      <c r="K4995" s="15" t="s">
        <v>22</v>
      </c>
    </row>
    <row r="4996" spans="1:11" ht="42" customHeight="1">
      <c r="A4996" s="4" t="s">
        <v>11095</v>
      </c>
      <c r="B4996" s="5" t="s">
        <v>11095</v>
      </c>
      <c r="C4996" s="5" t="s">
        <v>31</v>
      </c>
      <c r="D4996" s="5" t="s">
        <v>32</v>
      </c>
      <c r="E4996" s="5" t="s">
        <v>55</v>
      </c>
      <c r="F4996" s="9">
        <v>20</v>
      </c>
      <c r="G4996" s="9">
        <v>182</v>
      </c>
      <c r="H4996" s="5" t="s">
        <v>20</v>
      </c>
      <c r="I4996" s="5" t="s">
        <v>11096</v>
      </c>
      <c r="J4996" s="12" t="str">
        <f>HYPERLINK("https://www.boe.es/gazeta/dias/1806/03/04/pdfs/GMD-1806-20.pdf#page=6","Abrir facsímil")</f>
        <v>Abrir facsímil</v>
      </c>
      <c r="K4996" s="15" t="s">
        <v>22</v>
      </c>
    </row>
    <row r="4997" spans="1:11" ht="42" customHeight="1">
      <c r="A4997" s="4" t="s">
        <v>11097</v>
      </c>
      <c r="B4997" s="5" t="s">
        <v>11097</v>
      </c>
      <c r="C4997" s="5" t="s">
        <v>69</v>
      </c>
      <c r="D4997" s="5" t="s">
        <v>70</v>
      </c>
      <c r="E4997" s="5" t="s">
        <v>340</v>
      </c>
      <c r="F4997" s="9">
        <v>31</v>
      </c>
      <c r="G4997" s="9">
        <v>297</v>
      </c>
      <c r="H4997" s="5" t="s">
        <v>20</v>
      </c>
      <c r="I4997" s="5" t="s">
        <v>11098</v>
      </c>
      <c r="J4997" s="12" t="str">
        <f>HYPERLINK("https://www.boe.es/gazeta/dias/1806/04/11/pdfs/GMD-1806-31.pdf#page=1","Abrir facsímil")</f>
        <v>Abrir facsímil</v>
      </c>
      <c r="K4997" s="15" t="s">
        <v>22</v>
      </c>
    </row>
    <row r="4998" spans="1:11" ht="42" customHeight="1">
      <c r="A4998" s="4" t="s">
        <v>11097</v>
      </c>
      <c r="B4998" s="5" t="s">
        <v>11097</v>
      </c>
      <c r="C4998" s="5" t="s">
        <v>69</v>
      </c>
      <c r="D4998" s="5" t="s">
        <v>70</v>
      </c>
      <c r="E4998" s="5" t="s">
        <v>82</v>
      </c>
      <c r="F4998" s="9">
        <v>48</v>
      </c>
      <c r="G4998" s="9">
        <v>489</v>
      </c>
      <c r="H4998" s="5" t="s">
        <v>20</v>
      </c>
      <c r="I4998" s="5" t="s">
        <v>11099</v>
      </c>
      <c r="J4998" s="12" t="str">
        <f>HYPERLINK("https://www.boe.es/gazeta/dias/1806/06/10/pdfs/GMD-1806-48.pdf#page=1","Abrir facsímil")</f>
        <v>Abrir facsímil</v>
      </c>
      <c r="K4998" s="15" t="s">
        <v>22</v>
      </c>
    </row>
    <row r="4999" spans="1:11" ht="42" customHeight="1">
      <c r="A4999" s="4" t="s">
        <v>11097</v>
      </c>
      <c r="B4999" s="5" t="s">
        <v>11097</v>
      </c>
      <c r="C4999" s="5" t="s">
        <v>69</v>
      </c>
      <c r="D4999" s="5" t="s">
        <v>70</v>
      </c>
      <c r="E4999" s="5" t="s">
        <v>1080</v>
      </c>
      <c r="F4999" s="9">
        <v>49</v>
      </c>
      <c r="G4999" s="9">
        <v>501</v>
      </c>
      <c r="H4999" s="5" t="s">
        <v>20</v>
      </c>
      <c r="I4999" s="5" t="s">
        <v>11100</v>
      </c>
      <c r="J4999" s="12" t="str">
        <f>HYPERLINK("https://www.boe.es/gazeta/dias/1806/06/13/pdfs/GMD-1806-49.pdf#page=1","Abrir facsímil")</f>
        <v>Abrir facsímil</v>
      </c>
      <c r="K4999" s="15" t="s">
        <v>22</v>
      </c>
    </row>
    <row r="5000" spans="1:11" ht="42" customHeight="1">
      <c r="A5000" s="4" t="s">
        <v>11097</v>
      </c>
      <c r="B5000" s="5" t="s">
        <v>11097</v>
      </c>
      <c r="C5000" s="5" t="s">
        <v>69</v>
      </c>
      <c r="D5000" s="5" t="s">
        <v>70</v>
      </c>
      <c r="E5000" s="5" t="s">
        <v>438</v>
      </c>
      <c r="F5000" s="9">
        <v>70</v>
      </c>
      <c r="G5000" s="9">
        <v>725</v>
      </c>
      <c r="H5000" s="5" t="s">
        <v>20</v>
      </c>
      <c r="I5000" s="5" t="s">
        <v>11101</v>
      </c>
      <c r="J5000" s="12" t="str">
        <f>HYPERLINK("https://www.boe.es/gazeta/dias/1806/08/26/pdfs/GMD-1806-70.pdf#page=1","Abrir facsímil")</f>
        <v>Abrir facsímil</v>
      </c>
      <c r="K5000" s="15" t="s">
        <v>22</v>
      </c>
    </row>
    <row r="5001" spans="1:11" ht="42" customHeight="1">
      <c r="A5001" s="4" t="s">
        <v>11097</v>
      </c>
      <c r="B5001" s="5" t="s">
        <v>11097</v>
      </c>
      <c r="C5001" s="5" t="s">
        <v>69</v>
      </c>
      <c r="D5001" s="5" t="s">
        <v>70</v>
      </c>
      <c r="E5001" s="5" t="s">
        <v>148</v>
      </c>
      <c r="F5001" s="9">
        <v>78</v>
      </c>
      <c r="G5001" s="9">
        <v>802</v>
      </c>
      <c r="H5001" s="5" t="s">
        <v>20</v>
      </c>
      <c r="I5001" s="5" t="s">
        <v>11102</v>
      </c>
      <c r="J5001" s="12" t="str">
        <f>HYPERLINK("https://www.boe.es/gazeta/dias/1806/09/23/pdfs/GMD-1806-78.pdf#page=6","Abrir facsímil")</f>
        <v>Abrir facsímil</v>
      </c>
      <c r="K5001" s="15" t="s">
        <v>22</v>
      </c>
    </row>
    <row r="5002" spans="1:11" ht="42" customHeight="1">
      <c r="A5002" s="4" t="s">
        <v>11103</v>
      </c>
      <c r="B5002" s="5" t="s">
        <v>11104</v>
      </c>
      <c r="C5002" s="5" t="s">
        <v>75</v>
      </c>
      <c r="D5002" s="5" t="s">
        <v>43</v>
      </c>
      <c r="E5002" s="5" t="s">
        <v>172</v>
      </c>
      <c r="F5002" s="9">
        <v>17</v>
      </c>
      <c r="G5002" s="9">
        <v>150</v>
      </c>
      <c r="H5002" s="5" t="s">
        <v>20</v>
      </c>
      <c r="I5002" s="5" t="s">
        <v>11105</v>
      </c>
      <c r="J5002" s="12" t="str">
        <f>HYPERLINK("https://www.boe.es/gazeta/dias/1806/02/21/pdfs/GMD-1806-17.pdf#page=6","Abrir facsímil")</f>
        <v>Abrir facsímil</v>
      </c>
      <c r="K5002" s="15" t="s">
        <v>22</v>
      </c>
    </row>
    <row r="5003" spans="1:11" ht="42" customHeight="1">
      <c r="A5003" s="4" t="s">
        <v>11103</v>
      </c>
      <c r="B5003" s="5" t="s">
        <v>11104</v>
      </c>
      <c r="C5003" s="5" t="s">
        <v>69</v>
      </c>
      <c r="D5003" s="5" t="s">
        <v>70</v>
      </c>
      <c r="E5003" s="5" t="s">
        <v>175</v>
      </c>
      <c r="F5003" s="9">
        <v>40</v>
      </c>
      <c r="G5003" s="9">
        <v>390</v>
      </c>
      <c r="H5003" s="5" t="s">
        <v>20</v>
      </c>
      <c r="I5003" s="5" t="s">
        <v>11106</v>
      </c>
      <c r="J5003" s="12" t="str">
        <f>HYPERLINK("https://www.boe.es/gazeta/dias/1806/05/13/pdfs/GMD-1806-40.pdf#page=2","Abrir facsímil")</f>
        <v>Abrir facsímil</v>
      </c>
      <c r="K5003" s="15" t="s">
        <v>22</v>
      </c>
    </row>
    <row r="5004" spans="1:11" ht="42" customHeight="1">
      <c r="A5004" s="4" t="s">
        <v>11107</v>
      </c>
      <c r="B5004" s="5" t="s">
        <v>11107</v>
      </c>
      <c r="C5004" s="5" t="s">
        <v>31</v>
      </c>
      <c r="D5004" s="5" t="s">
        <v>32</v>
      </c>
      <c r="E5004" s="5" t="s">
        <v>340</v>
      </c>
      <c r="F5004" s="9">
        <v>31</v>
      </c>
      <c r="G5004" s="9">
        <v>298</v>
      </c>
      <c r="H5004" s="5" t="s">
        <v>20</v>
      </c>
      <c r="I5004" s="5" t="s">
        <v>11108</v>
      </c>
      <c r="J5004" s="12" t="str">
        <f>HYPERLINK("https://www.boe.es/gazeta/dias/1806/04/11/pdfs/GMD-1806-31.pdf#page=2","Abrir facsímil")</f>
        <v>Abrir facsímil</v>
      </c>
      <c r="K5004" s="15" t="s">
        <v>22</v>
      </c>
    </row>
    <row r="5005" spans="1:11" ht="42" customHeight="1">
      <c r="A5005" s="4" t="s">
        <v>11109</v>
      </c>
      <c r="B5005" s="5" t="s">
        <v>11110</v>
      </c>
      <c r="C5005" s="5" t="s">
        <v>69</v>
      </c>
      <c r="D5005" s="5" t="s">
        <v>70</v>
      </c>
      <c r="E5005" s="5" t="s">
        <v>55</v>
      </c>
      <c r="F5005" s="9">
        <v>20</v>
      </c>
      <c r="G5005" s="9">
        <v>182</v>
      </c>
      <c r="H5005" s="5" t="s">
        <v>20</v>
      </c>
      <c r="I5005" s="5" t="s">
        <v>11111</v>
      </c>
      <c r="J5005" s="12" t="str">
        <f>HYPERLINK("https://www.boe.es/gazeta/dias/1806/03/04/pdfs/GMD-1806-20.pdf#page=6","Abrir facsímil")</f>
        <v>Abrir facsímil</v>
      </c>
      <c r="K5005" s="15" t="s">
        <v>22</v>
      </c>
    </row>
    <row r="5006" spans="1:11" ht="42" customHeight="1">
      <c r="A5006" s="4" t="s">
        <v>11112</v>
      </c>
      <c r="B5006" s="5" t="s">
        <v>11113</v>
      </c>
      <c r="C5006" s="5" t="s">
        <v>69</v>
      </c>
      <c r="D5006" s="5" t="s">
        <v>70</v>
      </c>
      <c r="E5006" s="5" t="s">
        <v>400</v>
      </c>
      <c r="F5006" s="9">
        <v>22</v>
      </c>
      <c r="G5006" s="9">
        <v>205</v>
      </c>
      <c r="H5006" s="5" t="s">
        <v>20</v>
      </c>
      <c r="I5006" s="5" t="s">
        <v>11114</v>
      </c>
      <c r="J5006" s="12" t="str">
        <f>HYPERLINK("https://www.boe.es/gazeta/dias/1806/03/11/pdfs/GMD-1806-22.pdf#page=5","Abrir facsímil")</f>
        <v>Abrir facsímil</v>
      </c>
      <c r="K5006" s="15" t="s">
        <v>22</v>
      </c>
    </row>
    <row r="5007" spans="1:11" ht="42" customHeight="1">
      <c r="A5007" s="4" t="s">
        <v>11115</v>
      </c>
      <c r="B5007" s="5" t="s">
        <v>11116</v>
      </c>
      <c r="C5007" s="5" t="s">
        <v>69</v>
      </c>
      <c r="D5007" s="5" t="s">
        <v>70</v>
      </c>
      <c r="E5007" s="5" t="s">
        <v>62</v>
      </c>
      <c r="F5007" s="9">
        <v>45</v>
      </c>
      <c r="G5007" s="9">
        <v>451</v>
      </c>
      <c r="H5007" s="5" t="s">
        <v>20</v>
      </c>
      <c r="I5007" s="5" t="s">
        <v>11117</v>
      </c>
      <c r="J5007" s="12" t="str">
        <f>HYPERLINK("https://www.boe.es/gazeta/dias/1806/05/30/pdfs/GMD-1806-45.pdf#page=3","Abrir facsímil")</f>
        <v>Abrir facsímil</v>
      </c>
      <c r="K5007" s="15" t="s">
        <v>22</v>
      </c>
    </row>
    <row r="5008" spans="1:11" ht="42" customHeight="1">
      <c r="A5008" s="4" t="s">
        <v>11118</v>
      </c>
      <c r="B5008" s="5" t="s">
        <v>11119</v>
      </c>
      <c r="C5008" s="5" t="s">
        <v>42</v>
      </c>
      <c r="D5008" s="5" t="s">
        <v>43</v>
      </c>
      <c r="E5008" s="5" t="s">
        <v>600</v>
      </c>
      <c r="F5008" s="9">
        <v>77</v>
      </c>
      <c r="G5008" s="9">
        <v>794</v>
      </c>
      <c r="H5008" s="5" t="s">
        <v>20</v>
      </c>
      <c r="I5008" s="5" t="s">
        <v>11120</v>
      </c>
      <c r="J5008" s="12" t="str">
        <f>HYPERLINK("https://www.boe.es/gazeta/dias/1806/09/19/pdfs/GMD-1806-77.pdf#page=6","Abrir facsímil")</f>
        <v>Abrir facsímil</v>
      </c>
      <c r="K5008" s="15" t="s">
        <v>22</v>
      </c>
    </row>
    <row r="5009" spans="1:11" ht="42" customHeight="1">
      <c r="A5009" s="4" t="s">
        <v>11121</v>
      </c>
      <c r="B5009" s="5" t="s">
        <v>11122</v>
      </c>
      <c r="C5009" s="5" t="s">
        <v>42</v>
      </c>
      <c r="D5009" s="5" t="s">
        <v>43</v>
      </c>
      <c r="E5009" s="5" t="s">
        <v>367</v>
      </c>
      <c r="F5009" s="9">
        <v>87</v>
      </c>
      <c r="G5009" s="9">
        <v>901</v>
      </c>
      <c r="H5009" s="5" t="s">
        <v>20</v>
      </c>
      <c r="I5009" s="5" t="s">
        <v>11123</v>
      </c>
      <c r="J5009" s="12" t="str">
        <f>HYPERLINK("https://www.boe.es/gazeta/dias/1806/10/24/pdfs/GMD-1806-87.pdf#page=9","Abrir facsímil")</f>
        <v>Abrir facsímil</v>
      </c>
      <c r="K5009" s="15" t="s">
        <v>22</v>
      </c>
    </row>
    <row r="5010" spans="1:11" ht="42" customHeight="1">
      <c r="A5010" s="4" t="s">
        <v>11124</v>
      </c>
      <c r="B5010" s="5" t="s">
        <v>11125</v>
      </c>
      <c r="C5010" s="5" t="s">
        <v>17</v>
      </c>
      <c r="D5010" s="5" t="s">
        <v>18</v>
      </c>
      <c r="E5010" s="5" t="s">
        <v>178</v>
      </c>
      <c r="F5010" s="9">
        <v>36</v>
      </c>
      <c r="G5010" s="9">
        <v>350</v>
      </c>
      <c r="H5010" s="5" t="s">
        <v>20</v>
      </c>
      <c r="I5010" s="5" t="s">
        <v>11126</v>
      </c>
      <c r="J5010" s="12" t="str">
        <f>HYPERLINK("https://www.boe.es/gazeta/dias/1806/04/29/pdfs/GMD-1806-36.pdf#page=6","Abrir facsímil")</f>
        <v>Abrir facsímil</v>
      </c>
      <c r="K5010" s="15" t="s">
        <v>22</v>
      </c>
    </row>
    <row r="5011" spans="1:11" ht="42" customHeight="1">
      <c r="A5011" s="4" t="s">
        <v>11127</v>
      </c>
      <c r="B5011" s="5" t="s">
        <v>11128</v>
      </c>
      <c r="C5011" s="5" t="s">
        <v>31</v>
      </c>
      <c r="D5011" s="5" t="s">
        <v>32</v>
      </c>
      <c r="E5011" s="5" t="s">
        <v>271</v>
      </c>
      <c r="F5011" s="9">
        <v>6</v>
      </c>
      <c r="G5011" s="9">
        <v>54</v>
      </c>
      <c r="H5011" s="5" t="s">
        <v>20</v>
      </c>
      <c r="I5011" s="5" t="s">
        <v>11129</v>
      </c>
      <c r="J5011" s="12" t="str">
        <f>HYPERLINK("https://www.boe.es/gazeta/dias/1806/01/17/pdfs/GMD-1806-6.pdf#page=10","Abrir facsímil")</f>
        <v>Abrir facsímil</v>
      </c>
      <c r="K5011" s="15" t="s">
        <v>22</v>
      </c>
    </row>
    <row r="5012" spans="1:11" ht="42" customHeight="1">
      <c r="A5012" s="4" t="s">
        <v>11130</v>
      </c>
      <c r="B5012" s="5" t="s">
        <v>11131</v>
      </c>
      <c r="C5012" s="5" t="s">
        <v>17</v>
      </c>
      <c r="D5012" s="5" t="s">
        <v>18</v>
      </c>
      <c r="E5012" s="5" t="s">
        <v>494</v>
      </c>
      <c r="F5012" s="9">
        <v>69</v>
      </c>
      <c r="G5012" s="9">
        <v>721</v>
      </c>
      <c r="H5012" s="5" t="s">
        <v>20</v>
      </c>
      <c r="I5012" s="5" t="s">
        <v>11132</v>
      </c>
      <c r="J5012" s="12" t="str">
        <f>HYPERLINK("https://www.boe.es/gazeta/dias/1806/08/22/pdfs/GMD-1806-69.pdf#page=9","Abrir facsímil")</f>
        <v>Abrir facsímil</v>
      </c>
      <c r="K5012" s="15" t="s">
        <v>22</v>
      </c>
    </row>
    <row r="5013" spans="1:11" ht="42" customHeight="1">
      <c r="A5013" s="4" t="s">
        <v>11133</v>
      </c>
      <c r="B5013" s="5" t="s">
        <v>11134</v>
      </c>
      <c r="C5013" s="5" t="s">
        <v>17</v>
      </c>
      <c r="D5013" s="5" t="s">
        <v>18</v>
      </c>
      <c r="E5013" s="5" t="s">
        <v>911</v>
      </c>
      <c r="F5013" s="9">
        <v>64</v>
      </c>
      <c r="G5013" s="9">
        <v>672</v>
      </c>
      <c r="H5013" s="5" t="s">
        <v>20</v>
      </c>
      <c r="I5013" s="5" t="s">
        <v>11135</v>
      </c>
      <c r="J5013" s="12" t="str">
        <f>HYPERLINK("https://www.boe.es/gazeta/dias/1806/08/05/pdfs/GMD-1806-64.pdf#page=8","Abrir facsímil")</f>
        <v>Abrir facsímil</v>
      </c>
      <c r="K5013" s="15" t="s">
        <v>22</v>
      </c>
    </row>
    <row r="5014" spans="1:11" ht="42" customHeight="1">
      <c r="A5014" s="4" t="s">
        <v>11136</v>
      </c>
      <c r="B5014" s="5" t="s">
        <v>11137</v>
      </c>
      <c r="C5014" s="5" t="s">
        <v>31</v>
      </c>
      <c r="D5014" s="5" t="s">
        <v>32</v>
      </c>
      <c r="E5014" s="5" t="s">
        <v>285</v>
      </c>
      <c r="F5014" s="9">
        <v>13</v>
      </c>
      <c r="G5014" s="9">
        <v>114</v>
      </c>
      <c r="H5014" s="5" t="s">
        <v>20</v>
      </c>
      <c r="I5014" s="5" t="s">
        <v>11138</v>
      </c>
      <c r="J5014" s="12" t="str">
        <f>HYPERLINK("https://www.boe.es/gazeta/dias/1806/02/07/pdfs/GMD-1806-13.pdf#page=6","Abrir facsímil")</f>
        <v>Abrir facsímil</v>
      </c>
      <c r="K5014" s="15" t="s">
        <v>22</v>
      </c>
    </row>
    <row r="5015" spans="1:11" ht="42" customHeight="1">
      <c r="A5015" s="4" t="s">
        <v>11139</v>
      </c>
      <c r="B5015" s="5" t="s">
        <v>11140</v>
      </c>
      <c r="C5015" s="5" t="s">
        <v>31</v>
      </c>
      <c r="D5015" s="5" t="s">
        <v>32</v>
      </c>
      <c r="E5015" s="5" t="s">
        <v>55</v>
      </c>
      <c r="F5015" s="9">
        <v>20</v>
      </c>
      <c r="G5015" s="9">
        <v>185</v>
      </c>
      <c r="H5015" s="5" t="s">
        <v>20</v>
      </c>
      <c r="I5015" s="5" t="s">
        <v>11141</v>
      </c>
      <c r="J5015" s="12" t="str">
        <f>HYPERLINK("https://www.boe.es/gazeta/dias/1806/03/04/pdfs/GMD-1806-20.pdf#page=9","Abrir facsímil")</f>
        <v>Abrir facsímil</v>
      </c>
      <c r="K5015" s="15" t="s">
        <v>22</v>
      </c>
    </row>
    <row r="5016" spans="1:11" ht="42" customHeight="1">
      <c r="A5016" s="4" t="s">
        <v>11142</v>
      </c>
      <c r="B5016" s="5" t="s">
        <v>11143</v>
      </c>
      <c r="C5016" s="5" t="s">
        <v>31</v>
      </c>
      <c r="D5016" s="5" t="s">
        <v>32</v>
      </c>
      <c r="E5016" s="5" t="s">
        <v>127</v>
      </c>
      <c r="F5016" s="9">
        <v>81</v>
      </c>
      <c r="G5016" s="9">
        <v>837</v>
      </c>
      <c r="H5016" s="5" t="s">
        <v>20</v>
      </c>
      <c r="I5016" s="5" t="s">
        <v>11144</v>
      </c>
      <c r="J5016" s="12" t="str">
        <f>HYPERLINK("https://www.boe.es/gazeta/dias/1806/10/03/pdfs/GMD-1806-81.pdf#page=5","Abrir facsímil")</f>
        <v>Abrir facsímil</v>
      </c>
      <c r="K5016" s="15" t="s">
        <v>22</v>
      </c>
    </row>
    <row r="5017" spans="1:11" ht="42" customHeight="1">
      <c r="A5017" s="4" t="s">
        <v>11145</v>
      </c>
      <c r="B5017" s="5" t="s">
        <v>11146</v>
      </c>
      <c r="C5017" s="5" t="s">
        <v>17</v>
      </c>
      <c r="D5017" s="5" t="s">
        <v>18</v>
      </c>
      <c r="E5017" s="5" t="s">
        <v>400</v>
      </c>
      <c r="F5017" s="9">
        <v>22</v>
      </c>
      <c r="G5017" s="9">
        <v>207</v>
      </c>
      <c r="H5017" s="5" t="s">
        <v>20</v>
      </c>
      <c r="I5017" s="5" t="s">
        <v>11147</v>
      </c>
      <c r="J5017" s="12" t="str">
        <f>HYPERLINK("https://www.boe.es/gazeta/dias/1806/03/11/pdfs/GMD-1806-22.pdf#page=7","Abrir facsímil")</f>
        <v>Abrir facsímil</v>
      </c>
      <c r="K5017" s="15" t="s">
        <v>22</v>
      </c>
    </row>
    <row r="5018" spans="1:11" ht="42" customHeight="1">
      <c r="A5018" s="4" t="s">
        <v>11148</v>
      </c>
      <c r="B5018" s="5" t="s">
        <v>11149</v>
      </c>
      <c r="C5018" s="5" t="s">
        <v>31</v>
      </c>
      <c r="D5018" s="5" t="s">
        <v>32</v>
      </c>
      <c r="E5018" s="5" t="s">
        <v>312</v>
      </c>
      <c r="F5018" s="9">
        <v>100</v>
      </c>
      <c r="G5018" s="9">
        <v>1065</v>
      </c>
      <c r="H5018" s="5" t="s">
        <v>20</v>
      </c>
      <c r="I5018" s="5" t="s">
        <v>11150</v>
      </c>
      <c r="J5018" s="12" t="str">
        <f>HYPERLINK("https://www.boe.es/gazeta/dias/1806/12/09/pdfs/GMD-1806-100.pdf#page=9","Abrir facsímil")</f>
        <v>Abrir facsímil</v>
      </c>
      <c r="K5018" s="15" t="s">
        <v>22</v>
      </c>
    </row>
    <row r="5019" spans="1:11" ht="42" customHeight="1">
      <c r="A5019" s="4" t="s">
        <v>11151</v>
      </c>
      <c r="B5019" s="5" t="s">
        <v>11152</v>
      </c>
      <c r="C5019" s="5" t="s">
        <v>31</v>
      </c>
      <c r="D5019" s="5" t="s">
        <v>32</v>
      </c>
      <c r="E5019" s="5" t="s">
        <v>55</v>
      </c>
      <c r="F5019" s="9">
        <v>20</v>
      </c>
      <c r="G5019" s="9">
        <v>185</v>
      </c>
      <c r="H5019" s="5" t="s">
        <v>20</v>
      </c>
      <c r="I5019" s="5" t="s">
        <v>11153</v>
      </c>
      <c r="J5019" s="12" t="str">
        <f>HYPERLINK("https://www.boe.es/gazeta/dias/1806/03/04/pdfs/GMD-1806-20.pdf#page=9","Abrir facsímil")</f>
        <v>Abrir facsímil</v>
      </c>
      <c r="K5019" s="15" t="s">
        <v>22</v>
      </c>
    </row>
    <row r="5020" spans="1:11" ht="42" customHeight="1">
      <c r="A5020" s="4" t="s">
        <v>11154</v>
      </c>
      <c r="B5020" s="5" t="s">
        <v>11155</v>
      </c>
      <c r="C5020" s="5" t="s">
        <v>31</v>
      </c>
      <c r="D5020" s="5" t="s">
        <v>32</v>
      </c>
      <c r="E5020" s="5" t="s">
        <v>483</v>
      </c>
      <c r="F5020" s="9">
        <v>58</v>
      </c>
      <c r="G5020" s="9">
        <v>602</v>
      </c>
      <c r="H5020" s="5" t="s">
        <v>20</v>
      </c>
      <c r="I5020" s="5" t="s">
        <v>11156</v>
      </c>
      <c r="J5020" s="12" t="str">
        <f>HYPERLINK("https://www.boe.es/gazeta/dias/1806/07/15/pdfs/GMD-1806-58.pdf#page=6","Abrir facsímil")</f>
        <v>Abrir facsímil</v>
      </c>
      <c r="K5020" s="15" t="s">
        <v>22</v>
      </c>
    </row>
    <row r="5021" spans="1:11" ht="42" customHeight="1">
      <c r="A5021" s="4" t="s">
        <v>11157</v>
      </c>
      <c r="B5021" s="5" t="s">
        <v>11158</v>
      </c>
      <c r="C5021" s="5" t="s">
        <v>36</v>
      </c>
      <c r="D5021" s="5" t="s">
        <v>37</v>
      </c>
      <c r="E5021" s="5" t="s">
        <v>33</v>
      </c>
      <c r="F5021" s="9">
        <v>82</v>
      </c>
      <c r="G5021" s="9">
        <v>851</v>
      </c>
      <c r="H5021" s="5" t="s">
        <v>20</v>
      </c>
      <c r="I5021" s="5" t="s">
        <v>11159</v>
      </c>
      <c r="J5021" s="12" t="str">
        <f>HYPERLINK("https://www.boe.es/gazeta/dias/1806/10/07/pdfs/GMD-1806-82.pdf#page=11","Abrir facsímil")</f>
        <v>Abrir facsímil</v>
      </c>
      <c r="K5021" s="15" t="s">
        <v>22</v>
      </c>
    </row>
    <row r="5022" spans="1:11" ht="42" customHeight="1">
      <c r="A5022" s="4" t="s">
        <v>11160</v>
      </c>
      <c r="B5022" s="5" t="s">
        <v>11161</v>
      </c>
      <c r="C5022" s="5" t="s">
        <v>17</v>
      </c>
      <c r="D5022" s="5" t="s">
        <v>18</v>
      </c>
      <c r="E5022" s="5" t="s">
        <v>209</v>
      </c>
      <c r="F5022" s="9">
        <v>95</v>
      </c>
      <c r="G5022" s="9">
        <v>1007</v>
      </c>
      <c r="H5022" s="5" t="s">
        <v>20</v>
      </c>
      <c r="I5022" s="5" t="s">
        <v>11162</v>
      </c>
      <c r="J5022" s="12" t="str">
        <f>HYPERLINK("https://www.boe.es/gazeta/dias/1806/11/21/pdfs/GMD-1806-95.pdf#page=15","Abrir facsímil")</f>
        <v>Abrir facsímil</v>
      </c>
      <c r="K5022" s="15" t="s">
        <v>22</v>
      </c>
    </row>
    <row r="5023" spans="1:11" ht="42" customHeight="1">
      <c r="A5023" s="4" t="s">
        <v>11163</v>
      </c>
      <c r="B5023" s="5" t="s">
        <v>11164</v>
      </c>
      <c r="C5023" s="5" t="s">
        <v>69</v>
      </c>
      <c r="D5023" s="5" t="s">
        <v>70</v>
      </c>
      <c r="E5023" s="5" t="s">
        <v>185</v>
      </c>
      <c r="F5023" s="9">
        <v>46</v>
      </c>
      <c r="G5023" s="9">
        <v>465</v>
      </c>
      <c r="H5023" s="5" t="s">
        <v>20</v>
      </c>
      <c r="I5023" s="5" t="s">
        <v>11165</v>
      </c>
      <c r="J5023" s="12" t="str">
        <f>HYPERLINK("https://www.boe.es/gazeta/dias/1806/06/03/pdfs/GMD-1806-46.pdf#page=5","Abrir facsímil")</f>
        <v>Abrir facsímil</v>
      </c>
      <c r="K5023" s="15" t="s">
        <v>22</v>
      </c>
    </row>
    <row r="5024" spans="1:11" ht="42" customHeight="1">
      <c r="A5024" s="4" t="s">
        <v>11166</v>
      </c>
      <c r="B5024" s="5" t="s">
        <v>11167</v>
      </c>
      <c r="C5024" s="5" t="s">
        <v>31</v>
      </c>
      <c r="D5024" s="5" t="s">
        <v>32</v>
      </c>
      <c r="E5024" s="5" t="s">
        <v>304</v>
      </c>
      <c r="F5024" s="9">
        <v>47</v>
      </c>
      <c r="G5024" s="9">
        <v>478</v>
      </c>
      <c r="H5024" s="5" t="s">
        <v>20</v>
      </c>
      <c r="I5024" s="5" t="s">
        <v>11168</v>
      </c>
      <c r="J5024" s="12" t="str">
        <f>HYPERLINK("https://www.boe.es/gazeta/dias/1806/06/06/pdfs/GMD-1806-47.pdf#page=6","Abrir facsímil")</f>
        <v>Abrir facsímil</v>
      </c>
      <c r="K5024" s="15" t="s">
        <v>22</v>
      </c>
    </row>
    <row r="5025" spans="1:11" ht="42" customHeight="1">
      <c r="A5025" s="4" t="s">
        <v>11169</v>
      </c>
      <c r="B5025" s="5" t="s">
        <v>11170</v>
      </c>
      <c r="C5025" s="5" t="s">
        <v>69</v>
      </c>
      <c r="D5025" s="5" t="s">
        <v>70</v>
      </c>
      <c r="E5025" s="5" t="s">
        <v>1031</v>
      </c>
      <c r="F5025" s="9">
        <v>107</v>
      </c>
      <c r="G5025" s="9">
        <v>1127</v>
      </c>
      <c r="H5025" s="5" t="s">
        <v>20</v>
      </c>
      <c r="I5025" s="5" t="s">
        <v>11171</v>
      </c>
      <c r="J5025" s="12" t="str">
        <f>HYPERLINK("https://www.boe.es/gazeta/dias/1806/12/30/pdfs/GMD-1806-107.pdf#page=3","Abrir facsímil")</f>
        <v>Abrir facsímil</v>
      </c>
      <c r="K5025" s="15" t="s">
        <v>22</v>
      </c>
    </row>
    <row r="5026" spans="1:11" ht="42" customHeight="1">
      <c r="A5026" s="4" t="s">
        <v>11172</v>
      </c>
      <c r="B5026" s="5" t="s">
        <v>11173</v>
      </c>
      <c r="C5026" s="5" t="s">
        <v>69</v>
      </c>
      <c r="D5026" s="5" t="s">
        <v>70</v>
      </c>
      <c r="E5026" s="5" t="s">
        <v>113</v>
      </c>
      <c r="F5026" s="9">
        <v>28</v>
      </c>
      <c r="G5026" s="9">
        <v>275</v>
      </c>
      <c r="H5026" s="5" t="s">
        <v>20</v>
      </c>
      <c r="I5026" s="5" t="s">
        <v>11174</v>
      </c>
      <c r="J5026" s="12" t="str">
        <f>HYPERLINK("https://www.boe.es/gazeta/dias/1806/04/01/pdfs/GMD-1806-28.pdf#page=3","Abrir facsímil")</f>
        <v>Abrir facsímil</v>
      </c>
      <c r="K5026" s="15" t="s">
        <v>22</v>
      </c>
    </row>
    <row r="5027" spans="1:11" ht="42" customHeight="1">
      <c r="A5027" s="4" t="s">
        <v>11175</v>
      </c>
      <c r="B5027" s="5" t="s">
        <v>11176</v>
      </c>
      <c r="C5027" s="5" t="s">
        <v>69</v>
      </c>
      <c r="D5027" s="5" t="s">
        <v>70</v>
      </c>
      <c r="E5027" s="5" t="s">
        <v>271</v>
      </c>
      <c r="F5027" s="9">
        <v>6</v>
      </c>
      <c r="G5027" s="9">
        <v>47</v>
      </c>
      <c r="H5027" s="5" t="s">
        <v>20</v>
      </c>
      <c r="I5027" s="5" t="s">
        <v>11177</v>
      </c>
      <c r="J5027" s="12" t="str">
        <f>HYPERLINK("https://www.boe.es/gazeta/dias/1806/01/17/pdfs/GMD-1806-6.pdf#page=3","Abrir facsímil")</f>
        <v>Abrir facsímil</v>
      </c>
      <c r="K5027" s="15" t="s">
        <v>22</v>
      </c>
    </row>
    <row r="5028" spans="1:11" ht="42" customHeight="1">
      <c r="A5028" s="4" t="s">
        <v>11178</v>
      </c>
      <c r="B5028" s="5" t="s">
        <v>11179</v>
      </c>
      <c r="C5028" s="5" t="s">
        <v>69</v>
      </c>
      <c r="D5028" s="5" t="s">
        <v>70</v>
      </c>
      <c r="E5028" s="5" t="s">
        <v>118</v>
      </c>
      <c r="F5028" s="9">
        <v>15</v>
      </c>
      <c r="G5028" s="9">
        <v>128</v>
      </c>
      <c r="H5028" s="5" t="s">
        <v>20</v>
      </c>
      <c r="I5028" s="5" t="s">
        <v>11180</v>
      </c>
      <c r="J5028" s="12" t="str">
        <f>HYPERLINK("https://www.boe.es/gazeta/dias/1806/02/14/pdfs/GMD-1806-15.pdf#page=4","Abrir facsímil")</f>
        <v>Abrir facsímil</v>
      </c>
      <c r="K5028" s="15" t="s">
        <v>22</v>
      </c>
    </row>
    <row r="5029" spans="1:11" ht="42" customHeight="1">
      <c r="A5029" s="4" t="s">
        <v>11181</v>
      </c>
      <c r="B5029" s="5" t="s">
        <v>11182</v>
      </c>
      <c r="C5029" s="5" t="s">
        <v>69</v>
      </c>
      <c r="D5029" s="5" t="s">
        <v>70</v>
      </c>
      <c r="E5029" s="5" t="s">
        <v>271</v>
      </c>
      <c r="F5029" s="9">
        <v>6</v>
      </c>
      <c r="G5029" s="9">
        <v>47</v>
      </c>
      <c r="H5029" s="5" t="s">
        <v>20</v>
      </c>
      <c r="I5029" s="5" t="s">
        <v>11183</v>
      </c>
      <c r="J5029" s="12" t="str">
        <f>HYPERLINK("https://www.boe.es/gazeta/dias/1806/01/17/pdfs/GMD-1806-6.pdf#page=3","Abrir facsímil")</f>
        <v>Abrir facsímil</v>
      </c>
      <c r="K5029" s="15" t="s">
        <v>22</v>
      </c>
    </row>
    <row r="5030" spans="1:11" ht="42" customHeight="1">
      <c r="A5030" s="4" t="s">
        <v>11184</v>
      </c>
      <c r="B5030" s="5" t="s">
        <v>11185</v>
      </c>
      <c r="C5030" s="5" t="s">
        <v>69</v>
      </c>
      <c r="D5030" s="5" t="s">
        <v>70</v>
      </c>
      <c r="E5030" s="5" t="s">
        <v>93</v>
      </c>
      <c r="F5030" s="9">
        <v>72</v>
      </c>
      <c r="G5030" s="9">
        <v>744</v>
      </c>
      <c r="H5030" s="5" t="s">
        <v>20</v>
      </c>
      <c r="I5030" s="5" t="s">
        <v>11186</v>
      </c>
      <c r="J5030" s="12" t="str">
        <f>HYPERLINK("https://www.boe.es/gazeta/dias/1806/09/02/pdfs/GMD-1806-72.pdf#page=4","Abrir facsímil")</f>
        <v>Abrir facsímil</v>
      </c>
      <c r="K5030" s="15" t="s">
        <v>22</v>
      </c>
    </row>
    <row r="5031" spans="1:11" ht="42" customHeight="1">
      <c r="A5031" s="4" t="s">
        <v>11187</v>
      </c>
      <c r="B5031" s="5" t="s">
        <v>11188</v>
      </c>
      <c r="C5031" s="5" t="s">
        <v>69</v>
      </c>
      <c r="D5031" s="5" t="s">
        <v>70</v>
      </c>
      <c r="E5031" s="5" t="s">
        <v>363</v>
      </c>
      <c r="F5031" s="9">
        <v>8</v>
      </c>
      <c r="G5031" s="9">
        <v>71</v>
      </c>
      <c r="H5031" s="5" t="s">
        <v>20</v>
      </c>
      <c r="I5031" s="5" t="s">
        <v>11189</v>
      </c>
      <c r="J5031" s="12" t="str">
        <f>HYPERLINK("https://www.boe.es/gazeta/dias/1806/01/24/pdfs/GMD-1806-8.pdf#page=3","Abrir facsímil")</f>
        <v>Abrir facsímil</v>
      </c>
      <c r="K5031" s="15" t="s">
        <v>22</v>
      </c>
    </row>
    <row r="5032" spans="1:11" ht="42" customHeight="1">
      <c r="A5032" s="4" t="s">
        <v>11190</v>
      </c>
      <c r="B5032" s="5" t="s">
        <v>11191</v>
      </c>
      <c r="C5032" s="5" t="s">
        <v>69</v>
      </c>
      <c r="D5032" s="5" t="s">
        <v>70</v>
      </c>
      <c r="E5032" s="5" t="s">
        <v>185</v>
      </c>
      <c r="F5032" s="9">
        <v>46</v>
      </c>
      <c r="G5032" s="9">
        <v>463</v>
      </c>
      <c r="H5032" s="5" t="s">
        <v>20</v>
      </c>
      <c r="I5032" s="5" t="s">
        <v>11192</v>
      </c>
      <c r="J5032" s="12" t="str">
        <f>HYPERLINK("https://www.boe.es/gazeta/dias/1806/06/03/pdfs/GMD-1806-46.pdf#page=3","Abrir facsímil")</f>
        <v>Abrir facsímil</v>
      </c>
      <c r="K5032" s="15" t="s">
        <v>22</v>
      </c>
    </row>
    <row r="5033" spans="1:11" ht="42" customHeight="1">
      <c r="A5033" s="4" t="s">
        <v>11193</v>
      </c>
      <c r="B5033" s="5" t="s">
        <v>11194</v>
      </c>
      <c r="C5033" s="5" t="s">
        <v>31</v>
      </c>
      <c r="D5033" s="5" t="s">
        <v>32</v>
      </c>
      <c r="E5033" s="5" t="s">
        <v>62</v>
      </c>
      <c r="F5033" s="9">
        <v>45</v>
      </c>
      <c r="G5033" s="9">
        <v>449</v>
      </c>
      <c r="H5033" s="5" t="s">
        <v>20</v>
      </c>
      <c r="I5033" s="5" t="s">
        <v>11195</v>
      </c>
      <c r="J5033" s="12" t="str">
        <f>HYPERLINK("https://www.boe.es/gazeta/dias/1806/05/30/pdfs/GMD-1806-45.pdf#page=1","Abrir facsímil")</f>
        <v>Abrir facsímil</v>
      </c>
      <c r="K5033" s="15" t="s">
        <v>22</v>
      </c>
    </row>
    <row r="5034" spans="1:11" ht="42" customHeight="1">
      <c r="A5034" s="4" t="s">
        <v>11196</v>
      </c>
      <c r="B5034" s="5" t="s">
        <v>11197</v>
      </c>
      <c r="C5034" s="5" t="s">
        <v>69</v>
      </c>
      <c r="D5034" s="5" t="s">
        <v>70</v>
      </c>
      <c r="E5034" s="5" t="s">
        <v>185</v>
      </c>
      <c r="F5034" s="9">
        <v>46</v>
      </c>
      <c r="G5034" s="9">
        <v>465</v>
      </c>
      <c r="H5034" s="5" t="s">
        <v>20</v>
      </c>
      <c r="I5034" s="5" t="s">
        <v>11198</v>
      </c>
      <c r="J5034" s="12" t="str">
        <f>HYPERLINK("https://www.boe.es/gazeta/dias/1806/06/03/pdfs/GMD-1806-46.pdf#page=5","Abrir facsímil")</f>
        <v>Abrir facsímil</v>
      </c>
      <c r="K5034" s="15" t="s">
        <v>22</v>
      </c>
    </row>
    <row r="5035" spans="1:11" ht="42" customHeight="1">
      <c r="A5035" s="4" t="s">
        <v>11199</v>
      </c>
      <c r="B5035" s="5" t="s">
        <v>11200</v>
      </c>
      <c r="C5035" s="5" t="s">
        <v>69</v>
      </c>
      <c r="D5035" s="5" t="s">
        <v>70</v>
      </c>
      <c r="E5035" s="5" t="s">
        <v>33</v>
      </c>
      <c r="F5035" s="9">
        <v>82</v>
      </c>
      <c r="G5035" s="9">
        <v>847</v>
      </c>
      <c r="H5035" s="5" t="s">
        <v>20</v>
      </c>
      <c r="I5035" s="5" t="s">
        <v>11201</v>
      </c>
      <c r="J5035" s="12" t="str">
        <f>HYPERLINK("https://www.boe.es/gazeta/dias/1806/10/07/pdfs/GMD-1806-82.pdf#page=7","Abrir facsímil")</f>
        <v>Abrir facsímil</v>
      </c>
      <c r="K5035" s="15" t="s">
        <v>22</v>
      </c>
    </row>
    <row r="5036" spans="1:11" ht="42" customHeight="1">
      <c r="A5036" s="4" t="s">
        <v>11202</v>
      </c>
      <c r="B5036" s="5" t="s">
        <v>11203</v>
      </c>
      <c r="C5036" s="5" t="s">
        <v>69</v>
      </c>
      <c r="D5036" s="5" t="s">
        <v>70</v>
      </c>
      <c r="E5036" s="5" t="s">
        <v>124</v>
      </c>
      <c r="F5036" s="9">
        <v>25</v>
      </c>
      <c r="G5036" s="9">
        <v>237</v>
      </c>
      <c r="H5036" s="5" t="s">
        <v>20</v>
      </c>
      <c r="I5036" s="5" t="s">
        <v>11204</v>
      </c>
      <c r="J5036" s="12" t="str">
        <f>HYPERLINK("https://www.boe.es/gazeta/dias/1806/03/21/pdfs/GMD-1806-25.pdf#page=1","Abrir facsímil")</f>
        <v>Abrir facsímil</v>
      </c>
      <c r="K5036" s="15" t="s">
        <v>22</v>
      </c>
    </row>
    <row r="5037" spans="1:11" ht="42" customHeight="1">
      <c r="A5037" s="4" t="s">
        <v>11202</v>
      </c>
      <c r="B5037" s="5" t="s">
        <v>11203</v>
      </c>
      <c r="C5037" s="5" t="s">
        <v>69</v>
      </c>
      <c r="D5037" s="5" t="s">
        <v>70</v>
      </c>
      <c r="E5037" s="5" t="s">
        <v>24</v>
      </c>
      <c r="F5037" s="9">
        <v>32</v>
      </c>
      <c r="G5037" s="9">
        <v>310</v>
      </c>
      <c r="H5037" s="5" t="s">
        <v>20</v>
      </c>
      <c r="I5037" s="5" t="s">
        <v>11205</v>
      </c>
      <c r="J5037" s="12" t="str">
        <f>HYPERLINK("https://www.boe.es/gazeta/dias/1806/04/15/pdfs/GMD-1806-32.pdf#page=2","Abrir facsímil")</f>
        <v>Abrir facsímil</v>
      </c>
      <c r="K5037" s="15" t="s">
        <v>22</v>
      </c>
    </row>
    <row r="5038" spans="1:11" ht="42" customHeight="1">
      <c r="A5038" s="4" t="s">
        <v>11202</v>
      </c>
      <c r="B5038" s="5" t="s">
        <v>11203</v>
      </c>
      <c r="C5038" s="5" t="s">
        <v>69</v>
      </c>
      <c r="D5038" s="5" t="s">
        <v>70</v>
      </c>
      <c r="E5038" s="5" t="s">
        <v>259</v>
      </c>
      <c r="F5038" s="9">
        <v>34</v>
      </c>
      <c r="G5038" s="9">
        <v>331</v>
      </c>
      <c r="H5038" s="5" t="s">
        <v>20</v>
      </c>
      <c r="I5038" s="5" t="s">
        <v>11206</v>
      </c>
      <c r="J5038" s="12" t="str">
        <f>HYPERLINK("https://www.boe.es/gazeta/dias/1806/04/22/pdfs/GMD-1806-34.pdf#page=3","Abrir facsímil")</f>
        <v>Abrir facsímil</v>
      </c>
      <c r="K5038" s="15" t="s">
        <v>22</v>
      </c>
    </row>
    <row r="5039" spans="1:11" ht="42" customHeight="1">
      <c r="A5039" s="4" t="s">
        <v>11202</v>
      </c>
      <c r="B5039" s="5" t="s">
        <v>11203</v>
      </c>
      <c r="C5039" s="5" t="s">
        <v>31</v>
      </c>
      <c r="D5039" s="5" t="s">
        <v>32</v>
      </c>
      <c r="E5039" s="5" t="s">
        <v>62</v>
      </c>
      <c r="F5039" s="9">
        <v>45</v>
      </c>
      <c r="G5039" s="9">
        <v>449</v>
      </c>
      <c r="H5039" s="5" t="s">
        <v>20</v>
      </c>
      <c r="I5039" s="5" t="s">
        <v>11207</v>
      </c>
      <c r="J5039" s="12" t="str">
        <f>HYPERLINK("https://www.boe.es/gazeta/dias/1806/05/30/pdfs/GMD-1806-45.pdf#page=1","Abrir facsímil")</f>
        <v>Abrir facsímil</v>
      </c>
      <c r="K5039" s="15" t="s">
        <v>22</v>
      </c>
    </row>
    <row r="5040" spans="1:11" ht="42" customHeight="1">
      <c r="A5040" s="4" t="s">
        <v>11202</v>
      </c>
      <c r="B5040" s="5" t="s">
        <v>11203</v>
      </c>
      <c r="C5040" s="5" t="s">
        <v>69</v>
      </c>
      <c r="D5040" s="5" t="s">
        <v>70</v>
      </c>
      <c r="E5040" s="5" t="s">
        <v>494</v>
      </c>
      <c r="F5040" s="9">
        <v>69</v>
      </c>
      <c r="G5040" s="9">
        <v>716</v>
      </c>
      <c r="H5040" s="5" t="s">
        <v>20</v>
      </c>
      <c r="I5040" s="5" t="s">
        <v>11208</v>
      </c>
      <c r="J5040" s="12" t="str">
        <f>HYPERLINK("https://www.boe.es/gazeta/dias/1806/08/22/pdfs/GMD-1806-69.pdf#page=4","Abrir facsímil")</f>
        <v>Abrir facsímil</v>
      </c>
      <c r="K5040" s="15" t="s">
        <v>22</v>
      </c>
    </row>
    <row r="5041" spans="1:11" ht="42" customHeight="1">
      <c r="A5041" s="4" t="s">
        <v>11209</v>
      </c>
      <c r="B5041" s="5" t="s">
        <v>11210</v>
      </c>
      <c r="C5041" s="5" t="s">
        <v>69</v>
      </c>
      <c r="D5041" s="5" t="s">
        <v>70</v>
      </c>
      <c r="E5041" s="5" t="s">
        <v>110</v>
      </c>
      <c r="F5041" s="9">
        <v>55</v>
      </c>
      <c r="G5041" s="9">
        <v>568</v>
      </c>
      <c r="H5041" s="5" t="s">
        <v>20</v>
      </c>
      <c r="I5041" s="5" t="s">
        <v>11211</v>
      </c>
      <c r="J5041" s="12" t="str">
        <f>HYPERLINK("https://www.boe.es/gazeta/dias/1806/07/04/pdfs/GMD-1806-55.pdf#page=4","Abrir facsímil")</f>
        <v>Abrir facsímil</v>
      </c>
      <c r="K5041" s="15" t="s">
        <v>22</v>
      </c>
    </row>
    <row r="5042" spans="1:11" ht="42" customHeight="1">
      <c r="A5042" s="4" t="s">
        <v>11209</v>
      </c>
      <c r="B5042" s="5" t="s">
        <v>11210</v>
      </c>
      <c r="C5042" s="5" t="s">
        <v>69</v>
      </c>
      <c r="D5042" s="5" t="s">
        <v>70</v>
      </c>
      <c r="E5042" s="5" t="s">
        <v>396</v>
      </c>
      <c r="F5042" s="9">
        <v>91</v>
      </c>
      <c r="G5042" s="9">
        <v>942</v>
      </c>
      <c r="H5042" s="5" t="s">
        <v>20</v>
      </c>
      <c r="I5042" s="5" t="s">
        <v>11212</v>
      </c>
      <c r="J5042" s="12" t="str">
        <f>HYPERLINK("https://www.boe.es/gazeta/dias/1806/11/07/pdfs/GMD-1806-91.pdf#page=6","Abrir facsímil")</f>
        <v>Abrir facsímil</v>
      </c>
      <c r="K5042" s="15" t="s">
        <v>22</v>
      </c>
    </row>
    <row r="5043" spans="1:11" ht="42" customHeight="1">
      <c r="A5043" s="4" t="s">
        <v>11213</v>
      </c>
      <c r="B5043" s="5" t="s">
        <v>11214</v>
      </c>
      <c r="C5043" s="5" t="s">
        <v>69</v>
      </c>
      <c r="D5043" s="5" t="s">
        <v>70</v>
      </c>
      <c r="E5043" s="5" t="s">
        <v>400</v>
      </c>
      <c r="F5043" s="9">
        <v>22</v>
      </c>
      <c r="G5043" s="9">
        <v>204</v>
      </c>
      <c r="H5043" s="5" t="s">
        <v>20</v>
      </c>
      <c r="I5043" s="5" t="s">
        <v>11215</v>
      </c>
      <c r="J5043" s="12" t="str">
        <f>HYPERLINK("https://www.boe.es/gazeta/dias/1806/03/11/pdfs/GMD-1806-22.pdf#page=4","Abrir facsímil")</f>
        <v>Abrir facsímil</v>
      </c>
      <c r="K5043" s="15" t="s">
        <v>22</v>
      </c>
    </row>
    <row r="5044" spans="1:11" ht="42" customHeight="1">
      <c r="A5044" s="4" t="s">
        <v>11216</v>
      </c>
      <c r="B5044" s="5" t="s">
        <v>11217</v>
      </c>
      <c r="C5044" s="5" t="s">
        <v>69</v>
      </c>
      <c r="D5044" s="5" t="s">
        <v>70</v>
      </c>
      <c r="E5044" s="5" t="s">
        <v>780</v>
      </c>
      <c r="F5044" s="9">
        <v>33</v>
      </c>
      <c r="G5044" s="9">
        <v>323</v>
      </c>
      <c r="H5044" s="5" t="s">
        <v>20</v>
      </c>
      <c r="I5044" s="5" t="s">
        <v>11218</v>
      </c>
      <c r="J5044" s="12" t="str">
        <f>HYPERLINK("https://www.boe.es/gazeta/dias/1806/04/18/pdfs/GMD-1806-33.pdf#page=3","Abrir facsímil")</f>
        <v>Abrir facsímil</v>
      </c>
      <c r="K5044" s="15" t="s">
        <v>22</v>
      </c>
    </row>
    <row r="5045" spans="1:11" ht="42" customHeight="1">
      <c r="A5045" s="4" t="s">
        <v>11219</v>
      </c>
      <c r="B5045" s="5" t="s">
        <v>11219</v>
      </c>
      <c r="C5045" s="5" t="s">
        <v>69</v>
      </c>
      <c r="D5045" s="5" t="s">
        <v>70</v>
      </c>
      <c r="E5045" s="5" t="s">
        <v>580</v>
      </c>
      <c r="F5045" s="9">
        <v>23</v>
      </c>
      <c r="G5045" s="9">
        <v>216</v>
      </c>
      <c r="H5045" s="5" t="s">
        <v>20</v>
      </c>
      <c r="I5045" s="5" t="s">
        <v>11220</v>
      </c>
      <c r="J5045" s="12" t="str">
        <f>HYPERLINK("https://www.boe.es/gazeta/dias/1806/03/14/pdfs/GMD-1806-23.pdf#page=4","Abrir facsímil")</f>
        <v>Abrir facsímil</v>
      </c>
      <c r="K5045" s="15" t="s">
        <v>22</v>
      </c>
    </row>
    <row r="5046" spans="1:11" ht="42" customHeight="1">
      <c r="A5046" s="4" t="s">
        <v>11221</v>
      </c>
      <c r="B5046" s="5" t="s">
        <v>11222</v>
      </c>
      <c r="C5046" s="5" t="s">
        <v>42</v>
      </c>
      <c r="D5046" s="5" t="s">
        <v>43</v>
      </c>
      <c r="E5046" s="5" t="s">
        <v>279</v>
      </c>
      <c r="F5046" s="9">
        <v>52</v>
      </c>
      <c r="G5046" s="9">
        <v>540</v>
      </c>
      <c r="H5046" s="5" t="s">
        <v>20</v>
      </c>
      <c r="I5046" s="5" t="s">
        <v>11223</v>
      </c>
      <c r="J5046" s="12" t="str">
        <f>HYPERLINK("https://www.boe.es/gazeta/dias/1806/06/24/pdfs/GMD-1806-52.pdf#page=8","Abrir facsímil")</f>
        <v>Abrir facsímil</v>
      </c>
      <c r="K5046" s="15" t="s">
        <v>22</v>
      </c>
    </row>
    <row r="5047" spans="1:11" ht="42" customHeight="1">
      <c r="A5047" s="4" t="s">
        <v>11224</v>
      </c>
      <c r="B5047" s="5" t="s">
        <v>11225</v>
      </c>
      <c r="C5047" s="5" t="s">
        <v>31</v>
      </c>
      <c r="D5047" s="5" t="s">
        <v>32</v>
      </c>
      <c r="E5047" s="5" t="s">
        <v>290</v>
      </c>
      <c r="F5047" s="9">
        <v>1</v>
      </c>
      <c r="G5047" s="9">
        <v>8</v>
      </c>
      <c r="H5047" s="5" t="s">
        <v>20</v>
      </c>
      <c r="I5047" s="5" t="s">
        <v>11226</v>
      </c>
      <c r="J5047" s="12" t="str">
        <f>HYPERLINK("https://www.boe.es/gazeta/dias/1806/01/03/pdfs/GMD-1806-1.pdf#page=8","Abrir facsímil")</f>
        <v>Abrir facsímil</v>
      </c>
      <c r="K5047" s="15" t="s">
        <v>22</v>
      </c>
    </row>
    <row r="5048" spans="1:11" ht="42" customHeight="1">
      <c r="A5048" s="4" t="s">
        <v>11227</v>
      </c>
      <c r="B5048" s="5" t="s">
        <v>11228</v>
      </c>
      <c r="C5048" s="5" t="s">
        <v>31</v>
      </c>
      <c r="D5048" s="5" t="s">
        <v>32</v>
      </c>
      <c r="E5048" s="5" t="s">
        <v>689</v>
      </c>
      <c r="F5048" s="9">
        <v>37</v>
      </c>
      <c r="G5048" s="9">
        <v>361</v>
      </c>
      <c r="H5048" s="5" t="s">
        <v>20</v>
      </c>
      <c r="I5048" s="5" t="s">
        <v>11229</v>
      </c>
      <c r="J5048" s="12" t="str">
        <f>HYPERLINK("https://www.boe.es/gazeta/dias/1806/05/02/pdfs/GMD-1806-37.pdf#page=9","Abrir facsímil")</f>
        <v>Abrir facsímil</v>
      </c>
      <c r="K5048" s="15" t="s">
        <v>22</v>
      </c>
    </row>
    <row r="5049" spans="1:11" ht="42" customHeight="1">
      <c r="A5049" s="4" t="s">
        <v>11230</v>
      </c>
      <c r="B5049" s="5" t="s">
        <v>11231</v>
      </c>
      <c r="C5049" s="5" t="s">
        <v>69</v>
      </c>
      <c r="D5049" s="5" t="s">
        <v>70</v>
      </c>
      <c r="E5049" s="5" t="s">
        <v>1031</v>
      </c>
      <c r="F5049" s="9">
        <v>107</v>
      </c>
      <c r="G5049" s="9">
        <v>1127</v>
      </c>
      <c r="H5049" s="5" t="s">
        <v>20</v>
      </c>
      <c r="I5049" s="5" t="s">
        <v>11232</v>
      </c>
      <c r="J5049" s="12" t="str">
        <f>HYPERLINK("https://www.boe.es/gazeta/dias/1806/12/30/pdfs/GMD-1806-107.pdf#page=3","Abrir facsímil")</f>
        <v>Abrir facsímil</v>
      </c>
      <c r="K5049" s="15" t="s">
        <v>22</v>
      </c>
    </row>
    <row r="5050" spans="1:11" ht="42" customHeight="1">
      <c r="A5050" s="4" t="s">
        <v>11233</v>
      </c>
      <c r="B5050" s="5" t="s">
        <v>11233</v>
      </c>
      <c r="C5050" s="5" t="s">
        <v>31</v>
      </c>
      <c r="D5050" s="5" t="s">
        <v>32</v>
      </c>
      <c r="E5050" s="5" t="s">
        <v>195</v>
      </c>
      <c r="F5050" s="9">
        <v>4</v>
      </c>
      <c r="G5050" s="9">
        <v>40</v>
      </c>
      <c r="H5050" s="5" t="s">
        <v>20</v>
      </c>
      <c r="I5050" s="5" t="s">
        <v>11234</v>
      </c>
      <c r="J5050" s="12" t="str">
        <f>HYPERLINK("https://www.boe.es/gazeta/dias/1806/01/14/pdfs/GMD-1806-4.pdf#page=12","Abrir facsímil")</f>
        <v>Abrir facsímil</v>
      </c>
      <c r="K5050" s="15" t="s">
        <v>22</v>
      </c>
    </row>
    <row r="5051" spans="1:11" ht="42" customHeight="1">
      <c r="A5051" s="4" t="s">
        <v>11235</v>
      </c>
      <c r="B5051" s="5" t="s">
        <v>11236</v>
      </c>
      <c r="C5051" s="5" t="s">
        <v>75</v>
      </c>
      <c r="D5051" s="5" t="s">
        <v>43</v>
      </c>
      <c r="E5051" s="5" t="s">
        <v>28</v>
      </c>
      <c r="F5051" s="9">
        <v>102</v>
      </c>
      <c r="G5051" s="9">
        <v>1086</v>
      </c>
      <c r="H5051" s="5" t="s">
        <v>20</v>
      </c>
      <c r="I5051" s="5" t="s">
        <v>11237</v>
      </c>
      <c r="J5051" s="12" t="str">
        <f>HYPERLINK("https://www.boe.es/gazeta/dias/1806/12/16/pdfs/GMD-1806-102.pdf#page=10","Abrir facsímil")</f>
        <v>Abrir facsímil</v>
      </c>
      <c r="K5051" s="15" t="s">
        <v>22</v>
      </c>
    </row>
    <row r="5052" spans="1:11" ht="42" customHeight="1">
      <c r="A5052" s="4" t="s">
        <v>11238</v>
      </c>
      <c r="B5052" s="5" t="s">
        <v>11239</v>
      </c>
      <c r="C5052" s="5" t="s">
        <v>706</v>
      </c>
      <c r="D5052" s="5" t="s">
        <v>707</v>
      </c>
      <c r="E5052" s="5" t="s">
        <v>195</v>
      </c>
      <c r="F5052" s="9" t="s">
        <v>708</v>
      </c>
      <c r="G5052" s="9">
        <v>42</v>
      </c>
      <c r="H5052" s="5" t="s">
        <v>20</v>
      </c>
      <c r="I5052" s="5" t="s">
        <v>11240</v>
      </c>
      <c r="J5052" s="12" t="str">
        <f>HYPERLINK("https://www.boe.es/gazeta/dias/1806/01/14/pdfs/GMD-1806-5E.pdf#page=2","Abrir facsímil")</f>
        <v>Abrir facsímil</v>
      </c>
      <c r="K5052" s="15" t="s">
        <v>22</v>
      </c>
    </row>
    <row r="5053" spans="1:11" ht="42" customHeight="1">
      <c r="A5053" s="4" t="s">
        <v>11241</v>
      </c>
      <c r="B5053" s="5" t="s">
        <v>11242</v>
      </c>
      <c r="C5053" s="5" t="s">
        <v>69</v>
      </c>
      <c r="D5053" s="5" t="s">
        <v>70</v>
      </c>
      <c r="E5053" s="5" t="s">
        <v>100</v>
      </c>
      <c r="F5053" s="9">
        <v>7</v>
      </c>
      <c r="G5053" s="9">
        <v>57</v>
      </c>
      <c r="H5053" s="5" t="s">
        <v>20</v>
      </c>
      <c r="I5053" s="5" t="s">
        <v>11243</v>
      </c>
      <c r="J5053" s="12" t="str">
        <f>HYPERLINK("https://www.boe.es/gazeta/dias/1806/01/21/pdfs/GMD-1806-7.pdf#page=1","Abrir facsímil")</f>
        <v>Abrir facsímil</v>
      </c>
      <c r="K5053" s="15" t="s">
        <v>22</v>
      </c>
    </row>
    <row r="5054" spans="1:11" ht="42" customHeight="1">
      <c r="A5054" s="4" t="s">
        <v>11244</v>
      </c>
      <c r="B5054" s="5" t="s">
        <v>11245</v>
      </c>
      <c r="C5054" s="5" t="s">
        <v>75</v>
      </c>
      <c r="D5054" s="5" t="s">
        <v>43</v>
      </c>
      <c r="E5054" s="5" t="s">
        <v>202</v>
      </c>
      <c r="F5054" s="9">
        <v>30</v>
      </c>
      <c r="G5054" s="9">
        <v>296</v>
      </c>
      <c r="H5054" s="5" t="s">
        <v>20</v>
      </c>
      <c r="I5054" s="5" t="s">
        <v>11246</v>
      </c>
      <c r="J5054" s="12" t="str">
        <f>HYPERLINK("https://www.boe.es/gazeta/dias/1806/04/08/pdfs/GMD-1806-30.pdf#page=8","Abrir facsímil")</f>
        <v>Abrir facsímil</v>
      </c>
      <c r="K5054" s="15" t="s">
        <v>22</v>
      </c>
    </row>
    <row r="5055" spans="1:11" ht="42" customHeight="1">
      <c r="A5055" s="4" t="s">
        <v>11247</v>
      </c>
      <c r="B5055" s="5" t="s">
        <v>11248</v>
      </c>
      <c r="C5055" s="5" t="s">
        <v>17</v>
      </c>
      <c r="D5055" s="5" t="s">
        <v>18</v>
      </c>
      <c r="E5055" s="5" t="s">
        <v>367</v>
      </c>
      <c r="F5055" s="9">
        <v>87</v>
      </c>
      <c r="G5055" s="9">
        <v>903</v>
      </c>
      <c r="H5055" s="5" t="s">
        <v>20</v>
      </c>
      <c r="I5055" s="5" t="s">
        <v>11249</v>
      </c>
      <c r="J5055" s="12" t="str">
        <f>HYPERLINK("https://www.boe.es/gazeta/dias/1806/10/24/pdfs/GMD-1806-87.pdf#page=11","Abrir facsímil")</f>
        <v>Abrir facsímil</v>
      </c>
      <c r="K5055" s="15" t="s">
        <v>22</v>
      </c>
    </row>
    <row r="5056" spans="1:11" ht="42" customHeight="1">
      <c r="A5056" s="4" t="s">
        <v>11250</v>
      </c>
      <c r="B5056" s="5" t="s">
        <v>11251</v>
      </c>
      <c r="C5056" s="5" t="s">
        <v>75</v>
      </c>
      <c r="D5056" s="5" t="s">
        <v>43</v>
      </c>
      <c r="E5056" s="5" t="s">
        <v>306</v>
      </c>
      <c r="F5056" s="9">
        <v>59</v>
      </c>
      <c r="G5056" s="9">
        <v>614</v>
      </c>
      <c r="H5056" s="5" t="s">
        <v>20</v>
      </c>
      <c r="I5056" s="5" t="s">
        <v>11252</v>
      </c>
      <c r="J5056" s="12" t="str">
        <f>HYPERLINK("https://www.boe.es/gazeta/dias/1806/07/18/pdfs/GMD-1806-59.pdf#page=10","Abrir facsímil")</f>
        <v>Abrir facsímil</v>
      </c>
      <c r="K5056" s="15" t="s">
        <v>22</v>
      </c>
    </row>
    <row r="5057" spans="1:11" ht="42" customHeight="1">
      <c r="A5057" s="4" t="s">
        <v>11253</v>
      </c>
      <c r="B5057" s="5" t="s">
        <v>11254</v>
      </c>
      <c r="C5057" s="5" t="s">
        <v>17</v>
      </c>
      <c r="D5057" s="5" t="s">
        <v>18</v>
      </c>
      <c r="E5057" s="5" t="s">
        <v>103</v>
      </c>
      <c r="F5057" s="9">
        <v>61</v>
      </c>
      <c r="G5057" s="9">
        <v>635</v>
      </c>
      <c r="H5057" s="5" t="s">
        <v>20</v>
      </c>
      <c r="I5057" s="5" t="s">
        <v>11255</v>
      </c>
      <c r="J5057" s="12" t="str">
        <f>HYPERLINK("https://www.boe.es/gazeta/dias/1806/07/25/pdfs/GMD-1806-61.pdf#page=7","Abrir facsímil")</f>
        <v>Abrir facsímil</v>
      </c>
      <c r="K5057" s="15" t="s">
        <v>22</v>
      </c>
    </row>
    <row r="5058" spans="1:11" ht="42" customHeight="1">
      <c r="A5058" s="4" t="s">
        <v>11256</v>
      </c>
      <c r="B5058" s="5" t="s">
        <v>11257</v>
      </c>
      <c r="C5058" s="5" t="s">
        <v>31</v>
      </c>
      <c r="D5058" s="5" t="s">
        <v>32</v>
      </c>
      <c r="E5058" s="5" t="s">
        <v>148</v>
      </c>
      <c r="F5058" s="9">
        <v>78</v>
      </c>
      <c r="G5058" s="9">
        <v>803</v>
      </c>
      <c r="H5058" s="5" t="s">
        <v>20</v>
      </c>
      <c r="I5058" s="5" t="s">
        <v>11258</v>
      </c>
      <c r="J5058" s="12" t="str">
        <f>HYPERLINK("https://www.boe.es/gazeta/dias/1806/09/23/pdfs/GMD-1806-78.pdf#page=7","Abrir facsímil")</f>
        <v>Abrir facsímil</v>
      </c>
      <c r="K5058" s="15" t="s">
        <v>22</v>
      </c>
    </row>
    <row r="5059" spans="1:11" ht="42" customHeight="1">
      <c r="A5059" s="4" t="s">
        <v>11259</v>
      </c>
      <c r="B5059" s="5" t="s">
        <v>11260</v>
      </c>
      <c r="C5059" s="5" t="s">
        <v>447</v>
      </c>
      <c r="D5059" s="5" t="s">
        <v>448</v>
      </c>
      <c r="E5059" s="5" t="s">
        <v>304</v>
      </c>
      <c r="F5059" s="9">
        <v>47</v>
      </c>
      <c r="G5059" s="9">
        <v>483</v>
      </c>
      <c r="H5059" s="5" t="s">
        <v>20</v>
      </c>
      <c r="I5059" s="5" t="s">
        <v>11261</v>
      </c>
      <c r="J5059" s="12" t="str">
        <f>HYPERLINK("https://www.boe.es/gazeta/dias/1806/06/06/pdfs/GMD-C-1806-47.pdf#page=3","Abrir facsímil")</f>
        <v>Abrir facsímil</v>
      </c>
      <c r="K5059" s="15" t="s">
        <v>22</v>
      </c>
    </row>
    <row r="5060" spans="1:11" ht="42" customHeight="1">
      <c r="A5060" s="4" t="s">
        <v>11262</v>
      </c>
      <c r="B5060" s="5" t="s">
        <v>11263</v>
      </c>
      <c r="C5060" s="5" t="s">
        <v>42</v>
      </c>
      <c r="D5060" s="5" t="s">
        <v>43</v>
      </c>
      <c r="E5060" s="5" t="s">
        <v>400</v>
      </c>
      <c r="F5060" s="9">
        <v>22</v>
      </c>
      <c r="G5060" s="9">
        <v>207</v>
      </c>
      <c r="H5060" s="5" t="s">
        <v>20</v>
      </c>
      <c r="I5060" s="5" t="s">
        <v>11264</v>
      </c>
      <c r="J5060" s="12" t="str">
        <f>HYPERLINK("https://www.boe.es/gazeta/dias/1806/03/11/pdfs/GMD-1806-22.pdf#page=7","Abrir facsímil")</f>
        <v>Abrir facsímil</v>
      </c>
      <c r="K5060" s="15" t="s">
        <v>22</v>
      </c>
    </row>
    <row r="5061" spans="1:11" ht="42" customHeight="1">
      <c r="A5061" s="4" t="s">
        <v>11265</v>
      </c>
      <c r="B5061" s="5" t="s">
        <v>11266</v>
      </c>
      <c r="C5061" s="5" t="s">
        <v>17</v>
      </c>
      <c r="D5061" s="5" t="s">
        <v>18</v>
      </c>
      <c r="E5061" s="5" t="s">
        <v>24</v>
      </c>
      <c r="F5061" s="9">
        <v>32</v>
      </c>
      <c r="G5061" s="9">
        <v>319</v>
      </c>
      <c r="H5061" s="5" t="s">
        <v>20</v>
      </c>
      <c r="I5061" s="5" t="s">
        <v>11267</v>
      </c>
      <c r="J5061" s="12" t="str">
        <f>HYPERLINK("https://www.boe.es/gazeta/dias/1806/04/15/pdfs/GMD-1806-32.pdf#page=11","Abrir facsímil")</f>
        <v>Abrir facsímil</v>
      </c>
      <c r="K5061" s="15" t="s">
        <v>22</v>
      </c>
    </row>
    <row r="5062" spans="1:11" ht="42" customHeight="1">
      <c r="A5062" s="4" t="s">
        <v>11268</v>
      </c>
      <c r="B5062" s="5" t="s">
        <v>11269</v>
      </c>
      <c r="C5062" s="5" t="s">
        <v>17</v>
      </c>
      <c r="D5062" s="5" t="s">
        <v>18</v>
      </c>
      <c r="E5062" s="5" t="s">
        <v>76</v>
      </c>
      <c r="F5062" s="9">
        <v>98</v>
      </c>
      <c r="G5062" s="9">
        <v>1033</v>
      </c>
      <c r="H5062" s="5" t="s">
        <v>20</v>
      </c>
      <c r="I5062" s="5" t="s">
        <v>11270</v>
      </c>
      <c r="J5062" s="12" t="str">
        <f>HYPERLINK("https://www.boe.es/gazeta/dias/1806/12/02/pdfs/GMD-1806-98.pdf#page=1","Abrir facsímil")</f>
        <v>Abrir facsímil</v>
      </c>
      <c r="K5062" s="15" t="s">
        <v>22</v>
      </c>
    </row>
    <row r="5063" spans="1:11" ht="42" customHeight="1">
      <c r="A5063" s="4" t="s">
        <v>11271</v>
      </c>
      <c r="B5063" s="5" t="s">
        <v>11271</v>
      </c>
      <c r="C5063" s="5" t="s">
        <v>31</v>
      </c>
      <c r="D5063" s="5" t="s">
        <v>32</v>
      </c>
      <c r="E5063" s="5" t="s">
        <v>501</v>
      </c>
      <c r="F5063" s="9">
        <v>39</v>
      </c>
      <c r="G5063" s="9">
        <v>379</v>
      </c>
      <c r="H5063" s="5" t="s">
        <v>20</v>
      </c>
      <c r="I5063" s="5" t="s">
        <v>11272</v>
      </c>
      <c r="J5063" s="12" t="str">
        <f>HYPERLINK("https://www.boe.es/gazeta/dias/1806/05/09/pdfs/GMD-1806-39.pdf#page=3","Abrir facsímil")</f>
        <v>Abrir facsímil</v>
      </c>
      <c r="K5063" s="15" t="s">
        <v>22</v>
      </c>
    </row>
    <row r="5064" spans="1:11" ht="42" customHeight="1">
      <c r="A5064" s="4" t="s">
        <v>11271</v>
      </c>
      <c r="B5064" s="5" t="s">
        <v>11271</v>
      </c>
      <c r="C5064" s="5" t="s">
        <v>75</v>
      </c>
      <c r="D5064" s="5" t="s">
        <v>43</v>
      </c>
      <c r="E5064" s="5" t="s">
        <v>76</v>
      </c>
      <c r="F5064" s="9">
        <v>98</v>
      </c>
      <c r="G5064" s="9">
        <v>1034</v>
      </c>
      <c r="H5064" s="5" t="s">
        <v>20</v>
      </c>
      <c r="I5064" s="5" t="s">
        <v>11273</v>
      </c>
      <c r="J5064" s="12" t="str">
        <f>HYPERLINK("https://www.boe.es/gazeta/dias/1806/12/02/pdfs/GMD-1806-98.pdf#page=2","Abrir facsímil")</f>
        <v>Abrir facsímil</v>
      </c>
      <c r="K5064" s="15" t="s">
        <v>22</v>
      </c>
    </row>
    <row r="5065" spans="1:11" ht="42" customHeight="1">
      <c r="A5065" s="4" t="s">
        <v>11274</v>
      </c>
      <c r="B5065" s="5" t="s">
        <v>11275</v>
      </c>
      <c r="C5065" s="5" t="s">
        <v>75</v>
      </c>
      <c r="D5065" s="5" t="s">
        <v>43</v>
      </c>
      <c r="E5065" s="5" t="s">
        <v>1568</v>
      </c>
      <c r="F5065" s="9">
        <v>84</v>
      </c>
      <c r="G5065" s="9" t="s">
        <v>2031</v>
      </c>
      <c r="H5065" s="5" t="s">
        <v>20</v>
      </c>
      <c r="I5065" s="5" t="s">
        <v>11276</v>
      </c>
      <c r="J5065" s="12" t="str">
        <f>HYPERLINK("https://www.boe.es/gazeta/dias/1806/10/14/pdfs/GMD-C-1806-84.pdf#page=1","Abrir facsímil")</f>
        <v>Abrir facsímil</v>
      </c>
      <c r="K5065" s="15" t="s">
        <v>22</v>
      </c>
    </row>
    <row r="5066" spans="1:11" ht="42" customHeight="1">
      <c r="A5066" s="4" t="s">
        <v>11277</v>
      </c>
      <c r="B5066" s="5" t="s">
        <v>11278</v>
      </c>
      <c r="C5066" s="5" t="s">
        <v>36</v>
      </c>
      <c r="D5066" s="5" t="s">
        <v>37</v>
      </c>
      <c r="E5066" s="5" t="s">
        <v>304</v>
      </c>
      <c r="F5066" s="9">
        <v>47</v>
      </c>
      <c r="G5066" s="9">
        <v>480</v>
      </c>
      <c r="H5066" s="5" t="s">
        <v>20</v>
      </c>
      <c r="I5066" s="5" t="s">
        <v>11279</v>
      </c>
      <c r="J5066" s="12" t="str">
        <f>HYPERLINK("https://www.boe.es/gazeta/dias/1806/06/06/pdfs/GMD-1806-47.pdf#page=8","Abrir facsímil")</f>
        <v>Abrir facsímil</v>
      </c>
      <c r="K5066" s="15" t="s">
        <v>22</v>
      </c>
    </row>
    <row r="5067" spans="1:11" ht="42" customHeight="1">
      <c r="A5067" s="4" t="s">
        <v>11280</v>
      </c>
      <c r="B5067" s="5" t="s">
        <v>11281</v>
      </c>
      <c r="C5067" s="5" t="s">
        <v>36</v>
      </c>
      <c r="D5067" s="5" t="s">
        <v>37</v>
      </c>
      <c r="E5067" s="5" t="s">
        <v>540</v>
      </c>
      <c r="F5067" s="9">
        <v>51</v>
      </c>
      <c r="G5067" s="9">
        <v>532</v>
      </c>
      <c r="H5067" s="5" t="s">
        <v>20</v>
      </c>
      <c r="I5067" s="5" t="s">
        <v>11282</v>
      </c>
      <c r="J5067" s="12" t="str">
        <f>HYPERLINK("https://www.boe.es/gazeta/dias/1806/06/20/pdfs/GMD-1806-51.pdf#page=12","Abrir facsímil")</f>
        <v>Abrir facsímil</v>
      </c>
      <c r="K5067" s="15" t="s">
        <v>22</v>
      </c>
    </row>
    <row r="5068" spans="1:11" ht="42" customHeight="1">
      <c r="A5068" s="4" t="s">
        <v>11280</v>
      </c>
      <c r="B5068" s="5" t="s">
        <v>11281</v>
      </c>
      <c r="C5068" s="5" t="s">
        <v>36</v>
      </c>
      <c r="D5068" s="5" t="s">
        <v>37</v>
      </c>
      <c r="E5068" s="5" t="s">
        <v>181</v>
      </c>
      <c r="F5068" s="9">
        <v>99</v>
      </c>
      <c r="G5068" s="9">
        <v>1055</v>
      </c>
      <c r="H5068" s="5" t="s">
        <v>20</v>
      </c>
      <c r="I5068" s="5" t="s">
        <v>11283</v>
      </c>
      <c r="J5068" s="12" t="str">
        <f>HYPERLINK("https://www.boe.es/gazeta/dias/1806/12/05/pdfs/GMD-1806-99.pdf#page=11","Abrir facsímil")</f>
        <v>Abrir facsímil</v>
      </c>
      <c r="K5068" s="15" t="s">
        <v>22</v>
      </c>
    </row>
    <row r="5069" spans="1:11" ht="42" customHeight="1">
      <c r="A5069" s="4" t="s">
        <v>11284</v>
      </c>
      <c r="B5069" s="5" t="s">
        <v>11284</v>
      </c>
      <c r="C5069" s="5" t="s">
        <v>69</v>
      </c>
      <c r="D5069" s="5" t="s">
        <v>70</v>
      </c>
      <c r="E5069" s="5" t="s">
        <v>474</v>
      </c>
      <c r="F5069" s="9">
        <v>10</v>
      </c>
      <c r="G5069" s="9">
        <v>88</v>
      </c>
      <c r="H5069" s="5" t="s">
        <v>20</v>
      </c>
      <c r="I5069" s="5" t="s">
        <v>11285</v>
      </c>
      <c r="J5069" s="12" t="str">
        <f>HYPERLINK("https://www.boe.es/gazeta/dias/1806/01/28/pdfs/GMD-1806-10.pdf#page=4","Abrir facsímil")</f>
        <v>Abrir facsímil</v>
      </c>
      <c r="K5069" s="15" t="s">
        <v>22</v>
      </c>
    </row>
    <row r="5070" spans="1:11" ht="42" customHeight="1">
      <c r="A5070" s="4" t="s">
        <v>11286</v>
      </c>
      <c r="B5070" s="5" t="s">
        <v>11286</v>
      </c>
      <c r="C5070" s="5" t="s">
        <v>69</v>
      </c>
      <c r="D5070" s="5" t="s">
        <v>70</v>
      </c>
      <c r="E5070" s="5" t="s">
        <v>438</v>
      </c>
      <c r="F5070" s="9">
        <v>70</v>
      </c>
      <c r="G5070" s="9">
        <v>726</v>
      </c>
      <c r="H5070" s="5" t="s">
        <v>20</v>
      </c>
      <c r="I5070" s="5" t="s">
        <v>11287</v>
      </c>
      <c r="J5070" s="12" t="str">
        <f>HYPERLINK("https://www.boe.es/gazeta/dias/1806/08/26/pdfs/GMD-1806-70.pdf#page=2","Abrir facsímil")</f>
        <v>Abrir facsímil</v>
      </c>
      <c r="K5070" s="15" t="s">
        <v>22</v>
      </c>
    </row>
    <row r="5071" spans="1:11" ht="42" customHeight="1">
      <c r="A5071" s="4" t="s">
        <v>11288</v>
      </c>
      <c r="B5071" s="5" t="s">
        <v>11288</v>
      </c>
      <c r="C5071" s="5" t="s">
        <v>31</v>
      </c>
      <c r="D5071" s="5" t="s">
        <v>32</v>
      </c>
      <c r="E5071" s="5" t="s">
        <v>231</v>
      </c>
      <c r="F5071" s="9">
        <v>89</v>
      </c>
      <c r="G5071" s="9">
        <v>916</v>
      </c>
      <c r="H5071" s="5" t="s">
        <v>20</v>
      </c>
      <c r="I5071" s="5" t="s">
        <v>11289</v>
      </c>
      <c r="J5071" s="12" t="str">
        <f>HYPERLINK("https://www.boe.es/gazeta/dias/1806/10/31/pdfs/GMD-1806-89.pdf#page=4","Abrir facsímil")</f>
        <v>Abrir facsímil</v>
      </c>
      <c r="K5071" s="15" t="s">
        <v>22</v>
      </c>
    </row>
    <row r="5072" spans="1:11" ht="42" customHeight="1">
      <c r="A5072" s="4" t="s">
        <v>11288</v>
      </c>
      <c r="B5072" s="5" t="s">
        <v>11288</v>
      </c>
      <c r="C5072" s="5" t="s">
        <v>69</v>
      </c>
      <c r="D5072" s="5" t="s">
        <v>70</v>
      </c>
      <c r="E5072" s="5" t="s">
        <v>396</v>
      </c>
      <c r="F5072" s="9">
        <v>91</v>
      </c>
      <c r="G5072" s="9">
        <v>941</v>
      </c>
      <c r="H5072" s="5" t="s">
        <v>20</v>
      </c>
      <c r="I5072" s="5" t="s">
        <v>11290</v>
      </c>
      <c r="J5072" s="12" t="str">
        <f>HYPERLINK("https://www.boe.es/gazeta/dias/1806/11/07/pdfs/GMD-1806-91.pdf#page=5","Abrir facsímil")</f>
        <v>Abrir facsímil</v>
      </c>
      <c r="K5072" s="15" t="s">
        <v>22</v>
      </c>
    </row>
    <row r="5073" spans="1:11" ht="42" customHeight="1">
      <c r="A5073" s="4" t="s">
        <v>11288</v>
      </c>
      <c r="B5073" s="5" t="s">
        <v>11288</v>
      </c>
      <c r="C5073" s="5" t="s">
        <v>69</v>
      </c>
      <c r="D5073" s="5" t="s">
        <v>70</v>
      </c>
      <c r="E5073" s="5" t="s">
        <v>297</v>
      </c>
      <c r="F5073" s="9">
        <v>94</v>
      </c>
      <c r="G5073" s="9">
        <v>984</v>
      </c>
      <c r="H5073" s="5" t="s">
        <v>20</v>
      </c>
      <c r="I5073" s="5" t="s">
        <v>11291</v>
      </c>
      <c r="J5073" s="12" t="str">
        <f>HYPERLINK("https://www.boe.es/gazeta/dias/1806/11/18/pdfs/GMD-1806-94.pdf#page=4","Abrir facsímil")</f>
        <v>Abrir facsímil</v>
      </c>
      <c r="K5073" s="15" t="s">
        <v>22</v>
      </c>
    </row>
    <row r="5074" spans="1:11" ht="42" customHeight="1">
      <c r="A5074" s="4" t="s">
        <v>11288</v>
      </c>
      <c r="B5074" s="5" t="s">
        <v>11288</v>
      </c>
      <c r="C5074" s="5" t="s">
        <v>75</v>
      </c>
      <c r="D5074" s="5" t="s">
        <v>43</v>
      </c>
      <c r="E5074" s="5" t="s">
        <v>181</v>
      </c>
      <c r="F5074" s="9">
        <v>99</v>
      </c>
      <c r="G5074" s="9">
        <v>1048</v>
      </c>
      <c r="H5074" s="5" t="s">
        <v>20</v>
      </c>
      <c r="I5074" s="5" t="s">
        <v>11292</v>
      </c>
      <c r="J5074" s="12" t="str">
        <f>HYPERLINK("https://www.boe.es/gazeta/dias/1806/12/05/pdfs/GMD-1806-99.pdf#page=4","Abrir facsímil")</f>
        <v>Abrir facsímil</v>
      </c>
      <c r="K5074" s="15" t="s">
        <v>22</v>
      </c>
    </row>
    <row r="5075" spans="1:11" ht="42" customHeight="1">
      <c r="A5075" s="4" t="s">
        <v>11293</v>
      </c>
      <c r="B5075" s="5" t="s">
        <v>11294</v>
      </c>
      <c r="C5075" s="5" t="s">
        <v>31</v>
      </c>
      <c r="D5075" s="5" t="s">
        <v>32</v>
      </c>
      <c r="E5075" s="5" t="s">
        <v>400</v>
      </c>
      <c r="F5075" s="9">
        <v>22</v>
      </c>
      <c r="G5075" s="9">
        <v>204</v>
      </c>
      <c r="H5075" s="5" t="s">
        <v>20</v>
      </c>
      <c r="I5075" s="5" t="s">
        <v>11295</v>
      </c>
      <c r="J5075" s="12" t="str">
        <f>HYPERLINK("https://www.boe.es/gazeta/dias/1806/03/11/pdfs/GMD-1806-22.pdf#page=4","Abrir facsímil")</f>
        <v>Abrir facsímil</v>
      </c>
      <c r="K5075" s="15" t="s">
        <v>22</v>
      </c>
    </row>
    <row r="5076" spans="1:11" ht="42" customHeight="1">
      <c r="A5076" s="4" t="s">
        <v>11293</v>
      </c>
      <c r="B5076" s="5" t="s">
        <v>11294</v>
      </c>
      <c r="C5076" s="5" t="s">
        <v>69</v>
      </c>
      <c r="D5076" s="5" t="s">
        <v>70</v>
      </c>
      <c r="E5076" s="5" t="s">
        <v>306</v>
      </c>
      <c r="F5076" s="9">
        <v>59</v>
      </c>
      <c r="G5076" s="9">
        <v>609</v>
      </c>
      <c r="H5076" s="5" t="s">
        <v>20</v>
      </c>
      <c r="I5076" s="5" t="s">
        <v>11296</v>
      </c>
      <c r="J5076" s="12" t="str">
        <f>HYPERLINK("https://www.boe.es/gazeta/dias/1806/07/18/pdfs/GMD-1806-59.pdf#page=5","Abrir facsímil")</f>
        <v>Abrir facsímil</v>
      </c>
      <c r="K5076" s="15" t="s">
        <v>22</v>
      </c>
    </row>
    <row r="5077" spans="1:11" ht="42" customHeight="1">
      <c r="A5077" s="4" t="s">
        <v>11293</v>
      </c>
      <c r="B5077" s="5" t="s">
        <v>11294</v>
      </c>
      <c r="C5077" s="5" t="s">
        <v>17</v>
      </c>
      <c r="D5077" s="5" t="s">
        <v>18</v>
      </c>
      <c r="E5077" s="5" t="s">
        <v>76</v>
      </c>
      <c r="F5077" s="9">
        <v>98</v>
      </c>
      <c r="G5077" s="9">
        <v>1033</v>
      </c>
      <c r="H5077" s="5" t="s">
        <v>20</v>
      </c>
      <c r="I5077" s="5" t="s">
        <v>11297</v>
      </c>
      <c r="J5077" s="12" t="str">
        <f>HYPERLINK("https://www.boe.es/gazeta/dias/1806/12/02/pdfs/GMD-1806-98.pdf#page=1","Abrir facsímil")</f>
        <v>Abrir facsímil</v>
      </c>
      <c r="K5077" s="15" t="s">
        <v>22</v>
      </c>
    </row>
    <row r="5078" spans="1:11" ht="42" customHeight="1">
      <c r="A5078" s="4" t="s">
        <v>11298</v>
      </c>
      <c r="B5078" s="5" t="s">
        <v>11299</v>
      </c>
      <c r="C5078" s="5" t="s">
        <v>36</v>
      </c>
      <c r="D5078" s="5" t="s">
        <v>37</v>
      </c>
      <c r="E5078" s="5" t="s">
        <v>181</v>
      </c>
      <c r="F5078" s="9">
        <v>99</v>
      </c>
      <c r="G5078" s="9">
        <v>1055</v>
      </c>
      <c r="H5078" s="5" t="s">
        <v>20</v>
      </c>
      <c r="I5078" s="5" t="s">
        <v>11300</v>
      </c>
      <c r="J5078" s="12" t="str">
        <f>HYPERLINK("https://www.boe.es/gazeta/dias/1806/12/05/pdfs/GMD-1806-99.pdf#page=11","Abrir facsímil")</f>
        <v>Abrir facsímil</v>
      </c>
      <c r="K5078" s="15" t="s">
        <v>22</v>
      </c>
    </row>
    <row r="5079" spans="1:11" ht="42" customHeight="1">
      <c r="A5079" s="4" t="s">
        <v>11301</v>
      </c>
      <c r="B5079" s="5" t="s">
        <v>11301</v>
      </c>
      <c r="C5079" s="5" t="s">
        <v>36</v>
      </c>
      <c r="D5079" s="5" t="s">
        <v>37</v>
      </c>
      <c r="E5079" s="5" t="s">
        <v>279</v>
      </c>
      <c r="F5079" s="9">
        <v>52</v>
      </c>
      <c r="G5079" s="9">
        <v>544</v>
      </c>
      <c r="H5079" s="5" t="s">
        <v>20</v>
      </c>
      <c r="I5079" s="5" t="s">
        <v>11302</v>
      </c>
      <c r="J5079" s="12" t="str">
        <f>HYPERLINK("https://www.boe.es/gazeta/dias/1806/06/24/pdfs/GMD-1806-52.pdf#page=12","Abrir facsímil")</f>
        <v>Abrir facsímil</v>
      </c>
      <c r="K5079" s="15" t="s">
        <v>22</v>
      </c>
    </row>
    <row r="5080" spans="1:11" ht="42" customHeight="1">
      <c r="A5080" s="4" t="s">
        <v>11303</v>
      </c>
      <c r="B5080" s="5" t="s">
        <v>11304</v>
      </c>
      <c r="C5080" s="5" t="s">
        <v>42</v>
      </c>
      <c r="D5080" s="5" t="s">
        <v>43</v>
      </c>
      <c r="E5080" s="5" t="s">
        <v>570</v>
      </c>
      <c r="F5080" s="9">
        <v>93</v>
      </c>
      <c r="G5080" s="9">
        <v>978</v>
      </c>
      <c r="H5080" s="5" t="s">
        <v>20</v>
      </c>
      <c r="I5080" s="5" t="s">
        <v>11305</v>
      </c>
      <c r="J5080" s="12" t="str">
        <f>HYPERLINK("https://www.boe.es/gazeta/dias/1806/11/14/pdfs/GMD-1806-93.pdf#page=14","Abrir facsímil")</f>
        <v>Abrir facsímil</v>
      </c>
      <c r="K5080" s="15" t="s">
        <v>22</v>
      </c>
    </row>
    <row r="5081" spans="1:11" ht="42" customHeight="1">
      <c r="A5081" s="4" t="s">
        <v>11306</v>
      </c>
      <c r="B5081" s="5" t="s">
        <v>11307</v>
      </c>
      <c r="C5081" s="5" t="s">
        <v>42</v>
      </c>
      <c r="D5081" s="5" t="s">
        <v>43</v>
      </c>
      <c r="E5081" s="5" t="s">
        <v>279</v>
      </c>
      <c r="F5081" s="9">
        <v>52</v>
      </c>
      <c r="G5081" s="9">
        <v>540</v>
      </c>
      <c r="H5081" s="5" t="s">
        <v>20</v>
      </c>
      <c r="I5081" s="5" t="s">
        <v>11308</v>
      </c>
      <c r="J5081" s="12" t="str">
        <f>HYPERLINK("https://www.boe.es/gazeta/dias/1806/06/24/pdfs/GMD-1806-52.pdf#page=8","Abrir facsímil")</f>
        <v>Abrir facsímil</v>
      </c>
      <c r="K5081" s="15" t="s">
        <v>22</v>
      </c>
    </row>
    <row r="5082" spans="1:11" ht="42" customHeight="1">
      <c r="A5082" s="4" t="s">
        <v>11309</v>
      </c>
      <c r="B5082" s="5" t="s">
        <v>11310</v>
      </c>
      <c r="C5082" s="5" t="s">
        <v>31</v>
      </c>
      <c r="D5082" s="5" t="s">
        <v>32</v>
      </c>
      <c r="E5082" s="5" t="s">
        <v>28</v>
      </c>
      <c r="F5082" s="9">
        <v>102</v>
      </c>
      <c r="G5082" s="9">
        <v>1085</v>
      </c>
      <c r="H5082" s="5" t="s">
        <v>20</v>
      </c>
      <c r="I5082" s="5" t="s">
        <v>11311</v>
      </c>
      <c r="J5082" s="12" t="str">
        <f>HYPERLINK("https://www.boe.es/gazeta/dias/1806/12/16/pdfs/GMD-1806-102.pdf#page=9","Abrir facsímil")</f>
        <v>Abrir facsímil</v>
      </c>
      <c r="K5082" s="15" t="s">
        <v>22</v>
      </c>
    </row>
    <row r="5083" spans="1:11" ht="42" customHeight="1">
      <c r="A5083" s="4" t="s">
        <v>11312</v>
      </c>
      <c r="B5083" s="5" t="s">
        <v>11313</v>
      </c>
      <c r="C5083" s="5" t="s">
        <v>31</v>
      </c>
      <c r="D5083" s="5" t="s">
        <v>32</v>
      </c>
      <c r="E5083" s="5" t="s">
        <v>71</v>
      </c>
      <c r="F5083" s="9">
        <v>29</v>
      </c>
      <c r="G5083" s="9">
        <v>287</v>
      </c>
      <c r="H5083" s="5" t="s">
        <v>20</v>
      </c>
      <c r="I5083" s="5" t="s">
        <v>11314</v>
      </c>
      <c r="J5083" s="12" t="str">
        <f>HYPERLINK("https://www.boe.es/gazeta/dias/1806/04/04/pdfs/GMD-1806-29.pdf#page=7","Abrir facsímil")</f>
        <v>Abrir facsímil</v>
      </c>
      <c r="K5083" s="15" t="s">
        <v>22</v>
      </c>
    </row>
    <row r="5084" spans="1:11" ht="42" customHeight="1">
      <c r="A5084" s="4" t="s">
        <v>11315</v>
      </c>
      <c r="B5084" s="5" t="s">
        <v>11316</v>
      </c>
      <c r="C5084" s="5" t="s">
        <v>75</v>
      </c>
      <c r="D5084" s="5" t="s">
        <v>43</v>
      </c>
      <c r="E5084" s="5" t="s">
        <v>1031</v>
      </c>
      <c r="F5084" s="9">
        <v>107</v>
      </c>
      <c r="G5084" s="9">
        <v>1131</v>
      </c>
      <c r="H5084" s="5" t="s">
        <v>20</v>
      </c>
      <c r="I5084" s="5" t="s">
        <v>11317</v>
      </c>
      <c r="J5084" s="12" t="str">
        <f>HYPERLINK("https://www.boe.es/gazeta/dias/1806/12/30/pdfs/GMD-1806-107.pdf#page=7","Abrir facsímil")</f>
        <v>Abrir facsímil</v>
      </c>
      <c r="K5084" s="15" t="s">
        <v>22</v>
      </c>
    </row>
    <row r="5085" spans="1:11" ht="42" customHeight="1">
      <c r="A5085" s="4" t="s">
        <v>11318</v>
      </c>
      <c r="B5085" s="5" t="s">
        <v>11319</v>
      </c>
      <c r="C5085" s="5" t="s">
        <v>17</v>
      </c>
      <c r="D5085" s="5" t="s">
        <v>18</v>
      </c>
      <c r="E5085" s="5" t="s">
        <v>213</v>
      </c>
      <c r="F5085" s="9">
        <v>73</v>
      </c>
      <c r="G5085" s="9">
        <v>757</v>
      </c>
      <c r="H5085" s="5" t="s">
        <v>20</v>
      </c>
      <c r="I5085" s="5" t="s">
        <v>11320</v>
      </c>
      <c r="J5085" s="12" t="str">
        <f>HYPERLINK("https://www.boe.es/gazeta/dias/1806/09/05/pdfs/GMD-1806-73.pdf#page=5","Abrir facsímil")</f>
        <v>Abrir facsímil</v>
      </c>
      <c r="K5085" s="15" t="s">
        <v>22</v>
      </c>
    </row>
    <row r="5086" spans="1:11" ht="42" customHeight="1">
      <c r="A5086" s="4" t="s">
        <v>11321</v>
      </c>
      <c r="B5086" s="5" t="s">
        <v>11322</v>
      </c>
      <c r="C5086" s="5" t="s">
        <v>42</v>
      </c>
      <c r="D5086" s="5" t="s">
        <v>43</v>
      </c>
      <c r="E5086" s="5" t="s">
        <v>205</v>
      </c>
      <c r="F5086" s="9">
        <v>57</v>
      </c>
      <c r="G5086" s="9">
        <v>594</v>
      </c>
      <c r="H5086" s="5" t="s">
        <v>20</v>
      </c>
      <c r="I5086" s="5" t="s">
        <v>11323</v>
      </c>
      <c r="J5086" s="12" t="str">
        <f>HYPERLINK("https://www.boe.es/gazeta/dias/1806/07/11/pdfs/GMD-1806-57.pdf#page=6","Abrir facsímil")</f>
        <v>Abrir facsímil</v>
      </c>
      <c r="K5086" s="15" t="s">
        <v>22</v>
      </c>
    </row>
    <row r="5087" spans="1:11" ht="42" customHeight="1">
      <c r="A5087" s="4" t="s">
        <v>11324</v>
      </c>
      <c r="B5087" s="5" t="s">
        <v>11325</v>
      </c>
      <c r="C5087" s="5" t="s">
        <v>17</v>
      </c>
      <c r="D5087" s="5" t="s">
        <v>18</v>
      </c>
      <c r="E5087" s="5" t="s">
        <v>110</v>
      </c>
      <c r="F5087" s="9">
        <v>55</v>
      </c>
      <c r="G5087" s="9">
        <v>574</v>
      </c>
      <c r="H5087" s="5" t="s">
        <v>20</v>
      </c>
      <c r="I5087" s="5" t="s">
        <v>11326</v>
      </c>
      <c r="J5087" s="12" t="str">
        <f>HYPERLINK("https://www.boe.es/gazeta/dias/1806/07/04/pdfs/GMD-1806-55.pdf#page=10","Abrir facsímil")</f>
        <v>Abrir facsímil</v>
      </c>
      <c r="K5087" s="15" t="s">
        <v>22</v>
      </c>
    </row>
    <row r="5088" spans="1:11" ht="42" customHeight="1">
      <c r="A5088" s="4" t="s">
        <v>11327</v>
      </c>
      <c r="B5088" s="5" t="s">
        <v>11328</v>
      </c>
      <c r="C5088" s="5" t="s">
        <v>17</v>
      </c>
      <c r="D5088" s="5" t="s">
        <v>18</v>
      </c>
      <c r="E5088" s="5" t="s">
        <v>580</v>
      </c>
      <c r="F5088" s="9">
        <v>23</v>
      </c>
      <c r="G5088" s="9">
        <v>219</v>
      </c>
      <c r="H5088" s="5" t="s">
        <v>20</v>
      </c>
      <c r="I5088" s="5" t="s">
        <v>11329</v>
      </c>
      <c r="J5088" s="12" t="str">
        <f>HYPERLINK("https://www.boe.es/gazeta/dias/1806/03/14/pdfs/GMD-1806-23.pdf#page=7","Abrir facsímil")</f>
        <v>Abrir facsímil</v>
      </c>
      <c r="K5088" s="15" t="s">
        <v>22</v>
      </c>
    </row>
    <row r="5089" spans="1:11" ht="42" customHeight="1">
      <c r="A5089" s="4" t="s">
        <v>11330</v>
      </c>
      <c r="B5089" s="5" t="s">
        <v>11331</v>
      </c>
      <c r="C5089" s="5" t="s">
        <v>31</v>
      </c>
      <c r="D5089" s="5" t="s">
        <v>32</v>
      </c>
      <c r="E5089" s="5" t="s">
        <v>383</v>
      </c>
      <c r="F5089" s="9">
        <v>54</v>
      </c>
      <c r="G5089" s="9">
        <v>562</v>
      </c>
      <c r="H5089" s="5" t="s">
        <v>20</v>
      </c>
      <c r="I5089" s="5" t="s">
        <v>11332</v>
      </c>
      <c r="J5089" s="12" t="str">
        <f>HYPERLINK("https://www.boe.es/gazeta/dias/1806/07/01/pdfs/GMD-1806-54.pdf#page=6","Abrir facsímil")</f>
        <v>Abrir facsímil</v>
      </c>
      <c r="K5089" s="15" t="s">
        <v>22</v>
      </c>
    </row>
    <row r="5090" spans="1:11" ht="42" customHeight="1">
      <c r="A5090" s="4" t="s">
        <v>11333</v>
      </c>
      <c r="B5090" s="5" t="s">
        <v>11334</v>
      </c>
      <c r="C5090" s="5" t="s">
        <v>31</v>
      </c>
      <c r="D5090" s="5" t="s">
        <v>32</v>
      </c>
      <c r="E5090" s="5" t="s">
        <v>340</v>
      </c>
      <c r="F5090" s="9">
        <v>31</v>
      </c>
      <c r="G5090" s="9">
        <v>307</v>
      </c>
      <c r="H5090" s="5" t="s">
        <v>20</v>
      </c>
      <c r="I5090" s="5" t="s">
        <v>11335</v>
      </c>
      <c r="J5090" s="12" t="str">
        <f>HYPERLINK("https://www.boe.es/gazeta/dias/1806/04/11/pdfs/GMD-1806-31.pdf#page=11","Abrir facsímil")</f>
        <v>Abrir facsímil</v>
      </c>
      <c r="K5090" s="15" t="s">
        <v>22</v>
      </c>
    </row>
    <row r="5091" spans="1:11" ht="42" customHeight="1">
      <c r="A5091" s="4" t="s">
        <v>11333</v>
      </c>
      <c r="B5091" s="5" t="s">
        <v>11334</v>
      </c>
      <c r="C5091" s="5" t="s">
        <v>75</v>
      </c>
      <c r="D5091" s="5" t="s">
        <v>43</v>
      </c>
      <c r="E5091" s="5" t="s">
        <v>51</v>
      </c>
      <c r="F5091" s="9">
        <v>44</v>
      </c>
      <c r="G5091" s="9">
        <v>446</v>
      </c>
      <c r="H5091" s="5" t="s">
        <v>20</v>
      </c>
      <c r="I5091" s="5" t="s">
        <v>11336</v>
      </c>
      <c r="J5091" s="12" t="str">
        <f>HYPERLINK("https://www.boe.es/gazeta/dias/1806/05/27/pdfs/GMD-1806-44.pdf#page=10","Abrir facsímil")</f>
        <v>Abrir facsímil</v>
      </c>
      <c r="K5091" s="15" t="s">
        <v>22</v>
      </c>
    </row>
    <row r="5092" spans="1:11" ht="42" customHeight="1">
      <c r="A5092" s="4" t="s">
        <v>11333</v>
      </c>
      <c r="B5092" s="5" t="s">
        <v>11334</v>
      </c>
      <c r="C5092" s="5" t="s">
        <v>75</v>
      </c>
      <c r="D5092" s="5" t="s">
        <v>43</v>
      </c>
      <c r="E5092" s="5" t="s">
        <v>140</v>
      </c>
      <c r="F5092" s="9">
        <v>83</v>
      </c>
      <c r="G5092" s="9">
        <v>861</v>
      </c>
      <c r="H5092" s="5" t="s">
        <v>20</v>
      </c>
      <c r="I5092" s="5" t="s">
        <v>11337</v>
      </c>
      <c r="J5092" s="12" t="str">
        <f>HYPERLINK("https://www.boe.es/gazeta/dias/1806/10/10/pdfs/GMD-1806-83.pdf#page=9","Abrir facsímil")</f>
        <v>Abrir facsímil</v>
      </c>
      <c r="K5092" s="15" t="s">
        <v>22</v>
      </c>
    </row>
    <row r="5093" spans="1:11" ht="42" customHeight="1">
      <c r="A5093" s="4" t="s">
        <v>11333</v>
      </c>
      <c r="B5093" s="5" t="s">
        <v>11334</v>
      </c>
      <c r="C5093" s="5" t="s">
        <v>36</v>
      </c>
      <c r="D5093" s="5" t="s">
        <v>37</v>
      </c>
      <c r="E5093" s="5" t="s">
        <v>570</v>
      </c>
      <c r="F5093" s="9">
        <v>93</v>
      </c>
      <c r="G5093" s="9">
        <v>980</v>
      </c>
      <c r="H5093" s="5" t="s">
        <v>20</v>
      </c>
      <c r="I5093" s="5" t="s">
        <v>11338</v>
      </c>
      <c r="J5093" s="12" t="str">
        <f>HYPERLINK("https://www.boe.es/gazeta/dias/1806/11/14/pdfs/GMD-1806-93.pdf#page=16","Abrir facsímil")</f>
        <v>Abrir facsímil</v>
      </c>
      <c r="K5093" s="15" t="s">
        <v>22</v>
      </c>
    </row>
    <row r="5094" spans="1:11" ht="42" customHeight="1">
      <c r="A5094" s="4" t="s">
        <v>11339</v>
      </c>
      <c r="B5094" s="5" t="s">
        <v>11340</v>
      </c>
      <c r="C5094" s="5" t="s">
        <v>36</v>
      </c>
      <c r="D5094" s="5" t="s">
        <v>37</v>
      </c>
      <c r="E5094" s="5" t="s">
        <v>271</v>
      </c>
      <c r="F5094" s="9">
        <v>6</v>
      </c>
      <c r="G5094" s="9">
        <v>56</v>
      </c>
      <c r="H5094" s="5" t="s">
        <v>20</v>
      </c>
      <c r="I5094" s="5" t="s">
        <v>11341</v>
      </c>
      <c r="J5094" s="12" t="str">
        <f>HYPERLINK("https://www.boe.es/gazeta/dias/1806/01/17/pdfs/GMD-1806-6.pdf#page=12","Abrir facsímil")</f>
        <v>Abrir facsímil</v>
      </c>
      <c r="K5094" s="15" t="s">
        <v>22</v>
      </c>
    </row>
    <row r="5095" spans="1:11" ht="42" customHeight="1">
      <c r="A5095" s="4" t="s">
        <v>11339</v>
      </c>
      <c r="B5095" s="5" t="s">
        <v>11340</v>
      </c>
      <c r="C5095" s="5" t="s">
        <v>31</v>
      </c>
      <c r="D5095" s="5" t="s">
        <v>32</v>
      </c>
      <c r="E5095" s="5" t="s">
        <v>363</v>
      </c>
      <c r="F5095" s="9">
        <v>8</v>
      </c>
      <c r="G5095" s="9">
        <v>74</v>
      </c>
      <c r="H5095" s="5" t="s">
        <v>20</v>
      </c>
      <c r="I5095" s="5" t="s">
        <v>11342</v>
      </c>
      <c r="J5095" s="12" t="str">
        <f>HYPERLINK("https://www.boe.es/gazeta/dias/1806/01/24/pdfs/GMD-1806-8.pdf#page=6","Abrir facsímil")</f>
        <v>Abrir facsímil</v>
      </c>
      <c r="K5095" s="15" t="s">
        <v>22</v>
      </c>
    </row>
    <row r="5096" spans="1:11" ht="42" customHeight="1">
      <c r="A5096" s="4" t="s">
        <v>11339</v>
      </c>
      <c r="B5096" s="5" t="s">
        <v>11340</v>
      </c>
      <c r="C5096" s="5" t="s">
        <v>17</v>
      </c>
      <c r="D5096" s="5" t="s">
        <v>18</v>
      </c>
      <c r="E5096" s="5" t="s">
        <v>580</v>
      </c>
      <c r="F5096" s="9">
        <v>23</v>
      </c>
      <c r="G5096" s="9">
        <v>223</v>
      </c>
      <c r="H5096" s="5" t="s">
        <v>20</v>
      </c>
      <c r="I5096" s="5" t="s">
        <v>11343</v>
      </c>
      <c r="J5096" s="12" t="str">
        <f>HYPERLINK("https://www.boe.es/gazeta/dias/1806/03/14/pdfs/GMD-1806-23.pdf#page=11","Abrir facsímil")</f>
        <v>Abrir facsímil</v>
      </c>
      <c r="K5096" s="15" t="s">
        <v>22</v>
      </c>
    </row>
    <row r="5097" spans="1:11" ht="42" customHeight="1">
      <c r="A5097" s="4" t="s">
        <v>11339</v>
      </c>
      <c r="B5097" s="5" t="s">
        <v>11340</v>
      </c>
      <c r="C5097" s="5" t="s">
        <v>36</v>
      </c>
      <c r="D5097" s="5" t="s">
        <v>37</v>
      </c>
      <c r="E5097" s="5" t="s">
        <v>82</v>
      </c>
      <c r="F5097" s="9">
        <v>48</v>
      </c>
      <c r="G5097" s="9">
        <v>500</v>
      </c>
      <c r="H5097" s="5" t="s">
        <v>20</v>
      </c>
      <c r="I5097" s="5" t="s">
        <v>11344</v>
      </c>
      <c r="J5097" s="12" t="str">
        <f>HYPERLINK("https://www.boe.es/gazeta/dias/1806/06/10/pdfs/GMD-1806-48.pdf#page=12","Abrir facsímil")</f>
        <v>Abrir facsímil</v>
      </c>
      <c r="K5097" s="15" t="s">
        <v>22</v>
      </c>
    </row>
    <row r="5098" spans="1:11" ht="42" customHeight="1">
      <c r="A5098" s="4" t="s">
        <v>11345</v>
      </c>
      <c r="B5098" s="5" t="s">
        <v>11346</v>
      </c>
      <c r="C5098" s="5" t="s">
        <v>31</v>
      </c>
      <c r="D5098" s="5" t="s">
        <v>32</v>
      </c>
      <c r="E5098" s="5" t="s">
        <v>438</v>
      </c>
      <c r="F5098" s="9">
        <v>70</v>
      </c>
      <c r="G5098" s="9">
        <v>730</v>
      </c>
      <c r="H5098" s="5" t="s">
        <v>20</v>
      </c>
      <c r="I5098" s="5" t="s">
        <v>11347</v>
      </c>
      <c r="J5098" s="12" t="str">
        <f>HYPERLINK("https://www.boe.es/gazeta/dias/1806/08/26/pdfs/GMD-1806-70.pdf#page=6","Abrir facsímil")</f>
        <v>Abrir facsímil</v>
      </c>
      <c r="K5098" s="15" t="s">
        <v>22</v>
      </c>
    </row>
    <row r="5099" spans="1:11" ht="42" customHeight="1">
      <c r="A5099" s="4" t="s">
        <v>11348</v>
      </c>
      <c r="B5099" s="5" t="s">
        <v>11349</v>
      </c>
      <c r="C5099" s="5" t="s">
        <v>31</v>
      </c>
      <c r="D5099" s="5" t="s">
        <v>32</v>
      </c>
      <c r="E5099" s="5" t="s">
        <v>494</v>
      </c>
      <c r="F5099" s="9">
        <v>69</v>
      </c>
      <c r="G5099" s="9">
        <v>721</v>
      </c>
      <c r="H5099" s="5" t="s">
        <v>20</v>
      </c>
      <c r="I5099" s="5" t="s">
        <v>11350</v>
      </c>
      <c r="J5099" s="12" t="str">
        <f>HYPERLINK("https://www.boe.es/gazeta/dias/1806/08/22/pdfs/GMD-1806-69.pdf#page=9","Abrir facsímil")</f>
        <v>Abrir facsímil</v>
      </c>
      <c r="K5099" s="15" t="s">
        <v>22</v>
      </c>
    </row>
    <row r="5100" spans="1:11" ht="42" customHeight="1">
      <c r="A5100" s="4" t="s">
        <v>11348</v>
      </c>
      <c r="B5100" s="5" t="s">
        <v>11349</v>
      </c>
      <c r="C5100" s="5" t="s">
        <v>17</v>
      </c>
      <c r="D5100" s="5" t="s">
        <v>18</v>
      </c>
      <c r="E5100" s="5" t="s">
        <v>455</v>
      </c>
      <c r="F5100" s="9">
        <v>85</v>
      </c>
      <c r="G5100" s="9">
        <v>881</v>
      </c>
      <c r="H5100" s="5" t="s">
        <v>20</v>
      </c>
      <c r="I5100" s="5" t="s">
        <v>11351</v>
      </c>
      <c r="J5100" s="12" t="str">
        <f>HYPERLINK("https://www.boe.es/gazeta/dias/1806/10/17/pdfs/GMD-1806-85.pdf#page=9","Abrir facsímil")</f>
        <v>Abrir facsímil</v>
      </c>
      <c r="K5100" s="15" t="s">
        <v>22</v>
      </c>
    </row>
    <row r="5101" spans="1:11" ht="42" customHeight="1">
      <c r="A5101" s="4" t="s">
        <v>11352</v>
      </c>
      <c r="B5101" s="5" t="s">
        <v>11353</v>
      </c>
      <c r="C5101" s="5" t="s">
        <v>31</v>
      </c>
      <c r="D5101" s="5" t="s">
        <v>32</v>
      </c>
      <c r="E5101" s="5" t="s">
        <v>48</v>
      </c>
      <c r="F5101" s="9">
        <v>67</v>
      </c>
      <c r="G5101" s="9">
        <v>704</v>
      </c>
      <c r="H5101" s="5" t="s">
        <v>20</v>
      </c>
      <c r="I5101" s="5" t="s">
        <v>11354</v>
      </c>
      <c r="J5101" s="12" t="str">
        <f>HYPERLINK("https://www.boe.es/gazeta/dias/1806/08/15/pdfs/GMD-1806-67.pdf#page=12","Abrir facsímil")</f>
        <v>Abrir facsímil</v>
      </c>
      <c r="K5101" s="15" t="s">
        <v>22</v>
      </c>
    </row>
    <row r="5102" spans="1:11" ht="42" customHeight="1">
      <c r="A5102" s="4" t="s">
        <v>11355</v>
      </c>
      <c r="B5102" s="5" t="s">
        <v>11355</v>
      </c>
      <c r="C5102" s="5" t="s">
        <v>36</v>
      </c>
      <c r="D5102" s="5" t="s">
        <v>37</v>
      </c>
      <c r="E5102" s="5" t="s">
        <v>26</v>
      </c>
      <c r="F5102" s="9">
        <v>65</v>
      </c>
      <c r="G5102" s="9">
        <v>683</v>
      </c>
      <c r="H5102" s="5" t="s">
        <v>20</v>
      </c>
      <c r="I5102" s="5" t="s">
        <v>11356</v>
      </c>
      <c r="J5102" s="12" t="str">
        <f>HYPERLINK("https://www.boe.es/gazeta/dias/1806/08/08/pdfs/GMD-1806-65.pdf#page=11","Abrir facsímil")</f>
        <v>Abrir facsímil</v>
      </c>
      <c r="K5102" s="15" t="s">
        <v>22</v>
      </c>
    </row>
    <row r="5103" spans="1:11" ht="42" customHeight="1">
      <c r="A5103" s="4" t="s">
        <v>11355</v>
      </c>
      <c r="B5103" s="5" t="s">
        <v>11355</v>
      </c>
      <c r="C5103" s="5" t="s">
        <v>36</v>
      </c>
      <c r="D5103" s="5" t="s">
        <v>37</v>
      </c>
      <c r="E5103" s="5" t="s">
        <v>494</v>
      </c>
      <c r="F5103" s="9">
        <v>69</v>
      </c>
      <c r="G5103" s="9">
        <v>723</v>
      </c>
      <c r="H5103" s="5" t="s">
        <v>20</v>
      </c>
      <c r="I5103" s="5" t="s">
        <v>11357</v>
      </c>
      <c r="J5103" s="12" t="str">
        <f>HYPERLINK("https://www.boe.es/gazeta/dias/1806/08/22/pdfs/GMD-1806-69.pdf#page=11","Abrir facsímil")</f>
        <v>Abrir facsímil</v>
      </c>
      <c r="K5103" s="15" t="s">
        <v>22</v>
      </c>
    </row>
    <row r="5104" spans="1:11" ht="42" customHeight="1">
      <c r="A5104" s="4" t="s">
        <v>11358</v>
      </c>
      <c r="B5104" s="5" t="s">
        <v>11358</v>
      </c>
      <c r="C5104" s="5" t="s">
        <v>17</v>
      </c>
      <c r="D5104" s="5" t="s">
        <v>18</v>
      </c>
      <c r="E5104" s="5" t="s">
        <v>48</v>
      </c>
      <c r="F5104" s="9">
        <v>67</v>
      </c>
      <c r="G5104" s="9">
        <v>702</v>
      </c>
      <c r="H5104" s="5" t="s">
        <v>20</v>
      </c>
      <c r="I5104" s="5" t="s">
        <v>11359</v>
      </c>
      <c r="J5104" s="12" t="str">
        <f>HYPERLINK("https://www.boe.es/gazeta/dias/1806/08/15/pdfs/GMD-1806-67.pdf#page=10","Abrir facsímil")</f>
        <v>Abrir facsímil</v>
      </c>
      <c r="K5104" s="15" t="s">
        <v>22</v>
      </c>
    </row>
    <row r="5105" spans="1:11" ht="42" customHeight="1">
      <c r="A5105" s="4" t="s">
        <v>11360</v>
      </c>
      <c r="B5105" s="5" t="s">
        <v>11361</v>
      </c>
      <c r="C5105" s="5" t="s">
        <v>42</v>
      </c>
      <c r="D5105" s="5" t="s">
        <v>43</v>
      </c>
      <c r="E5105" s="5" t="s">
        <v>1568</v>
      </c>
      <c r="F5105" s="9">
        <v>84</v>
      </c>
      <c r="G5105" s="9">
        <v>870</v>
      </c>
      <c r="H5105" s="5" t="s">
        <v>20</v>
      </c>
      <c r="I5105" s="5" t="s">
        <v>11362</v>
      </c>
      <c r="J5105" s="12" t="str">
        <f>HYPERLINK("https://www.boe.es/gazeta/dias/1806/10/14/pdfs/GMD-1806-84.pdf#page=6","Abrir facsímil")</f>
        <v>Abrir facsímil</v>
      </c>
      <c r="K5105" s="15" t="s">
        <v>22</v>
      </c>
    </row>
    <row r="5106" spans="1:11" ht="42" customHeight="1">
      <c r="A5106" s="4" t="s">
        <v>11363</v>
      </c>
      <c r="B5106" s="5" t="s">
        <v>11364</v>
      </c>
      <c r="C5106" s="5" t="s">
        <v>31</v>
      </c>
      <c r="D5106" s="5" t="s">
        <v>32</v>
      </c>
      <c r="E5106" s="5" t="s">
        <v>79</v>
      </c>
      <c r="F5106" s="9">
        <v>68</v>
      </c>
      <c r="G5106" s="9">
        <v>709</v>
      </c>
      <c r="H5106" s="5" t="s">
        <v>20</v>
      </c>
      <c r="I5106" s="5" t="s">
        <v>11365</v>
      </c>
      <c r="J5106" s="12" t="str">
        <f>HYPERLINK("https://www.boe.es/gazeta/dias/1806/08/19/pdfs/GMD-1806-68.pdf#page=5","Abrir facsímil")</f>
        <v>Abrir facsímil</v>
      </c>
      <c r="K5106" s="15" t="s">
        <v>22</v>
      </c>
    </row>
    <row r="5107" spans="1:11" ht="42" customHeight="1">
      <c r="A5107" s="4" t="s">
        <v>11366</v>
      </c>
      <c r="B5107" s="5" t="s">
        <v>11367</v>
      </c>
      <c r="C5107" s="5" t="s">
        <v>42</v>
      </c>
      <c r="D5107" s="5" t="s">
        <v>43</v>
      </c>
      <c r="E5107" s="5" t="s">
        <v>136</v>
      </c>
      <c r="F5107" s="9">
        <v>50</v>
      </c>
      <c r="G5107" s="9">
        <v>515</v>
      </c>
      <c r="H5107" s="5" t="s">
        <v>20</v>
      </c>
      <c r="I5107" s="5" t="s">
        <v>11368</v>
      </c>
      <c r="J5107" s="12" t="str">
        <f>HYPERLINK("https://www.boe.es/gazeta/dias/1806/06/17/pdfs/GMD-1806-50.pdf#page=7","Abrir facsímil")</f>
        <v>Abrir facsímil</v>
      </c>
      <c r="K5107" s="15" t="s">
        <v>22</v>
      </c>
    </row>
    <row r="5108" spans="1:11" ht="42" customHeight="1">
      <c r="A5108" s="4" t="s">
        <v>11369</v>
      </c>
      <c r="B5108" s="5" t="s">
        <v>11370</v>
      </c>
      <c r="C5108" s="5" t="s">
        <v>31</v>
      </c>
      <c r="D5108" s="5" t="s">
        <v>32</v>
      </c>
      <c r="E5108" s="5" t="s">
        <v>816</v>
      </c>
      <c r="F5108" s="9">
        <v>86</v>
      </c>
      <c r="G5108" s="9">
        <v>891</v>
      </c>
      <c r="H5108" s="5" t="s">
        <v>20</v>
      </c>
      <c r="I5108" s="5" t="s">
        <v>11371</v>
      </c>
      <c r="J5108" s="12" t="str">
        <f>HYPERLINK("https://www.boe.es/gazeta/dias/1806/10/21/pdfs/GMD-1806-86.pdf#page=7","Abrir facsímil")</f>
        <v>Abrir facsímil</v>
      </c>
      <c r="K5108" s="15" t="s">
        <v>22</v>
      </c>
    </row>
    <row r="5109" spans="1:11" ht="42" customHeight="1">
      <c r="A5109" s="4" t="s">
        <v>11372</v>
      </c>
      <c r="B5109" s="5" t="s">
        <v>11373</v>
      </c>
      <c r="C5109" s="5" t="s">
        <v>31</v>
      </c>
      <c r="D5109" s="5" t="s">
        <v>32</v>
      </c>
      <c r="E5109" s="5" t="s">
        <v>304</v>
      </c>
      <c r="F5109" s="9">
        <v>47</v>
      </c>
      <c r="G5109" s="9">
        <v>478</v>
      </c>
      <c r="H5109" s="5" t="s">
        <v>20</v>
      </c>
      <c r="I5109" s="5" t="s">
        <v>11374</v>
      </c>
      <c r="J5109" s="12" t="str">
        <f>HYPERLINK("https://www.boe.es/gazeta/dias/1806/06/06/pdfs/GMD-1806-47.pdf#page=6","Abrir facsímil")</f>
        <v>Abrir facsímil</v>
      </c>
      <c r="K5109" s="15" t="s">
        <v>22</v>
      </c>
    </row>
    <row r="5110" spans="1:11" ht="42" customHeight="1">
      <c r="A5110" s="4" t="s">
        <v>11375</v>
      </c>
      <c r="B5110" s="5" t="s">
        <v>11376</v>
      </c>
      <c r="C5110" s="5" t="s">
        <v>69</v>
      </c>
      <c r="D5110" s="5" t="s">
        <v>70</v>
      </c>
      <c r="E5110" s="5" t="s">
        <v>816</v>
      </c>
      <c r="F5110" s="9">
        <v>86</v>
      </c>
      <c r="G5110" s="9">
        <v>888</v>
      </c>
      <c r="H5110" s="5" t="s">
        <v>20</v>
      </c>
      <c r="I5110" s="5" t="s">
        <v>11377</v>
      </c>
      <c r="J5110" s="12" t="str">
        <f>HYPERLINK("https://www.boe.es/gazeta/dias/1806/10/21/pdfs/GMD-1806-86.pdf#page=4","Abrir facsímil")</f>
        <v>Abrir facsímil</v>
      </c>
      <c r="K5110" s="15" t="s">
        <v>22</v>
      </c>
    </row>
    <row r="5111" spans="1:11" ht="42" customHeight="1">
      <c r="A5111" s="4" t="s">
        <v>11378</v>
      </c>
      <c r="B5111" s="5" t="s">
        <v>11379</v>
      </c>
      <c r="C5111" s="5" t="s">
        <v>42</v>
      </c>
      <c r="D5111" s="5" t="s">
        <v>43</v>
      </c>
      <c r="E5111" s="5" t="s">
        <v>570</v>
      </c>
      <c r="F5111" s="9">
        <v>93</v>
      </c>
      <c r="G5111" s="9">
        <v>978</v>
      </c>
      <c r="H5111" s="5" t="s">
        <v>20</v>
      </c>
      <c r="I5111" s="5" t="s">
        <v>11380</v>
      </c>
      <c r="J5111" s="12" t="str">
        <f>HYPERLINK("https://www.boe.es/gazeta/dias/1806/11/14/pdfs/GMD-1806-93.pdf#page=14","Abrir facsímil")</f>
        <v>Abrir facsímil</v>
      </c>
      <c r="K5111" s="15" t="s">
        <v>22</v>
      </c>
    </row>
    <row r="5112" spans="1:11" ht="42" customHeight="1">
      <c r="A5112" s="4" t="s">
        <v>11381</v>
      </c>
      <c r="B5112" s="5" t="s">
        <v>11382</v>
      </c>
      <c r="C5112" s="5" t="s">
        <v>31</v>
      </c>
      <c r="D5112" s="5" t="s">
        <v>32</v>
      </c>
      <c r="E5112" s="5" t="s">
        <v>55</v>
      </c>
      <c r="F5112" s="9">
        <v>20</v>
      </c>
      <c r="G5112" s="9">
        <v>184</v>
      </c>
      <c r="H5112" s="5" t="s">
        <v>20</v>
      </c>
      <c r="I5112" s="5" t="s">
        <v>11383</v>
      </c>
      <c r="J5112" s="12" t="str">
        <f>HYPERLINK("https://www.boe.es/gazeta/dias/1806/03/04/pdfs/GMD-1806-20.pdf#page=8","Abrir facsímil")</f>
        <v>Abrir facsímil</v>
      </c>
      <c r="K5112" s="15" t="s">
        <v>22</v>
      </c>
    </row>
    <row r="5113" spans="1:11" ht="42" customHeight="1">
      <c r="A5113" s="4" t="s">
        <v>11384</v>
      </c>
      <c r="B5113" s="5" t="s">
        <v>11385</v>
      </c>
      <c r="C5113" s="5" t="s">
        <v>42</v>
      </c>
      <c r="D5113" s="5" t="s">
        <v>43</v>
      </c>
      <c r="E5113" s="5" t="s">
        <v>140</v>
      </c>
      <c r="F5113" s="9">
        <v>83</v>
      </c>
      <c r="G5113" s="9">
        <v>863</v>
      </c>
      <c r="H5113" s="5" t="s">
        <v>20</v>
      </c>
      <c r="I5113" s="5" t="s">
        <v>11386</v>
      </c>
      <c r="J5113" s="12" t="str">
        <f>HYPERLINK("https://www.boe.es/gazeta/dias/1806/10/10/pdfs/GMD-1806-83.pdf#page=11","Abrir facsímil")</f>
        <v>Abrir facsímil</v>
      </c>
      <c r="K5113" s="15" t="s">
        <v>22</v>
      </c>
    </row>
    <row r="5114" spans="1:11" ht="42" customHeight="1">
      <c r="A5114" s="4" t="s">
        <v>11387</v>
      </c>
      <c r="B5114" s="5" t="s">
        <v>11388</v>
      </c>
      <c r="C5114" s="5" t="s">
        <v>42</v>
      </c>
      <c r="D5114" s="5" t="s">
        <v>43</v>
      </c>
      <c r="E5114" s="5" t="s">
        <v>340</v>
      </c>
      <c r="F5114" s="9">
        <v>31</v>
      </c>
      <c r="G5114" s="9">
        <v>305</v>
      </c>
      <c r="H5114" s="5" t="s">
        <v>20</v>
      </c>
      <c r="I5114" s="5" t="s">
        <v>11389</v>
      </c>
      <c r="J5114" s="12" t="str">
        <f>HYPERLINK("https://www.boe.es/gazeta/dias/1806/04/11/pdfs/GMD-1806-31.pdf#page=9","Abrir facsímil")</f>
        <v>Abrir facsímil</v>
      </c>
      <c r="K5114" s="15" t="s">
        <v>22</v>
      </c>
    </row>
    <row r="5115" spans="1:11" ht="42" customHeight="1">
      <c r="A5115" s="4" t="s">
        <v>11390</v>
      </c>
      <c r="B5115" s="5" t="s">
        <v>11391</v>
      </c>
      <c r="C5115" s="5" t="s">
        <v>75</v>
      </c>
      <c r="D5115" s="5" t="s">
        <v>43</v>
      </c>
      <c r="E5115" s="5" t="s">
        <v>680</v>
      </c>
      <c r="F5115" s="9">
        <v>97</v>
      </c>
      <c r="G5115" s="9">
        <v>1031</v>
      </c>
      <c r="H5115" s="5" t="s">
        <v>20</v>
      </c>
      <c r="I5115" s="5" t="s">
        <v>11392</v>
      </c>
      <c r="J5115" s="12" t="str">
        <f>HYPERLINK("https://www.boe.es/gazeta/dias/1806/11/28/pdfs/GMD-1806-97.pdf#page=11","Abrir facsímil")</f>
        <v>Abrir facsímil</v>
      </c>
      <c r="K5115" s="15" t="s">
        <v>22</v>
      </c>
    </row>
    <row r="5116" spans="1:11" ht="42" customHeight="1">
      <c r="A5116" s="4" t="s">
        <v>11393</v>
      </c>
      <c r="B5116" s="5" t="s">
        <v>11394</v>
      </c>
      <c r="C5116" s="5" t="s">
        <v>17</v>
      </c>
      <c r="D5116" s="5" t="s">
        <v>18</v>
      </c>
      <c r="E5116" s="5" t="s">
        <v>140</v>
      </c>
      <c r="F5116" s="9">
        <v>83</v>
      </c>
      <c r="G5116" s="9">
        <v>863</v>
      </c>
      <c r="H5116" s="5" t="s">
        <v>20</v>
      </c>
      <c r="I5116" s="5" t="s">
        <v>11395</v>
      </c>
      <c r="J5116" s="12" t="str">
        <f>HYPERLINK("https://www.boe.es/gazeta/dias/1806/10/10/pdfs/GMD-1806-83.pdf#page=11","Abrir facsímil")</f>
        <v>Abrir facsímil</v>
      </c>
      <c r="K5116" s="15" t="s">
        <v>22</v>
      </c>
    </row>
    <row r="5117" spans="1:11" ht="42" customHeight="1">
      <c r="A5117" s="4" t="s">
        <v>11396</v>
      </c>
      <c r="B5117" s="5" t="s">
        <v>11397</v>
      </c>
      <c r="C5117" s="5" t="s">
        <v>31</v>
      </c>
      <c r="D5117" s="5" t="s">
        <v>32</v>
      </c>
      <c r="E5117" s="5" t="s">
        <v>297</v>
      </c>
      <c r="F5117" s="9">
        <v>94</v>
      </c>
      <c r="G5117" s="9">
        <v>989</v>
      </c>
      <c r="H5117" s="5" t="s">
        <v>20</v>
      </c>
      <c r="I5117" s="5" t="s">
        <v>11398</v>
      </c>
      <c r="J5117" s="12" t="str">
        <f>HYPERLINK("https://www.boe.es/gazeta/dias/1806/11/18/pdfs/GMD-1806-94.pdf#page=9","Abrir facsímil")</f>
        <v>Abrir facsímil</v>
      </c>
      <c r="K5117" s="15" t="s">
        <v>22</v>
      </c>
    </row>
    <row r="5118" spans="1:11" ht="42" customHeight="1">
      <c r="A5118" s="4" t="s">
        <v>11399</v>
      </c>
      <c r="B5118" s="5" t="s">
        <v>11400</v>
      </c>
      <c r="C5118" s="5" t="s">
        <v>31</v>
      </c>
      <c r="D5118" s="5" t="s">
        <v>32</v>
      </c>
      <c r="E5118" s="5" t="s">
        <v>100</v>
      </c>
      <c r="F5118" s="9">
        <v>7</v>
      </c>
      <c r="G5118" s="9">
        <v>67</v>
      </c>
      <c r="H5118" s="5" t="s">
        <v>20</v>
      </c>
      <c r="I5118" s="5" t="s">
        <v>11401</v>
      </c>
      <c r="J5118" s="12" t="str">
        <f>HYPERLINK("https://www.boe.es/gazeta/dias/1806/01/21/pdfs/GMD-1806-7.pdf#page=11","Abrir facsímil")</f>
        <v>Abrir facsímil</v>
      </c>
      <c r="K5118" s="15" t="s">
        <v>22</v>
      </c>
    </row>
    <row r="5119" spans="1:11" ht="42" customHeight="1">
      <c r="A5119" s="4" t="s">
        <v>11402</v>
      </c>
      <c r="B5119" s="5" t="s">
        <v>11403</v>
      </c>
      <c r="C5119" s="5" t="s">
        <v>17</v>
      </c>
      <c r="D5119" s="5" t="s">
        <v>18</v>
      </c>
      <c r="E5119" s="5" t="s">
        <v>24</v>
      </c>
      <c r="F5119" s="9">
        <v>32</v>
      </c>
      <c r="G5119" s="9">
        <v>318</v>
      </c>
      <c r="H5119" s="5" t="s">
        <v>20</v>
      </c>
      <c r="I5119" s="5" t="s">
        <v>11404</v>
      </c>
      <c r="J5119" s="12" t="str">
        <f>HYPERLINK("https://www.boe.es/gazeta/dias/1806/04/15/pdfs/GMD-1806-32.pdf#page=10","Abrir facsímil")</f>
        <v>Abrir facsímil</v>
      </c>
      <c r="K5119" s="15" t="s">
        <v>22</v>
      </c>
    </row>
    <row r="5120" spans="1:11" ht="42" customHeight="1">
      <c r="A5120" s="4" t="s">
        <v>11405</v>
      </c>
      <c r="B5120" s="5" t="s">
        <v>11406</v>
      </c>
      <c r="C5120" s="5" t="s">
        <v>75</v>
      </c>
      <c r="D5120" s="5" t="s">
        <v>43</v>
      </c>
      <c r="E5120" s="5" t="s">
        <v>301</v>
      </c>
      <c r="F5120" s="9">
        <v>75</v>
      </c>
      <c r="G5120" s="9">
        <v>779</v>
      </c>
      <c r="H5120" s="5" t="s">
        <v>20</v>
      </c>
      <c r="I5120" s="5" t="s">
        <v>11407</v>
      </c>
      <c r="J5120" s="12" t="str">
        <f>HYPERLINK("https://www.boe.es/gazeta/dias/1806/09/12/pdfs/GMD-1806-75.pdf#page=11","Abrir facsímil")</f>
        <v>Abrir facsímil</v>
      </c>
      <c r="K5120" s="15" t="s">
        <v>22</v>
      </c>
    </row>
    <row r="5121" spans="1:11" ht="42" customHeight="1">
      <c r="A5121" s="4" t="s">
        <v>11408</v>
      </c>
      <c r="B5121" s="5" t="s">
        <v>11409</v>
      </c>
      <c r="C5121" s="5" t="s">
        <v>17</v>
      </c>
      <c r="D5121" s="5" t="s">
        <v>18</v>
      </c>
      <c r="E5121" s="5" t="s">
        <v>127</v>
      </c>
      <c r="F5121" s="9">
        <v>81</v>
      </c>
      <c r="G5121" s="9">
        <v>840</v>
      </c>
      <c r="H5121" s="5" t="s">
        <v>20</v>
      </c>
      <c r="I5121" s="5" t="s">
        <v>11410</v>
      </c>
      <c r="J5121" s="12" t="str">
        <f>HYPERLINK("https://www.boe.es/gazeta/dias/1806/10/03/pdfs/GMD-1806-81.pdf#page=8","Abrir facsímil")</f>
        <v>Abrir facsímil</v>
      </c>
      <c r="K5121" s="15" t="s">
        <v>22</v>
      </c>
    </row>
    <row r="5122" spans="1:11" ht="42" customHeight="1">
      <c r="A5122" s="4" t="s">
        <v>11411</v>
      </c>
      <c r="B5122" s="5" t="s">
        <v>11412</v>
      </c>
      <c r="C5122" s="5" t="s">
        <v>42</v>
      </c>
      <c r="D5122" s="5" t="s">
        <v>43</v>
      </c>
      <c r="E5122" s="5" t="s">
        <v>816</v>
      </c>
      <c r="F5122" s="9">
        <v>86</v>
      </c>
      <c r="G5122" s="9">
        <v>891</v>
      </c>
      <c r="H5122" s="5" t="s">
        <v>20</v>
      </c>
      <c r="I5122" s="5" t="s">
        <v>11413</v>
      </c>
      <c r="J5122" s="12" t="str">
        <f>HYPERLINK("https://www.boe.es/gazeta/dias/1806/10/21/pdfs/GMD-1806-86.pdf#page=7","Abrir facsímil")</f>
        <v>Abrir facsímil</v>
      </c>
      <c r="K5122" s="15" t="s">
        <v>22</v>
      </c>
    </row>
    <row r="5123" spans="1:11" ht="42" customHeight="1">
      <c r="A5123" s="4" t="s">
        <v>11414</v>
      </c>
      <c r="B5123" s="5" t="s">
        <v>11414</v>
      </c>
      <c r="C5123" s="5" t="s">
        <v>42</v>
      </c>
      <c r="D5123" s="5" t="s">
        <v>43</v>
      </c>
      <c r="E5123" s="5" t="s">
        <v>33</v>
      </c>
      <c r="F5123" s="9">
        <v>82</v>
      </c>
      <c r="G5123" s="9">
        <v>849</v>
      </c>
      <c r="H5123" s="5" t="s">
        <v>20</v>
      </c>
      <c r="I5123" s="5" t="s">
        <v>11415</v>
      </c>
      <c r="J5123" s="12" t="str">
        <f>HYPERLINK("https://www.boe.es/gazeta/dias/1806/10/07/pdfs/GMD-1806-82.pdf#page=9","Abrir facsímil")</f>
        <v>Abrir facsímil</v>
      </c>
      <c r="K5123" s="15" t="s">
        <v>22</v>
      </c>
    </row>
    <row r="5124" spans="1:11" ht="42" customHeight="1">
      <c r="A5124" s="4" t="s">
        <v>11416</v>
      </c>
      <c r="B5124" s="5" t="s">
        <v>11416</v>
      </c>
      <c r="C5124" s="5" t="s">
        <v>42</v>
      </c>
      <c r="D5124" s="5" t="s">
        <v>43</v>
      </c>
      <c r="E5124" s="5" t="s">
        <v>178</v>
      </c>
      <c r="F5124" s="9">
        <v>36</v>
      </c>
      <c r="G5124" s="9">
        <v>350</v>
      </c>
      <c r="H5124" s="5" t="s">
        <v>20</v>
      </c>
      <c r="I5124" s="5" t="s">
        <v>11417</v>
      </c>
      <c r="J5124" s="12" t="str">
        <f>HYPERLINK("https://www.boe.es/gazeta/dias/1806/04/29/pdfs/GMD-1806-36.pdf#page=6","Abrir facsímil")</f>
        <v>Abrir facsímil</v>
      </c>
      <c r="K5124" s="15" t="s">
        <v>22</v>
      </c>
    </row>
    <row r="5125" spans="1:11" ht="42" customHeight="1">
      <c r="A5125" s="4" t="s">
        <v>11418</v>
      </c>
      <c r="B5125" s="5" t="s">
        <v>11419</v>
      </c>
      <c r="C5125" s="5" t="s">
        <v>69</v>
      </c>
      <c r="D5125" s="5" t="s">
        <v>70</v>
      </c>
      <c r="E5125" s="5" t="s">
        <v>348</v>
      </c>
      <c r="F5125" s="9">
        <v>88</v>
      </c>
      <c r="G5125" s="9">
        <v>909</v>
      </c>
      <c r="H5125" s="5" t="s">
        <v>20</v>
      </c>
      <c r="I5125" s="5" t="s">
        <v>11420</v>
      </c>
      <c r="J5125" s="12" t="str">
        <f>HYPERLINK("https://www.boe.es/gazeta/dias/1806/10/28/pdfs/GMD-1806-88.pdf#page=5","Abrir facsímil")</f>
        <v>Abrir facsímil</v>
      </c>
      <c r="K5125" s="15" t="s">
        <v>22</v>
      </c>
    </row>
    <row r="5126" spans="1:11" ht="42" customHeight="1">
      <c r="A5126" s="4" t="s">
        <v>11418</v>
      </c>
      <c r="B5126" s="5" t="s">
        <v>11419</v>
      </c>
      <c r="C5126" s="5" t="s">
        <v>69</v>
      </c>
      <c r="D5126" s="5" t="s">
        <v>70</v>
      </c>
      <c r="E5126" s="5" t="s">
        <v>570</v>
      </c>
      <c r="F5126" s="9">
        <v>93</v>
      </c>
      <c r="G5126" s="9">
        <v>976</v>
      </c>
      <c r="H5126" s="5" t="s">
        <v>20</v>
      </c>
      <c r="I5126" s="5" t="s">
        <v>11421</v>
      </c>
      <c r="J5126" s="12" t="str">
        <f>HYPERLINK("https://www.boe.es/gazeta/dias/1806/11/14/pdfs/GMD-1806-93.pdf#page=12","Abrir facsímil")</f>
        <v>Abrir facsímil</v>
      </c>
      <c r="K5126" s="15" t="s">
        <v>22</v>
      </c>
    </row>
    <row r="5127" spans="1:11" ht="42" customHeight="1">
      <c r="A5127" s="4" t="s">
        <v>11418</v>
      </c>
      <c r="B5127" s="5" t="s">
        <v>11419</v>
      </c>
      <c r="C5127" s="5" t="s">
        <v>69</v>
      </c>
      <c r="D5127" s="5" t="s">
        <v>70</v>
      </c>
      <c r="E5127" s="5" t="s">
        <v>657</v>
      </c>
      <c r="F5127" s="9">
        <v>96</v>
      </c>
      <c r="G5127" s="9">
        <v>1016</v>
      </c>
      <c r="H5127" s="5" t="s">
        <v>20</v>
      </c>
      <c r="I5127" s="5" t="s">
        <v>11422</v>
      </c>
      <c r="J5127" s="12" t="str">
        <f>HYPERLINK("https://www.boe.es/gazeta/dias/1806/11/25/pdfs/GMD-1806-96.pdf#page=8","Abrir facsímil")</f>
        <v>Abrir facsímil</v>
      </c>
      <c r="K5127" s="15" t="s">
        <v>22</v>
      </c>
    </row>
    <row r="5128" spans="1:11" ht="42" customHeight="1">
      <c r="A5128" s="4" t="s">
        <v>11418</v>
      </c>
      <c r="B5128" s="5" t="s">
        <v>11419</v>
      </c>
      <c r="C5128" s="5" t="s">
        <v>69</v>
      </c>
      <c r="D5128" s="5" t="s">
        <v>70</v>
      </c>
      <c r="E5128" s="5" t="s">
        <v>657</v>
      </c>
      <c r="F5128" s="9">
        <v>96</v>
      </c>
      <c r="G5128" s="9">
        <v>1017</v>
      </c>
      <c r="H5128" s="5" t="s">
        <v>20</v>
      </c>
      <c r="I5128" s="5" t="s">
        <v>11423</v>
      </c>
      <c r="J5128" s="12" t="str">
        <f>HYPERLINK("https://www.boe.es/gazeta/dias/1806/11/25/pdfs/GMD-1806-96.pdf#page=9","Abrir facsímil")</f>
        <v>Abrir facsímil</v>
      </c>
      <c r="K5128" s="15" t="s">
        <v>22</v>
      </c>
    </row>
    <row r="5129" spans="1:11" ht="42" customHeight="1">
      <c r="A5129" s="4" t="s">
        <v>11418</v>
      </c>
      <c r="B5129" s="5" t="s">
        <v>11419</v>
      </c>
      <c r="C5129" s="5" t="s">
        <v>69</v>
      </c>
      <c r="D5129" s="5" t="s">
        <v>70</v>
      </c>
      <c r="E5129" s="5" t="s">
        <v>680</v>
      </c>
      <c r="F5129" s="9">
        <v>97</v>
      </c>
      <c r="G5129" s="9">
        <v>1024</v>
      </c>
      <c r="H5129" s="5" t="s">
        <v>20</v>
      </c>
      <c r="I5129" s="5" t="s">
        <v>11424</v>
      </c>
      <c r="J5129" s="12" t="str">
        <f>HYPERLINK("https://www.boe.es/gazeta/dias/1806/11/28/pdfs/GMD-1806-97.pdf#page=4","Abrir facsímil")</f>
        <v>Abrir facsímil</v>
      </c>
      <c r="K5129" s="15" t="s">
        <v>22</v>
      </c>
    </row>
    <row r="5130" spans="1:11" ht="42" customHeight="1">
      <c r="A5130" s="4" t="s">
        <v>11418</v>
      </c>
      <c r="B5130" s="5" t="s">
        <v>11419</v>
      </c>
      <c r="C5130" s="5" t="s">
        <v>17</v>
      </c>
      <c r="D5130" s="5" t="s">
        <v>18</v>
      </c>
      <c r="E5130" s="5" t="s">
        <v>76</v>
      </c>
      <c r="F5130" s="9">
        <v>98</v>
      </c>
      <c r="G5130" s="9">
        <v>1035</v>
      </c>
      <c r="H5130" s="5" t="s">
        <v>20</v>
      </c>
      <c r="I5130" s="5" t="s">
        <v>11425</v>
      </c>
      <c r="J5130" s="12" t="str">
        <f>HYPERLINK("https://www.boe.es/gazeta/dias/1806/12/02/pdfs/GMD-1806-98.pdf#page=3","Abrir facsímil")</f>
        <v>Abrir facsímil</v>
      </c>
      <c r="K5130" s="15" t="s">
        <v>22</v>
      </c>
    </row>
    <row r="5131" spans="1:11" ht="42" customHeight="1">
      <c r="A5131" s="4" t="s">
        <v>11418</v>
      </c>
      <c r="B5131" s="5" t="s">
        <v>11419</v>
      </c>
      <c r="C5131" s="5" t="s">
        <v>17</v>
      </c>
      <c r="D5131" s="5" t="s">
        <v>18</v>
      </c>
      <c r="E5131" s="5" t="s">
        <v>76</v>
      </c>
      <c r="F5131" s="9">
        <v>98</v>
      </c>
      <c r="G5131" s="9">
        <v>1036</v>
      </c>
      <c r="H5131" s="5" t="s">
        <v>20</v>
      </c>
      <c r="I5131" s="5" t="s">
        <v>11426</v>
      </c>
      <c r="J5131" s="12" t="str">
        <f>HYPERLINK("https://www.boe.es/gazeta/dias/1806/12/02/pdfs/GMD-1806-98.pdf#page=4","Abrir facsímil")</f>
        <v>Abrir facsímil</v>
      </c>
      <c r="K5131" s="15" t="s">
        <v>22</v>
      </c>
    </row>
    <row r="5132" spans="1:11" ht="42" customHeight="1">
      <c r="A5132" s="4" t="s">
        <v>11418</v>
      </c>
      <c r="B5132" s="5" t="s">
        <v>11419</v>
      </c>
      <c r="C5132" s="5" t="s">
        <v>17</v>
      </c>
      <c r="D5132" s="5" t="s">
        <v>18</v>
      </c>
      <c r="E5132" s="5" t="s">
        <v>76</v>
      </c>
      <c r="F5132" s="9">
        <v>98</v>
      </c>
      <c r="G5132" s="9">
        <v>1038</v>
      </c>
      <c r="H5132" s="5" t="s">
        <v>20</v>
      </c>
      <c r="I5132" s="5" t="s">
        <v>11427</v>
      </c>
      <c r="J5132" s="12" t="str">
        <f>HYPERLINK("https://www.boe.es/gazeta/dias/1806/12/02/pdfs/GMD-1806-98.pdf#page=6","Abrir facsímil")</f>
        <v>Abrir facsímil</v>
      </c>
      <c r="K5132" s="15" t="s">
        <v>22</v>
      </c>
    </row>
    <row r="5133" spans="1:11" ht="42" customHeight="1">
      <c r="A5133" s="4" t="s">
        <v>11418</v>
      </c>
      <c r="B5133" s="5" t="s">
        <v>11419</v>
      </c>
      <c r="C5133" s="5" t="s">
        <v>36</v>
      </c>
      <c r="D5133" s="5" t="s">
        <v>37</v>
      </c>
      <c r="E5133" s="5" t="s">
        <v>181</v>
      </c>
      <c r="F5133" s="9">
        <v>99</v>
      </c>
      <c r="G5133" s="9">
        <v>1050</v>
      </c>
      <c r="H5133" s="5" t="s">
        <v>20</v>
      </c>
      <c r="I5133" s="5" t="s">
        <v>11428</v>
      </c>
      <c r="J5133" s="12" t="str">
        <f>HYPERLINK("https://www.boe.es/gazeta/dias/1806/12/05/pdfs/GMD-1806-99.pdf#page=6","Abrir facsímil")</f>
        <v>Abrir facsímil</v>
      </c>
      <c r="K5133" s="15" t="s">
        <v>22</v>
      </c>
    </row>
    <row r="5134" spans="1:11" ht="42" customHeight="1">
      <c r="A5134" s="4" t="s">
        <v>11418</v>
      </c>
      <c r="B5134" s="5" t="s">
        <v>11419</v>
      </c>
      <c r="C5134" s="5" t="s">
        <v>69</v>
      </c>
      <c r="D5134" s="5" t="s">
        <v>70</v>
      </c>
      <c r="E5134" s="5" t="s">
        <v>312</v>
      </c>
      <c r="F5134" s="9">
        <v>100</v>
      </c>
      <c r="G5134" s="9">
        <v>1062</v>
      </c>
      <c r="H5134" s="5" t="s">
        <v>20</v>
      </c>
      <c r="I5134" s="5" t="s">
        <v>11429</v>
      </c>
      <c r="J5134" s="12" t="str">
        <f>HYPERLINK("https://www.boe.es/gazeta/dias/1806/12/09/pdfs/GMD-1806-100.pdf#page=6","Abrir facsímil")</f>
        <v>Abrir facsímil</v>
      </c>
      <c r="K5134" s="15" t="s">
        <v>22</v>
      </c>
    </row>
    <row r="5135" spans="1:11" ht="42" customHeight="1">
      <c r="A5135" s="4" t="s">
        <v>11418</v>
      </c>
      <c r="B5135" s="5" t="s">
        <v>11419</v>
      </c>
      <c r="C5135" s="5" t="s">
        <v>31</v>
      </c>
      <c r="D5135" s="5" t="s">
        <v>32</v>
      </c>
      <c r="E5135" s="5" t="s">
        <v>28</v>
      </c>
      <c r="F5135" s="9">
        <v>102</v>
      </c>
      <c r="G5135" s="9">
        <v>1082</v>
      </c>
      <c r="H5135" s="5" t="s">
        <v>20</v>
      </c>
      <c r="I5135" s="5" t="s">
        <v>11430</v>
      </c>
      <c r="J5135" s="12" t="str">
        <f>HYPERLINK("https://www.boe.es/gazeta/dias/1806/12/16/pdfs/GMD-1806-102.pdf#page=6","Abrir facsímil")</f>
        <v>Abrir facsímil</v>
      </c>
      <c r="K5135" s="15" t="s">
        <v>22</v>
      </c>
    </row>
    <row r="5136" spans="1:11" ht="42" customHeight="1">
      <c r="A5136" s="4" t="s">
        <v>11418</v>
      </c>
      <c r="B5136" s="5" t="s">
        <v>11419</v>
      </c>
      <c r="C5136" s="5" t="s">
        <v>31</v>
      </c>
      <c r="D5136" s="5" t="s">
        <v>32</v>
      </c>
      <c r="E5136" s="5" t="s">
        <v>245</v>
      </c>
      <c r="F5136" s="9">
        <v>106</v>
      </c>
      <c r="G5136" s="9">
        <v>1120</v>
      </c>
      <c r="H5136" s="5" t="s">
        <v>20</v>
      </c>
      <c r="I5136" s="5" t="s">
        <v>11431</v>
      </c>
      <c r="J5136" s="12" t="str">
        <f>HYPERLINK("https://www.boe.es/gazeta/dias/1806/12/26/pdfs/GMD-1806-106.pdf#page=4","Abrir facsímil")</f>
        <v>Abrir facsímil</v>
      </c>
      <c r="K5136" s="15" t="s">
        <v>22</v>
      </c>
    </row>
    <row r="5137" spans="1:11" ht="42" customHeight="1">
      <c r="A5137" s="4" t="s">
        <v>11418</v>
      </c>
      <c r="B5137" s="5" t="s">
        <v>11419</v>
      </c>
      <c r="C5137" s="5" t="s">
        <v>69</v>
      </c>
      <c r="D5137" s="5" t="s">
        <v>70</v>
      </c>
      <c r="E5137" s="5" t="s">
        <v>1031</v>
      </c>
      <c r="F5137" s="9">
        <v>107</v>
      </c>
      <c r="G5137" s="9">
        <v>1127</v>
      </c>
      <c r="H5137" s="5" t="s">
        <v>20</v>
      </c>
      <c r="I5137" s="5" t="s">
        <v>11432</v>
      </c>
      <c r="J5137" s="12" t="str">
        <f>HYPERLINK("https://www.boe.es/gazeta/dias/1806/12/30/pdfs/GMD-1806-107.pdf#page=3","Abrir facsímil")</f>
        <v>Abrir facsímil</v>
      </c>
      <c r="K5137" s="15" t="s">
        <v>22</v>
      </c>
    </row>
    <row r="5138" spans="1:11" ht="42" customHeight="1">
      <c r="A5138" s="4" t="s">
        <v>11433</v>
      </c>
      <c r="B5138" s="5" t="s">
        <v>11434</v>
      </c>
      <c r="C5138" s="5" t="s">
        <v>31</v>
      </c>
      <c r="D5138" s="5" t="s">
        <v>32</v>
      </c>
      <c r="E5138" s="5" t="s">
        <v>127</v>
      </c>
      <c r="F5138" s="9">
        <v>81</v>
      </c>
      <c r="G5138" s="9">
        <v>837</v>
      </c>
      <c r="H5138" s="5" t="s">
        <v>20</v>
      </c>
      <c r="I5138" s="5" t="s">
        <v>11435</v>
      </c>
      <c r="J5138" s="12" t="str">
        <f>HYPERLINK("https://www.boe.es/gazeta/dias/1806/10/03/pdfs/GMD-1806-81.pdf#page=5","Abrir facsímil")</f>
        <v>Abrir facsímil</v>
      </c>
      <c r="K5138" s="15" t="s">
        <v>22</v>
      </c>
    </row>
    <row r="5139" spans="1:11" ht="42" customHeight="1">
      <c r="A5139" s="4" t="s">
        <v>11436</v>
      </c>
      <c r="B5139" s="5" t="s">
        <v>11437</v>
      </c>
      <c r="C5139" s="5" t="s">
        <v>31</v>
      </c>
      <c r="D5139" s="5" t="s">
        <v>32</v>
      </c>
      <c r="E5139" s="5" t="s">
        <v>297</v>
      </c>
      <c r="F5139" s="9">
        <v>94</v>
      </c>
      <c r="G5139" s="9">
        <v>987</v>
      </c>
      <c r="H5139" s="5" t="s">
        <v>20</v>
      </c>
      <c r="I5139" s="5" t="s">
        <v>11438</v>
      </c>
      <c r="J5139" s="12" t="str">
        <f>HYPERLINK("https://www.boe.es/gazeta/dias/1806/11/18/pdfs/GMD-1806-94.pdf#page=7","Abrir facsímil")</f>
        <v>Abrir facsímil</v>
      </c>
      <c r="K5139" s="15" t="s">
        <v>22</v>
      </c>
    </row>
    <row r="5140" spans="1:11" ht="42" customHeight="1">
      <c r="A5140" s="4" t="s">
        <v>11439</v>
      </c>
      <c r="B5140" s="5" t="s">
        <v>11439</v>
      </c>
      <c r="C5140" s="5" t="s">
        <v>69</v>
      </c>
      <c r="D5140" s="5" t="s">
        <v>70</v>
      </c>
      <c r="E5140" s="5" t="s">
        <v>306</v>
      </c>
      <c r="F5140" s="9">
        <v>59</v>
      </c>
      <c r="G5140" s="9">
        <v>608</v>
      </c>
      <c r="H5140" s="5" t="s">
        <v>20</v>
      </c>
      <c r="I5140" s="5" t="s">
        <v>11440</v>
      </c>
      <c r="J5140" s="12" t="str">
        <f>HYPERLINK("https://www.boe.es/gazeta/dias/1806/07/18/pdfs/GMD-1806-59.pdf#page=4","Abrir facsímil")</f>
        <v>Abrir facsímil</v>
      </c>
      <c r="K5140" s="15" t="s">
        <v>22</v>
      </c>
    </row>
    <row r="5141" spans="1:11" ht="42" customHeight="1">
      <c r="A5141" s="4" t="s">
        <v>11441</v>
      </c>
      <c r="B5141" s="5" t="s">
        <v>11441</v>
      </c>
      <c r="C5141" s="5" t="s">
        <v>69</v>
      </c>
      <c r="D5141" s="5" t="s">
        <v>70</v>
      </c>
      <c r="E5141" s="5" t="s">
        <v>110</v>
      </c>
      <c r="F5141" s="9">
        <v>55</v>
      </c>
      <c r="G5141" s="9">
        <v>569</v>
      </c>
      <c r="H5141" s="5" t="s">
        <v>20</v>
      </c>
      <c r="I5141" s="5" t="s">
        <v>11442</v>
      </c>
      <c r="J5141" s="12" t="str">
        <f>HYPERLINK("https://www.boe.es/gazeta/dias/1806/07/04/pdfs/GMD-1806-55.pdf#page=5","Abrir facsímil")</f>
        <v>Abrir facsímil</v>
      </c>
      <c r="K5141" s="15" t="s">
        <v>22</v>
      </c>
    </row>
    <row r="5142" spans="1:11" ht="42" customHeight="1">
      <c r="A5142" s="4" t="s">
        <v>11443</v>
      </c>
      <c r="B5142" s="5" t="s">
        <v>11443</v>
      </c>
      <c r="C5142" s="5" t="s">
        <v>31</v>
      </c>
      <c r="D5142" s="5" t="s">
        <v>32</v>
      </c>
      <c r="E5142" s="5" t="s">
        <v>383</v>
      </c>
      <c r="F5142" s="9">
        <v>54</v>
      </c>
      <c r="G5142" s="9">
        <v>560</v>
      </c>
      <c r="H5142" s="5" t="s">
        <v>20</v>
      </c>
      <c r="I5142" s="5" t="s">
        <v>11444</v>
      </c>
      <c r="J5142" s="12" t="str">
        <f>HYPERLINK("https://www.boe.es/gazeta/dias/1806/07/01/pdfs/GMD-1806-54.pdf#page=4","Abrir facsímil")</f>
        <v>Abrir facsímil</v>
      </c>
      <c r="K5142" s="15" t="s">
        <v>22</v>
      </c>
    </row>
    <row r="5143" spans="1:11" ht="42" customHeight="1">
      <c r="A5143" s="4" t="s">
        <v>11445</v>
      </c>
      <c r="B5143" s="5" t="s">
        <v>11445</v>
      </c>
      <c r="C5143" s="5" t="s">
        <v>69</v>
      </c>
      <c r="D5143" s="5" t="s">
        <v>70</v>
      </c>
      <c r="E5143" s="5" t="s">
        <v>38</v>
      </c>
      <c r="F5143" s="9">
        <v>92</v>
      </c>
      <c r="G5143" s="9">
        <v>953</v>
      </c>
      <c r="H5143" s="5" t="s">
        <v>20</v>
      </c>
      <c r="I5143" s="5" t="s">
        <v>11446</v>
      </c>
      <c r="J5143" s="12" t="str">
        <f>HYPERLINK("https://www.boe.es/gazeta/dias/1806/11/11/pdfs/GMD-1806-92.pdf#page=5","Abrir facsímil")</f>
        <v>Abrir facsímil</v>
      </c>
      <c r="K5143" s="15" t="s">
        <v>22</v>
      </c>
    </row>
    <row r="5144" spans="1:11" ht="42" customHeight="1">
      <c r="A5144" s="4" t="s">
        <v>11447</v>
      </c>
      <c r="B5144" s="5" t="s">
        <v>11448</v>
      </c>
      <c r="C5144" s="5" t="s">
        <v>69</v>
      </c>
      <c r="D5144" s="5" t="s">
        <v>70</v>
      </c>
      <c r="E5144" s="5" t="s">
        <v>570</v>
      </c>
      <c r="F5144" s="9">
        <v>93</v>
      </c>
      <c r="G5144" s="9">
        <v>967</v>
      </c>
      <c r="H5144" s="5" t="s">
        <v>20</v>
      </c>
      <c r="I5144" s="5" t="s">
        <v>11449</v>
      </c>
      <c r="J5144" s="12" t="str">
        <f>HYPERLINK("https://www.boe.es/gazeta/dias/1806/11/14/pdfs/GMD-1806-93.pdf#page=3","Abrir facsímil")</f>
        <v>Abrir facsímil</v>
      </c>
      <c r="K5144" s="15" t="s">
        <v>22</v>
      </c>
    </row>
    <row r="5145" spans="1:11" ht="42" customHeight="1">
      <c r="A5145" s="4" t="s">
        <v>11447</v>
      </c>
      <c r="B5145" s="5" t="s">
        <v>11448</v>
      </c>
      <c r="C5145" s="5" t="s">
        <v>69</v>
      </c>
      <c r="D5145" s="5" t="s">
        <v>70</v>
      </c>
      <c r="E5145" s="5" t="s">
        <v>312</v>
      </c>
      <c r="F5145" s="9">
        <v>100</v>
      </c>
      <c r="G5145" s="9">
        <v>1061</v>
      </c>
      <c r="H5145" s="5" t="s">
        <v>20</v>
      </c>
      <c r="I5145" s="5" t="s">
        <v>11450</v>
      </c>
      <c r="J5145" s="12" t="str">
        <f>HYPERLINK("https://www.boe.es/gazeta/dias/1806/12/09/pdfs/GMD-1806-100.pdf#page=5","Abrir facsímil")</f>
        <v>Abrir facsímil</v>
      </c>
      <c r="K5145" s="15" t="s">
        <v>22</v>
      </c>
    </row>
    <row r="5146" spans="1:11" ht="42" customHeight="1">
      <c r="A5146" s="4" t="s">
        <v>11451</v>
      </c>
      <c r="B5146" s="5" t="s">
        <v>11452</v>
      </c>
      <c r="C5146" s="5" t="s">
        <v>69</v>
      </c>
      <c r="D5146" s="5" t="s">
        <v>70</v>
      </c>
      <c r="E5146" s="5" t="s">
        <v>297</v>
      </c>
      <c r="F5146" s="9">
        <v>94</v>
      </c>
      <c r="G5146" s="9">
        <v>983</v>
      </c>
      <c r="H5146" s="5" t="s">
        <v>20</v>
      </c>
      <c r="I5146" s="5" t="s">
        <v>11453</v>
      </c>
      <c r="J5146" s="12" t="str">
        <f>HYPERLINK("https://www.boe.es/gazeta/dias/1806/11/18/pdfs/GMD-1806-94.pdf#page=3","Abrir facsímil")</f>
        <v>Abrir facsímil</v>
      </c>
      <c r="K5146" s="15" t="s">
        <v>22</v>
      </c>
    </row>
    <row r="5147" spans="1:11" ht="42" customHeight="1">
      <c r="A5147" s="4" t="s">
        <v>11454</v>
      </c>
      <c r="B5147" s="5" t="s">
        <v>11455</v>
      </c>
      <c r="C5147" s="5" t="s">
        <v>69</v>
      </c>
      <c r="D5147" s="5" t="s">
        <v>70</v>
      </c>
      <c r="E5147" s="5" t="s">
        <v>702</v>
      </c>
      <c r="F5147" s="9">
        <v>43</v>
      </c>
      <c r="G5147" s="9">
        <v>426</v>
      </c>
      <c r="H5147" s="5" t="s">
        <v>20</v>
      </c>
      <c r="I5147" s="5" t="s">
        <v>11456</v>
      </c>
      <c r="J5147" s="12" t="str">
        <f>HYPERLINK("https://www.boe.es/gazeta/dias/1806/05/23/pdfs/GMD-1806-43.pdf#page=2","Abrir facsímil")</f>
        <v>Abrir facsímil</v>
      </c>
      <c r="K5147" s="15" t="s">
        <v>22</v>
      </c>
    </row>
    <row r="5148" spans="1:11" ht="42" customHeight="1">
      <c r="A5148" s="4" t="s">
        <v>11457</v>
      </c>
      <c r="B5148" s="5" t="s">
        <v>11458</v>
      </c>
      <c r="C5148" s="5" t="s">
        <v>31</v>
      </c>
      <c r="D5148" s="5" t="s">
        <v>32</v>
      </c>
      <c r="E5148" s="5" t="s">
        <v>48</v>
      </c>
      <c r="F5148" s="9">
        <v>67</v>
      </c>
      <c r="G5148" s="9">
        <v>700</v>
      </c>
      <c r="H5148" s="5" t="s">
        <v>20</v>
      </c>
      <c r="I5148" s="5" t="s">
        <v>11459</v>
      </c>
      <c r="J5148" s="12" t="str">
        <f>HYPERLINK("https://www.boe.es/gazeta/dias/1806/08/15/pdfs/GMD-1806-67.pdf#page=8","Abrir facsímil")</f>
        <v>Abrir facsímil</v>
      </c>
      <c r="K5148" s="15" t="s">
        <v>22</v>
      </c>
    </row>
    <row r="5149" spans="1:11" ht="42" customHeight="1">
      <c r="A5149" s="4" t="s">
        <v>11460</v>
      </c>
      <c r="B5149" s="5" t="s">
        <v>11461</v>
      </c>
      <c r="C5149" s="5" t="s">
        <v>36</v>
      </c>
      <c r="D5149" s="5" t="s">
        <v>37</v>
      </c>
      <c r="E5149" s="5" t="s">
        <v>238</v>
      </c>
      <c r="F5149" s="9">
        <v>18</v>
      </c>
      <c r="G5149" s="9">
        <v>164</v>
      </c>
      <c r="H5149" s="5" t="s">
        <v>20</v>
      </c>
      <c r="I5149" s="5" t="s">
        <v>11462</v>
      </c>
      <c r="J5149" s="12" t="str">
        <f>HYPERLINK("https://www.boe.es/gazeta/dias/1806/02/25/pdfs/GMD-1806-18.pdf#page=12","Abrir facsímil")</f>
        <v>Abrir facsímil</v>
      </c>
      <c r="K5149" s="15" t="s">
        <v>22</v>
      </c>
    </row>
    <row r="5150" spans="1:11" ht="42" customHeight="1">
      <c r="A5150" s="4" t="s">
        <v>11463</v>
      </c>
      <c r="B5150" s="5" t="s">
        <v>11463</v>
      </c>
      <c r="C5150" s="5" t="s">
        <v>69</v>
      </c>
      <c r="D5150" s="5" t="s">
        <v>70</v>
      </c>
      <c r="E5150" s="5" t="s">
        <v>405</v>
      </c>
      <c r="F5150" s="9">
        <v>80</v>
      </c>
      <c r="G5150" s="9">
        <v>825</v>
      </c>
      <c r="H5150" s="5" t="s">
        <v>20</v>
      </c>
      <c r="I5150" s="5" t="s">
        <v>11464</v>
      </c>
      <c r="J5150" s="12" t="str">
        <f>HYPERLINK("https://www.boe.es/gazeta/dias/1806/09/30/pdfs/GMD-1806-80.pdf#page=5","Abrir facsímil")</f>
        <v>Abrir facsímil</v>
      </c>
      <c r="K5150" s="15" t="s">
        <v>22</v>
      </c>
    </row>
    <row r="5151" spans="1:11" ht="42" customHeight="1">
      <c r="A5151" s="4" t="s">
        <v>11463</v>
      </c>
      <c r="B5151" s="5" t="s">
        <v>11463</v>
      </c>
      <c r="C5151" s="5" t="s">
        <v>31</v>
      </c>
      <c r="D5151" s="5" t="s">
        <v>32</v>
      </c>
      <c r="E5151" s="5" t="s">
        <v>140</v>
      </c>
      <c r="F5151" s="9">
        <v>83</v>
      </c>
      <c r="G5151" s="9">
        <v>857</v>
      </c>
      <c r="H5151" s="5" t="s">
        <v>20</v>
      </c>
      <c r="I5151" s="5" t="s">
        <v>11465</v>
      </c>
      <c r="J5151" s="12" t="str">
        <f>HYPERLINK("https://www.boe.es/gazeta/dias/1806/10/10/pdfs/GMD-1806-83.pdf#page=5","Abrir facsímil")</f>
        <v>Abrir facsímil</v>
      </c>
      <c r="K5151" s="15" t="s">
        <v>22</v>
      </c>
    </row>
    <row r="5152" spans="1:11" ht="42" customHeight="1">
      <c r="A5152" s="4" t="s">
        <v>11466</v>
      </c>
      <c r="B5152" s="5" t="s">
        <v>11467</v>
      </c>
      <c r="C5152" s="5" t="s">
        <v>69</v>
      </c>
      <c r="D5152" s="5" t="s">
        <v>70</v>
      </c>
      <c r="E5152" s="5" t="s">
        <v>140</v>
      </c>
      <c r="F5152" s="9">
        <v>83</v>
      </c>
      <c r="G5152" s="9">
        <v>857</v>
      </c>
      <c r="H5152" s="5" t="s">
        <v>20</v>
      </c>
      <c r="I5152" s="5" t="s">
        <v>11468</v>
      </c>
      <c r="J5152" s="12" t="str">
        <f>HYPERLINK("https://www.boe.es/gazeta/dias/1806/10/10/pdfs/GMD-1806-83.pdf#page=5","Abrir facsímil")</f>
        <v>Abrir facsímil</v>
      </c>
      <c r="K5152" s="15" t="s">
        <v>22</v>
      </c>
    </row>
    <row r="5153" spans="1:11" ht="42" customHeight="1">
      <c r="A5153" s="4" t="s">
        <v>11469</v>
      </c>
      <c r="B5153" s="5" t="s">
        <v>11470</v>
      </c>
      <c r="C5153" s="5" t="s">
        <v>69</v>
      </c>
      <c r="D5153" s="5" t="s">
        <v>70</v>
      </c>
      <c r="E5153" s="5" t="s">
        <v>680</v>
      </c>
      <c r="F5153" s="9">
        <v>97</v>
      </c>
      <c r="G5153" s="9">
        <v>1024</v>
      </c>
      <c r="H5153" s="5" t="s">
        <v>20</v>
      </c>
      <c r="I5153" s="5" t="s">
        <v>11471</v>
      </c>
      <c r="J5153" s="12" t="str">
        <f>HYPERLINK("https://www.boe.es/gazeta/dias/1806/11/28/pdfs/GMD-1806-97.pdf#page=4","Abrir facsímil")</f>
        <v>Abrir facsímil</v>
      </c>
      <c r="K5153" s="15" t="s">
        <v>22</v>
      </c>
    </row>
    <row r="5154" spans="1:11" ht="42" customHeight="1">
      <c r="A5154" s="4" t="s">
        <v>11472</v>
      </c>
      <c r="B5154" s="5" t="s">
        <v>11473</v>
      </c>
      <c r="C5154" s="5" t="s">
        <v>69</v>
      </c>
      <c r="D5154" s="5" t="s">
        <v>70</v>
      </c>
      <c r="E5154" s="5" t="s">
        <v>227</v>
      </c>
      <c r="F5154" s="9">
        <v>27</v>
      </c>
      <c r="G5154" s="9">
        <v>267</v>
      </c>
      <c r="H5154" s="5" t="s">
        <v>20</v>
      </c>
      <c r="I5154" s="5" t="s">
        <v>11474</v>
      </c>
      <c r="J5154" s="12" t="str">
        <f>HYPERLINK("https://www.boe.es/gazeta/dias/1806/03/28/pdfs/GMD-1806-27.pdf#page=7","Abrir facsímil")</f>
        <v>Abrir facsímil</v>
      </c>
      <c r="K5154" s="15" t="s">
        <v>22</v>
      </c>
    </row>
    <row r="5155" spans="1:11" ht="42" customHeight="1">
      <c r="A5155" s="4" t="s">
        <v>11475</v>
      </c>
      <c r="B5155" s="5" t="s">
        <v>11476</v>
      </c>
      <c r="C5155" s="5" t="s">
        <v>31</v>
      </c>
      <c r="D5155" s="5" t="s">
        <v>32</v>
      </c>
      <c r="E5155" s="5" t="s">
        <v>383</v>
      </c>
      <c r="F5155" s="9">
        <v>54</v>
      </c>
      <c r="G5155" s="9">
        <v>557</v>
      </c>
      <c r="H5155" s="5" t="s">
        <v>20</v>
      </c>
      <c r="I5155" s="5" t="s">
        <v>11477</v>
      </c>
      <c r="J5155" s="12" t="str">
        <f>HYPERLINK("https://www.boe.es/gazeta/dias/1806/07/01/pdfs/GMD-1806-54.pdf#page=1","Abrir facsímil")</f>
        <v>Abrir facsímil</v>
      </c>
      <c r="K5155" s="15" t="s">
        <v>22</v>
      </c>
    </row>
    <row r="5156" spans="1:11" ht="42" customHeight="1">
      <c r="A5156" s="4" t="s">
        <v>11475</v>
      </c>
      <c r="B5156" s="5" t="s">
        <v>11476</v>
      </c>
      <c r="C5156" s="5" t="s">
        <v>31</v>
      </c>
      <c r="D5156" s="5" t="s">
        <v>32</v>
      </c>
      <c r="E5156" s="5" t="s">
        <v>301</v>
      </c>
      <c r="F5156" s="9">
        <v>75</v>
      </c>
      <c r="G5156" s="9">
        <v>770</v>
      </c>
      <c r="H5156" s="5" t="s">
        <v>20</v>
      </c>
      <c r="I5156" s="5" t="s">
        <v>11478</v>
      </c>
      <c r="J5156" s="12" t="str">
        <f>HYPERLINK("https://www.boe.es/gazeta/dias/1806/09/12/pdfs/GMD-1806-75.pdf#page=2","Abrir facsímil")</f>
        <v>Abrir facsímil</v>
      </c>
      <c r="K5156" s="15" t="s">
        <v>22</v>
      </c>
    </row>
    <row r="5157" spans="1:11" ht="42" customHeight="1">
      <c r="A5157" s="4" t="s">
        <v>11479</v>
      </c>
      <c r="B5157" s="5" t="s">
        <v>11480</v>
      </c>
      <c r="C5157" s="5" t="s">
        <v>69</v>
      </c>
      <c r="D5157" s="5" t="s">
        <v>70</v>
      </c>
      <c r="E5157" s="5" t="s">
        <v>33</v>
      </c>
      <c r="F5157" s="9">
        <v>82</v>
      </c>
      <c r="G5157" s="9">
        <v>841</v>
      </c>
      <c r="H5157" s="5" t="s">
        <v>20</v>
      </c>
      <c r="I5157" s="5" t="s">
        <v>11481</v>
      </c>
      <c r="J5157" s="12" t="str">
        <f>HYPERLINK("https://www.boe.es/gazeta/dias/1806/10/07/pdfs/GMD-1806-82.pdf#page=1","Abrir facsímil")</f>
        <v>Abrir facsímil</v>
      </c>
      <c r="K5157" s="15" t="s">
        <v>22</v>
      </c>
    </row>
    <row r="5158" spans="1:11" ht="42" customHeight="1">
      <c r="A5158" s="4" t="s">
        <v>11479</v>
      </c>
      <c r="B5158" s="5" t="s">
        <v>11480</v>
      </c>
      <c r="C5158" s="5" t="s">
        <v>31</v>
      </c>
      <c r="D5158" s="5" t="s">
        <v>32</v>
      </c>
      <c r="E5158" s="5" t="s">
        <v>455</v>
      </c>
      <c r="F5158" s="9">
        <v>85</v>
      </c>
      <c r="G5158" s="9">
        <v>873</v>
      </c>
      <c r="H5158" s="5" t="s">
        <v>20</v>
      </c>
      <c r="I5158" s="5" t="s">
        <v>11482</v>
      </c>
      <c r="J5158" s="12" t="str">
        <f>HYPERLINK("https://www.boe.es/gazeta/dias/1806/10/17/pdfs/GMD-1806-85.pdf#page=1","Abrir facsímil")</f>
        <v>Abrir facsímil</v>
      </c>
      <c r="K5158" s="15" t="s">
        <v>22</v>
      </c>
    </row>
    <row r="5159" spans="1:11" ht="42" customHeight="1">
      <c r="A5159" s="4" t="s">
        <v>11483</v>
      </c>
      <c r="B5159" s="5" t="s">
        <v>11483</v>
      </c>
      <c r="C5159" s="5" t="s">
        <v>69</v>
      </c>
      <c r="D5159" s="5" t="s">
        <v>70</v>
      </c>
      <c r="E5159" s="5" t="s">
        <v>191</v>
      </c>
      <c r="F5159" s="9">
        <v>103</v>
      </c>
      <c r="G5159" s="9">
        <v>1092</v>
      </c>
      <c r="H5159" s="5" t="s">
        <v>20</v>
      </c>
      <c r="I5159" s="5" t="s">
        <v>11484</v>
      </c>
      <c r="J5159" s="12" t="str">
        <f>HYPERLINK("https://www.boe.es/gazeta/dias/1806/12/19/pdfs/GMD-1806-103.pdf#page=4","Abrir facsímil")</f>
        <v>Abrir facsímil</v>
      </c>
      <c r="K5159" s="15" t="s">
        <v>22</v>
      </c>
    </row>
    <row r="5160" spans="1:11" ht="42" customHeight="1">
      <c r="A5160" s="4" t="s">
        <v>11485</v>
      </c>
      <c r="B5160" s="5" t="s">
        <v>11486</v>
      </c>
      <c r="C5160" s="5" t="s">
        <v>36</v>
      </c>
      <c r="D5160" s="5" t="s">
        <v>37</v>
      </c>
      <c r="E5160" s="5" t="s">
        <v>306</v>
      </c>
      <c r="F5160" s="9">
        <v>59</v>
      </c>
      <c r="G5160" s="9">
        <v>613</v>
      </c>
      <c r="H5160" s="5" t="s">
        <v>20</v>
      </c>
      <c r="I5160" s="5" t="s">
        <v>11487</v>
      </c>
      <c r="J5160" s="12" t="str">
        <f>HYPERLINK("https://www.boe.es/gazeta/dias/1806/07/18/pdfs/GMD-1806-59.pdf#page=9","Abrir facsímil")</f>
        <v>Abrir facsímil</v>
      </c>
      <c r="K5160" s="15" t="s">
        <v>22</v>
      </c>
    </row>
    <row r="5161" spans="1:11" ht="42" customHeight="1">
      <c r="A5161" s="4" t="s">
        <v>11488</v>
      </c>
      <c r="B5161" s="5" t="s">
        <v>11488</v>
      </c>
      <c r="C5161" s="5" t="s">
        <v>69</v>
      </c>
      <c r="D5161" s="5" t="s">
        <v>70</v>
      </c>
      <c r="E5161" s="5" t="s">
        <v>405</v>
      </c>
      <c r="F5161" s="9">
        <v>80</v>
      </c>
      <c r="G5161" s="9">
        <v>829</v>
      </c>
      <c r="H5161" s="5" t="s">
        <v>20</v>
      </c>
      <c r="I5161" s="5" t="s">
        <v>11489</v>
      </c>
      <c r="J5161" s="12" t="str">
        <f>HYPERLINK("https://www.boe.es/gazeta/dias/1806/09/30/pdfs/GMD-1806-80.pdf#page=9","Abrir facsímil")</f>
        <v>Abrir facsímil</v>
      </c>
      <c r="K5161" s="15" t="s">
        <v>22</v>
      </c>
    </row>
    <row r="5162" spans="1:11" ht="42" customHeight="1">
      <c r="A5162" s="4" t="s">
        <v>11490</v>
      </c>
      <c r="B5162" s="5" t="s">
        <v>11491</v>
      </c>
      <c r="C5162" s="5" t="s">
        <v>31</v>
      </c>
      <c r="D5162" s="5" t="s">
        <v>32</v>
      </c>
      <c r="E5162" s="5" t="s">
        <v>570</v>
      </c>
      <c r="F5162" s="9">
        <v>93</v>
      </c>
      <c r="G5162" s="9">
        <v>979</v>
      </c>
      <c r="H5162" s="5" t="s">
        <v>20</v>
      </c>
      <c r="I5162" s="5" t="s">
        <v>11492</v>
      </c>
      <c r="J5162" s="12" t="str">
        <f>HYPERLINK("https://www.boe.es/gazeta/dias/1806/11/14/pdfs/GMD-1806-93.pdf#page=15","Abrir facsímil")</f>
        <v>Abrir facsímil</v>
      </c>
      <c r="K5162" s="15" t="s">
        <v>22</v>
      </c>
    </row>
    <row r="5163" spans="1:11" ht="42" customHeight="1">
      <c r="A5163" s="4" t="s">
        <v>11493</v>
      </c>
      <c r="B5163" s="5" t="s">
        <v>11494</v>
      </c>
      <c r="C5163" s="5" t="s">
        <v>36</v>
      </c>
      <c r="D5163" s="5" t="s">
        <v>37</v>
      </c>
      <c r="E5163" s="5" t="s">
        <v>48</v>
      </c>
      <c r="F5163" s="9">
        <v>67</v>
      </c>
      <c r="G5163" s="9">
        <v>704</v>
      </c>
      <c r="H5163" s="5" t="s">
        <v>20</v>
      </c>
      <c r="I5163" s="5" t="s">
        <v>11495</v>
      </c>
      <c r="J5163" s="12" t="str">
        <f>HYPERLINK("https://www.boe.es/gazeta/dias/1806/08/15/pdfs/GMD-1806-67.pdf#page=12","Abrir facsímil")</f>
        <v>Abrir facsímil</v>
      </c>
      <c r="K5163" s="15" t="s">
        <v>22</v>
      </c>
    </row>
    <row r="5164" spans="1:11" ht="42" customHeight="1">
      <c r="A5164" s="4" t="s">
        <v>11496</v>
      </c>
      <c r="B5164" s="5" t="s">
        <v>11497</v>
      </c>
      <c r="C5164" s="5" t="s">
        <v>17</v>
      </c>
      <c r="D5164" s="5" t="s">
        <v>18</v>
      </c>
      <c r="E5164" s="5" t="s">
        <v>348</v>
      </c>
      <c r="F5164" s="9">
        <v>88</v>
      </c>
      <c r="G5164" s="9">
        <v>912</v>
      </c>
      <c r="H5164" s="5" t="s">
        <v>20</v>
      </c>
      <c r="I5164" s="5" t="s">
        <v>11498</v>
      </c>
      <c r="J5164" s="12" t="str">
        <f>HYPERLINK("https://www.boe.es/gazeta/dias/1806/10/28/pdfs/GMD-1806-88.pdf#page=8","Abrir facsímil")</f>
        <v>Abrir facsímil</v>
      </c>
      <c r="K5164" s="15" t="s">
        <v>22</v>
      </c>
    </row>
    <row r="5165" spans="1:11" ht="42" customHeight="1">
      <c r="A5165" s="4" t="s">
        <v>11496</v>
      </c>
      <c r="B5165" s="5" t="s">
        <v>11497</v>
      </c>
      <c r="C5165" s="5" t="s">
        <v>17</v>
      </c>
      <c r="D5165" s="5" t="s">
        <v>18</v>
      </c>
      <c r="E5165" s="5" t="s">
        <v>396</v>
      </c>
      <c r="F5165" s="9">
        <v>91</v>
      </c>
      <c r="G5165" s="9">
        <v>948</v>
      </c>
      <c r="H5165" s="5" t="s">
        <v>20</v>
      </c>
      <c r="I5165" s="5" t="s">
        <v>11499</v>
      </c>
      <c r="J5165" s="12" t="str">
        <f>HYPERLINK("https://www.boe.es/gazeta/dias/1806/11/07/pdfs/GMD-1806-91.pdf#page=12","Abrir facsímil")</f>
        <v>Abrir facsímil</v>
      </c>
      <c r="K5165" s="15" t="s">
        <v>22</v>
      </c>
    </row>
    <row r="5166" spans="1:11" ht="42" customHeight="1">
      <c r="A5166" s="4" t="s">
        <v>11500</v>
      </c>
      <c r="B5166" s="5" t="s">
        <v>11501</v>
      </c>
      <c r="C5166" s="5" t="s">
        <v>42</v>
      </c>
      <c r="D5166" s="5" t="s">
        <v>43</v>
      </c>
      <c r="E5166" s="5" t="s">
        <v>600</v>
      </c>
      <c r="F5166" s="9">
        <v>77</v>
      </c>
      <c r="G5166" s="9">
        <v>794</v>
      </c>
      <c r="H5166" s="5" t="s">
        <v>20</v>
      </c>
      <c r="I5166" s="5" t="s">
        <v>11502</v>
      </c>
      <c r="J5166" s="12" t="str">
        <f>HYPERLINK("https://www.boe.es/gazeta/dias/1806/09/19/pdfs/GMD-1806-77.pdf#page=6","Abrir facsímil")</f>
        <v>Abrir facsímil</v>
      </c>
      <c r="K5166" s="15" t="s">
        <v>22</v>
      </c>
    </row>
    <row r="5167" spans="1:11" ht="42" customHeight="1">
      <c r="A5167" s="4" t="s">
        <v>11503</v>
      </c>
      <c r="B5167" s="5" t="s">
        <v>11504</v>
      </c>
      <c r="C5167" s="5" t="s">
        <v>31</v>
      </c>
      <c r="D5167" s="5" t="s">
        <v>32</v>
      </c>
      <c r="E5167" s="5" t="s">
        <v>96</v>
      </c>
      <c r="F5167" s="9">
        <v>62</v>
      </c>
      <c r="G5167" s="9">
        <v>648</v>
      </c>
      <c r="H5167" s="5" t="s">
        <v>20</v>
      </c>
      <c r="I5167" s="5" t="s">
        <v>11505</v>
      </c>
      <c r="J5167" s="12" t="str">
        <f>HYPERLINK("https://www.boe.es/gazeta/dias/1806/07/29/pdfs/GMD-1806-62.pdf#page=8","Abrir facsímil")</f>
        <v>Abrir facsímil</v>
      </c>
      <c r="K5167" s="15" t="s">
        <v>22</v>
      </c>
    </row>
    <row r="5168" spans="1:11" ht="42" customHeight="1">
      <c r="A5168" s="4" t="s">
        <v>11506</v>
      </c>
      <c r="B5168" s="5" t="s">
        <v>11507</v>
      </c>
      <c r="C5168" s="5" t="s">
        <v>31</v>
      </c>
      <c r="D5168" s="5" t="s">
        <v>32</v>
      </c>
      <c r="E5168" s="5" t="s">
        <v>271</v>
      </c>
      <c r="F5168" s="9">
        <v>6</v>
      </c>
      <c r="G5168" s="9">
        <v>54</v>
      </c>
      <c r="H5168" s="5" t="s">
        <v>20</v>
      </c>
      <c r="I5168" s="5" t="s">
        <v>11508</v>
      </c>
      <c r="J5168" s="12" t="str">
        <f>HYPERLINK("https://www.boe.es/gazeta/dias/1806/01/17/pdfs/GMD-1806-6.pdf#page=10","Abrir facsímil")</f>
        <v>Abrir facsímil</v>
      </c>
      <c r="K5168" s="15" t="s">
        <v>22</v>
      </c>
    </row>
    <row r="5169" spans="1:11" ht="42" customHeight="1">
      <c r="A5169" s="4" t="s">
        <v>11509</v>
      </c>
      <c r="B5169" s="5" t="s">
        <v>11509</v>
      </c>
      <c r="C5169" s="5" t="s">
        <v>42</v>
      </c>
      <c r="D5169" s="5" t="s">
        <v>43</v>
      </c>
      <c r="E5169" s="5" t="s">
        <v>231</v>
      </c>
      <c r="F5169" s="9">
        <v>89</v>
      </c>
      <c r="G5169" s="9">
        <v>921</v>
      </c>
      <c r="H5169" s="5" t="s">
        <v>20</v>
      </c>
      <c r="I5169" s="5" t="s">
        <v>11510</v>
      </c>
      <c r="J5169" s="12" t="str">
        <f>HYPERLINK("https://www.boe.es/gazeta/dias/1806/10/31/pdfs/GMD-1806-89.pdf#page=9","Abrir facsímil")</f>
        <v>Abrir facsímil</v>
      </c>
      <c r="K5169" s="15" t="s">
        <v>22</v>
      </c>
    </row>
    <row r="5170" spans="1:11" ht="42" customHeight="1">
      <c r="A5170" s="4" t="s">
        <v>11511</v>
      </c>
      <c r="B5170" s="5" t="s">
        <v>11511</v>
      </c>
      <c r="C5170" s="5" t="s">
        <v>36</v>
      </c>
      <c r="D5170" s="5" t="s">
        <v>37</v>
      </c>
      <c r="E5170" s="5" t="s">
        <v>161</v>
      </c>
      <c r="F5170" s="9">
        <v>11</v>
      </c>
      <c r="G5170" s="9">
        <v>98</v>
      </c>
      <c r="H5170" s="5" t="s">
        <v>20</v>
      </c>
      <c r="I5170" s="5" t="s">
        <v>11512</v>
      </c>
      <c r="J5170" s="12" t="str">
        <f>HYPERLINK("https://www.boe.es/gazeta/dias/1806/01/31/pdfs/GMD-1806-11.pdf#page=6","Abrir facsímil")</f>
        <v>Abrir facsímil</v>
      </c>
      <c r="K5170" s="15" t="s">
        <v>22</v>
      </c>
    </row>
    <row r="5171" spans="1:11" ht="42" customHeight="1">
      <c r="A5171" s="4" t="s">
        <v>11513</v>
      </c>
      <c r="B5171" s="5" t="s">
        <v>11513</v>
      </c>
      <c r="C5171" s="5" t="s">
        <v>17</v>
      </c>
      <c r="D5171" s="5" t="s">
        <v>18</v>
      </c>
      <c r="E5171" s="5" t="s">
        <v>438</v>
      </c>
      <c r="F5171" s="9">
        <v>70</v>
      </c>
      <c r="G5171" s="9">
        <v>729</v>
      </c>
      <c r="H5171" s="5" t="s">
        <v>20</v>
      </c>
      <c r="I5171" s="5" t="s">
        <v>11514</v>
      </c>
      <c r="J5171" s="12" t="str">
        <f>HYPERLINK("https://www.boe.es/gazeta/dias/1806/08/26/pdfs/GMD-1806-70.pdf#page=5","Abrir facsímil")</f>
        <v>Abrir facsímil</v>
      </c>
      <c r="K5171" s="15" t="s">
        <v>22</v>
      </c>
    </row>
    <row r="5172" spans="1:11" ht="42" customHeight="1">
      <c r="A5172" s="4" t="s">
        <v>11515</v>
      </c>
      <c r="B5172" s="5" t="s">
        <v>11516</v>
      </c>
      <c r="C5172" s="5" t="s">
        <v>31</v>
      </c>
      <c r="D5172" s="5" t="s">
        <v>32</v>
      </c>
      <c r="E5172" s="5" t="s">
        <v>185</v>
      </c>
      <c r="F5172" s="9">
        <v>46</v>
      </c>
      <c r="G5172" s="9">
        <v>469</v>
      </c>
      <c r="H5172" s="5" t="s">
        <v>20</v>
      </c>
      <c r="I5172" s="5" t="s">
        <v>11517</v>
      </c>
      <c r="J5172" s="12" t="str">
        <f>HYPERLINK("https://www.boe.es/gazeta/dias/1806/06/03/pdfs/GMD-1806-46.pdf#page=9","Abrir facsímil")</f>
        <v>Abrir facsímil</v>
      </c>
      <c r="K5172" s="15" t="s">
        <v>22</v>
      </c>
    </row>
    <row r="5173" spans="1:11" ht="42" customHeight="1">
      <c r="A5173" s="4" t="s">
        <v>11518</v>
      </c>
      <c r="B5173" s="5" t="s">
        <v>11519</v>
      </c>
      <c r="C5173" s="5" t="s">
        <v>42</v>
      </c>
      <c r="D5173" s="5" t="s">
        <v>43</v>
      </c>
      <c r="E5173" s="5" t="s">
        <v>367</v>
      </c>
      <c r="F5173" s="9">
        <v>87</v>
      </c>
      <c r="G5173" s="9">
        <v>901</v>
      </c>
      <c r="H5173" s="5" t="s">
        <v>20</v>
      </c>
      <c r="I5173" s="5" t="s">
        <v>11520</v>
      </c>
      <c r="J5173" s="12" t="str">
        <f>HYPERLINK("https://www.boe.es/gazeta/dias/1806/10/24/pdfs/GMD-1806-87.pdf#page=9","Abrir facsímil")</f>
        <v>Abrir facsímil</v>
      </c>
      <c r="K5173" s="15" t="s">
        <v>22</v>
      </c>
    </row>
    <row r="5174" spans="1:11" ht="42" customHeight="1">
      <c r="A5174" s="4" t="s">
        <v>11521</v>
      </c>
      <c r="B5174" s="5" t="s">
        <v>11522</v>
      </c>
      <c r="C5174" s="5" t="s">
        <v>36</v>
      </c>
      <c r="D5174" s="5" t="s">
        <v>37</v>
      </c>
      <c r="E5174" s="5" t="s">
        <v>113</v>
      </c>
      <c r="F5174" s="9">
        <v>28</v>
      </c>
      <c r="G5174" s="9">
        <v>280</v>
      </c>
      <c r="H5174" s="5" t="s">
        <v>20</v>
      </c>
      <c r="I5174" s="5" t="s">
        <v>11523</v>
      </c>
      <c r="J5174" s="12" t="str">
        <f>HYPERLINK("https://www.boe.es/gazeta/dias/1806/04/01/pdfs/GMD-1806-28.pdf#page=8","Abrir facsímil")</f>
        <v>Abrir facsímil</v>
      </c>
      <c r="K5174" s="15" t="s">
        <v>22</v>
      </c>
    </row>
    <row r="5175" spans="1:11" ht="42" customHeight="1">
      <c r="A5175" s="4" t="s">
        <v>11524</v>
      </c>
      <c r="B5175" s="5" t="s">
        <v>11525</v>
      </c>
      <c r="C5175" s="5" t="s">
        <v>31</v>
      </c>
      <c r="D5175" s="5" t="s">
        <v>32</v>
      </c>
      <c r="E5175" s="5" t="s">
        <v>124</v>
      </c>
      <c r="F5175" s="9">
        <v>25</v>
      </c>
      <c r="G5175" s="9">
        <v>245</v>
      </c>
      <c r="H5175" s="5" t="s">
        <v>20</v>
      </c>
      <c r="I5175" s="5" t="s">
        <v>11526</v>
      </c>
      <c r="J5175" s="12" t="str">
        <f>HYPERLINK("https://www.boe.es/gazeta/dias/1806/03/21/pdfs/GMD-1806-25.pdf#page=9","Abrir facsímil")</f>
        <v>Abrir facsímil</v>
      </c>
      <c r="K5175" s="15" t="s">
        <v>22</v>
      </c>
    </row>
    <row r="5176" spans="1:11" ht="42" customHeight="1">
      <c r="A5176" s="4" t="s">
        <v>11527</v>
      </c>
      <c r="B5176" s="5" t="s">
        <v>11528</v>
      </c>
      <c r="C5176" s="5" t="s">
        <v>31</v>
      </c>
      <c r="D5176" s="5" t="s">
        <v>32</v>
      </c>
      <c r="E5176" s="5" t="s">
        <v>348</v>
      </c>
      <c r="F5176" s="9">
        <v>88</v>
      </c>
      <c r="G5176" s="9">
        <v>910</v>
      </c>
      <c r="H5176" s="5" t="s">
        <v>20</v>
      </c>
      <c r="I5176" s="5" t="s">
        <v>11529</v>
      </c>
      <c r="J5176" s="12" t="str">
        <f>HYPERLINK("https://www.boe.es/gazeta/dias/1806/10/28/pdfs/GMD-1806-88.pdf#page=6","Abrir facsímil")</f>
        <v>Abrir facsímil</v>
      </c>
      <c r="K5176" s="15" t="s">
        <v>22</v>
      </c>
    </row>
    <row r="5177" spans="1:11" ht="42" customHeight="1">
      <c r="A5177" s="4" t="s">
        <v>11530</v>
      </c>
      <c r="B5177" s="5" t="s">
        <v>11531</v>
      </c>
      <c r="C5177" s="5" t="s">
        <v>42</v>
      </c>
      <c r="D5177" s="5" t="s">
        <v>43</v>
      </c>
      <c r="E5177" s="5" t="s">
        <v>483</v>
      </c>
      <c r="F5177" s="9">
        <v>58</v>
      </c>
      <c r="G5177" s="9">
        <v>602</v>
      </c>
      <c r="H5177" s="5" t="s">
        <v>20</v>
      </c>
      <c r="I5177" s="5" t="s">
        <v>11532</v>
      </c>
      <c r="J5177" s="12" t="str">
        <f>HYPERLINK("https://www.boe.es/gazeta/dias/1806/07/15/pdfs/GMD-1806-58.pdf#page=6","Abrir facsímil")</f>
        <v>Abrir facsímil</v>
      </c>
      <c r="K5177" s="15" t="s">
        <v>22</v>
      </c>
    </row>
    <row r="5178" spans="1:11" ht="42" customHeight="1">
      <c r="A5178" s="4" t="s">
        <v>11533</v>
      </c>
      <c r="B5178" s="5" t="s">
        <v>11534</v>
      </c>
      <c r="C5178" s="5" t="s">
        <v>69</v>
      </c>
      <c r="D5178" s="5" t="s">
        <v>70</v>
      </c>
      <c r="E5178" s="5" t="s">
        <v>205</v>
      </c>
      <c r="F5178" s="9">
        <v>57</v>
      </c>
      <c r="G5178" s="9">
        <v>593</v>
      </c>
      <c r="H5178" s="5" t="s">
        <v>20</v>
      </c>
      <c r="I5178" s="5" t="s">
        <v>11535</v>
      </c>
      <c r="J5178" s="12" t="str">
        <f>HYPERLINK("https://www.boe.es/gazeta/dias/1806/07/11/pdfs/GMD-1806-57.pdf#page=5","Abrir facsímil")</f>
        <v>Abrir facsímil</v>
      </c>
      <c r="K5178" s="15" t="s">
        <v>22</v>
      </c>
    </row>
    <row r="5179" spans="1:11" ht="42" customHeight="1">
      <c r="A5179" s="4" t="s">
        <v>11536</v>
      </c>
      <c r="B5179" s="5" t="s">
        <v>11536</v>
      </c>
      <c r="C5179" s="5" t="s">
        <v>31</v>
      </c>
      <c r="D5179" s="5" t="s">
        <v>32</v>
      </c>
      <c r="E5179" s="5" t="s">
        <v>121</v>
      </c>
      <c r="F5179" s="9">
        <v>19</v>
      </c>
      <c r="G5179" s="9">
        <v>170</v>
      </c>
      <c r="H5179" s="5" t="s">
        <v>20</v>
      </c>
      <c r="I5179" s="5" t="s">
        <v>11537</v>
      </c>
      <c r="J5179" s="12" t="str">
        <f>HYPERLINK("https://www.boe.es/gazeta/dias/1806/02/28/pdfs/GMD-1806-19.pdf#page=6","Abrir facsímil")</f>
        <v>Abrir facsímil</v>
      </c>
      <c r="K5179" s="15" t="s">
        <v>22</v>
      </c>
    </row>
    <row r="5180" spans="1:11" ht="42" customHeight="1">
      <c r="A5180" s="4" t="s">
        <v>11538</v>
      </c>
      <c r="B5180" s="5" t="s">
        <v>11538</v>
      </c>
      <c r="C5180" s="5" t="s">
        <v>36</v>
      </c>
      <c r="D5180" s="5" t="s">
        <v>37</v>
      </c>
      <c r="E5180" s="5" t="s">
        <v>580</v>
      </c>
      <c r="F5180" s="9">
        <v>23</v>
      </c>
      <c r="G5180" s="9">
        <v>224</v>
      </c>
      <c r="H5180" s="5" t="s">
        <v>20</v>
      </c>
      <c r="I5180" s="5" t="s">
        <v>11539</v>
      </c>
      <c r="J5180" s="12" t="str">
        <f>HYPERLINK("https://www.boe.es/gazeta/dias/1806/03/14/pdfs/GMD-1806-23.pdf#page=12","Abrir facsímil")</f>
        <v>Abrir facsímil</v>
      </c>
      <c r="K5180" s="15" t="s">
        <v>22</v>
      </c>
    </row>
    <row r="5181" spans="1:11" ht="42" customHeight="1">
      <c r="A5181" s="4" t="s">
        <v>11540</v>
      </c>
      <c r="B5181" s="5" t="s">
        <v>11540</v>
      </c>
      <c r="C5181" s="5" t="s">
        <v>31</v>
      </c>
      <c r="D5181" s="5" t="s">
        <v>32</v>
      </c>
      <c r="E5181" s="5" t="s">
        <v>780</v>
      </c>
      <c r="F5181" s="9">
        <v>33</v>
      </c>
      <c r="G5181" s="9">
        <v>326</v>
      </c>
      <c r="H5181" s="5" t="s">
        <v>20</v>
      </c>
      <c r="I5181" s="5" t="s">
        <v>11541</v>
      </c>
      <c r="J5181" s="12" t="str">
        <f>HYPERLINK("https://www.boe.es/gazeta/dias/1806/04/18/pdfs/GMD-1806-33.pdf#page=6","Abrir facsímil")</f>
        <v>Abrir facsímil</v>
      </c>
      <c r="K5181" s="15" t="s">
        <v>22</v>
      </c>
    </row>
    <row r="5182" spans="1:11" ht="42" customHeight="1">
      <c r="A5182" s="4" t="s">
        <v>11542</v>
      </c>
      <c r="B5182" s="5" t="s">
        <v>11543</v>
      </c>
      <c r="C5182" s="5" t="s">
        <v>75</v>
      </c>
      <c r="D5182" s="5" t="s">
        <v>43</v>
      </c>
      <c r="E5182" s="5" t="s">
        <v>1031</v>
      </c>
      <c r="F5182" s="9">
        <v>107</v>
      </c>
      <c r="G5182" s="9">
        <v>1131</v>
      </c>
      <c r="H5182" s="5" t="s">
        <v>20</v>
      </c>
      <c r="I5182" s="5" t="s">
        <v>11544</v>
      </c>
      <c r="J5182" s="12" t="str">
        <f>HYPERLINK("https://www.boe.es/gazeta/dias/1806/12/30/pdfs/GMD-1806-107.pdf#page=7","Abrir facsímil")</f>
        <v>Abrir facsímil</v>
      </c>
      <c r="K5182" s="15" t="s">
        <v>22</v>
      </c>
    </row>
    <row r="5183" spans="1:11" ht="42" customHeight="1">
      <c r="A5183" s="4" t="s">
        <v>11545</v>
      </c>
      <c r="B5183" s="5" t="s">
        <v>11546</v>
      </c>
      <c r="C5183" s="5" t="s">
        <v>75</v>
      </c>
      <c r="D5183" s="5" t="s">
        <v>43</v>
      </c>
      <c r="E5183" s="5" t="s">
        <v>297</v>
      </c>
      <c r="F5183" s="9">
        <v>94</v>
      </c>
      <c r="G5183" s="9">
        <v>990</v>
      </c>
      <c r="H5183" s="5" t="s">
        <v>20</v>
      </c>
      <c r="I5183" s="5" t="s">
        <v>11547</v>
      </c>
      <c r="J5183" s="12" t="str">
        <f>HYPERLINK("https://www.boe.es/gazeta/dias/1806/11/18/pdfs/GMD-1806-94.pdf#page=10","Abrir facsímil")</f>
        <v>Abrir facsímil</v>
      </c>
      <c r="K5183" s="15" t="s">
        <v>22</v>
      </c>
    </row>
    <row r="5184" spans="1:11" ht="42" customHeight="1">
      <c r="A5184" s="4" t="s">
        <v>11548</v>
      </c>
      <c r="B5184" s="5" t="s">
        <v>11549</v>
      </c>
      <c r="C5184" s="5" t="s">
        <v>31</v>
      </c>
      <c r="D5184" s="5" t="s">
        <v>32</v>
      </c>
      <c r="E5184" s="5" t="s">
        <v>290</v>
      </c>
      <c r="F5184" s="9">
        <v>1</v>
      </c>
      <c r="G5184" s="9">
        <v>8</v>
      </c>
      <c r="H5184" s="5" t="s">
        <v>20</v>
      </c>
      <c r="I5184" s="5" t="s">
        <v>11550</v>
      </c>
      <c r="J5184" s="12" t="str">
        <f>HYPERLINK("https://www.boe.es/gazeta/dias/1806/01/03/pdfs/GMD-1806-1.pdf#page=8","Abrir facsímil")</f>
        <v>Abrir facsímil</v>
      </c>
      <c r="K5184" s="15" t="s">
        <v>22</v>
      </c>
    </row>
    <row r="5185" spans="1:11" ht="42" customHeight="1">
      <c r="A5185" s="4" t="s">
        <v>11551</v>
      </c>
      <c r="B5185" s="5" t="s">
        <v>11551</v>
      </c>
      <c r="C5185" s="5" t="s">
        <v>69</v>
      </c>
      <c r="D5185" s="5" t="s">
        <v>70</v>
      </c>
      <c r="E5185" s="5" t="s">
        <v>227</v>
      </c>
      <c r="F5185" s="9">
        <v>27</v>
      </c>
      <c r="G5185" s="9">
        <v>265</v>
      </c>
      <c r="H5185" s="5" t="s">
        <v>20</v>
      </c>
      <c r="I5185" s="5" t="s">
        <v>11552</v>
      </c>
      <c r="J5185" s="12" t="str">
        <f>HYPERLINK("https://www.boe.es/gazeta/dias/1806/03/28/pdfs/GMD-1806-27.pdf#page=5","Abrir facsímil")</f>
        <v>Abrir facsímil</v>
      </c>
      <c r="K5185" s="15" t="s">
        <v>22</v>
      </c>
    </row>
    <row r="5186" spans="1:11" ht="42" customHeight="1">
      <c r="A5186" s="4" t="s">
        <v>11553</v>
      </c>
      <c r="B5186" s="5" t="s">
        <v>11553</v>
      </c>
      <c r="C5186" s="5" t="s">
        <v>17</v>
      </c>
      <c r="D5186" s="5" t="s">
        <v>18</v>
      </c>
      <c r="E5186" s="5" t="s">
        <v>209</v>
      </c>
      <c r="F5186" s="9">
        <v>95</v>
      </c>
      <c r="G5186" s="9">
        <v>998</v>
      </c>
      <c r="H5186" s="5" t="s">
        <v>20</v>
      </c>
      <c r="I5186" s="5" t="s">
        <v>11554</v>
      </c>
      <c r="J5186" s="12" t="str">
        <f>HYPERLINK("https://www.boe.es/gazeta/dias/1806/11/21/pdfs/GMD-1806-95.pdf#page=6","Abrir facsímil")</f>
        <v>Abrir facsímil</v>
      </c>
      <c r="K5186" s="15" t="s">
        <v>22</v>
      </c>
    </row>
    <row r="5187" spans="1:11" ht="42" customHeight="1">
      <c r="A5187" s="4" t="s">
        <v>11555</v>
      </c>
      <c r="B5187" s="5" t="s">
        <v>11555</v>
      </c>
      <c r="C5187" s="5" t="s">
        <v>31</v>
      </c>
      <c r="D5187" s="5" t="s">
        <v>32</v>
      </c>
      <c r="E5187" s="5" t="s">
        <v>238</v>
      </c>
      <c r="F5187" s="9">
        <v>18</v>
      </c>
      <c r="G5187" s="9">
        <v>157</v>
      </c>
      <c r="H5187" s="5" t="s">
        <v>20</v>
      </c>
      <c r="I5187" s="5" t="s">
        <v>11556</v>
      </c>
      <c r="J5187" s="12" t="str">
        <f>HYPERLINK("https://www.boe.es/gazeta/dias/1806/02/25/pdfs/GMD-1806-18.pdf#page=5","Abrir facsímil")</f>
        <v>Abrir facsímil</v>
      </c>
      <c r="K5187" s="15" t="s">
        <v>22</v>
      </c>
    </row>
    <row r="5188" spans="1:11" ht="42" customHeight="1">
      <c r="A5188" s="4" t="s">
        <v>11557</v>
      </c>
      <c r="B5188" s="5" t="s">
        <v>11557</v>
      </c>
      <c r="C5188" s="5" t="s">
        <v>69</v>
      </c>
      <c r="D5188" s="5" t="s">
        <v>70</v>
      </c>
      <c r="E5188" s="5" t="s">
        <v>580</v>
      </c>
      <c r="F5188" s="9">
        <v>23</v>
      </c>
      <c r="G5188" s="9">
        <v>215</v>
      </c>
      <c r="H5188" s="5" t="s">
        <v>20</v>
      </c>
      <c r="I5188" s="5" t="s">
        <v>11558</v>
      </c>
      <c r="J5188" s="12" t="str">
        <f>HYPERLINK("https://www.boe.es/gazeta/dias/1806/03/14/pdfs/GMD-1806-23.pdf#page=3","Abrir facsímil")</f>
        <v>Abrir facsímil</v>
      </c>
      <c r="K5188" s="15" t="s">
        <v>22</v>
      </c>
    </row>
    <row r="5189" spans="1:11" ht="42" customHeight="1">
      <c r="A5189" s="4" t="s">
        <v>11557</v>
      </c>
      <c r="B5189" s="5" t="s">
        <v>11557</v>
      </c>
      <c r="C5189" s="5" t="s">
        <v>31</v>
      </c>
      <c r="D5189" s="5" t="s">
        <v>32</v>
      </c>
      <c r="E5189" s="5" t="s">
        <v>130</v>
      </c>
      <c r="F5189" s="9">
        <v>66</v>
      </c>
      <c r="G5189" s="9">
        <v>687</v>
      </c>
      <c r="H5189" s="5" t="s">
        <v>20</v>
      </c>
      <c r="I5189" s="5" t="s">
        <v>11559</v>
      </c>
      <c r="J5189" s="12" t="str">
        <f>HYPERLINK("https://www.boe.es/gazeta/dias/1806/08/12/pdfs/GMD-1806-66.pdf#page=3","Abrir facsímil")</f>
        <v>Abrir facsímil</v>
      </c>
      <c r="K5189" s="15" t="s">
        <v>22</v>
      </c>
    </row>
    <row r="5190" spans="1:11" ht="42" customHeight="1">
      <c r="A5190" s="4" t="s">
        <v>11557</v>
      </c>
      <c r="B5190" s="5" t="s">
        <v>11557</v>
      </c>
      <c r="C5190" s="5" t="s">
        <v>69</v>
      </c>
      <c r="D5190" s="5" t="s">
        <v>70</v>
      </c>
      <c r="E5190" s="5" t="s">
        <v>810</v>
      </c>
      <c r="F5190" s="9">
        <v>71</v>
      </c>
      <c r="G5190" s="9">
        <v>738</v>
      </c>
      <c r="H5190" s="5" t="s">
        <v>20</v>
      </c>
      <c r="I5190" s="5" t="s">
        <v>11560</v>
      </c>
      <c r="J5190" s="12" t="str">
        <f>HYPERLINK("https://www.boe.es/gazeta/dias/1806/08/29/pdfs/GMD-1806-71.pdf#page=6","Abrir facsímil")</f>
        <v>Abrir facsímil</v>
      </c>
      <c r="K5190" s="15" t="s">
        <v>22</v>
      </c>
    </row>
    <row r="5191" spans="1:11" ht="42" customHeight="1">
      <c r="A5191" s="4" t="s">
        <v>11557</v>
      </c>
      <c r="B5191" s="5" t="s">
        <v>11557</v>
      </c>
      <c r="C5191" s="5" t="s">
        <v>69</v>
      </c>
      <c r="D5191" s="5" t="s">
        <v>70</v>
      </c>
      <c r="E5191" s="5" t="s">
        <v>1568</v>
      </c>
      <c r="F5191" s="9">
        <v>84</v>
      </c>
      <c r="G5191" s="9">
        <v>867</v>
      </c>
      <c r="H5191" s="5" t="s">
        <v>20</v>
      </c>
      <c r="I5191" s="5" t="s">
        <v>11561</v>
      </c>
      <c r="J5191" s="12" t="str">
        <f>HYPERLINK("https://www.boe.es/gazeta/dias/1806/10/14/pdfs/GMD-1806-84.pdf#page=3","Abrir facsímil")</f>
        <v>Abrir facsímil</v>
      </c>
      <c r="K5191" s="15" t="s">
        <v>22</v>
      </c>
    </row>
    <row r="5192" spans="1:11" ht="42" customHeight="1">
      <c r="A5192" s="4" t="s">
        <v>11557</v>
      </c>
      <c r="B5192" s="5" t="s">
        <v>11557</v>
      </c>
      <c r="C5192" s="5" t="s">
        <v>69</v>
      </c>
      <c r="D5192" s="5" t="s">
        <v>70</v>
      </c>
      <c r="E5192" s="5" t="s">
        <v>455</v>
      </c>
      <c r="F5192" s="9">
        <v>85</v>
      </c>
      <c r="G5192" s="9">
        <v>877</v>
      </c>
      <c r="H5192" s="5" t="s">
        <v>20</v>
      </c>
      <c r="I5192" s="5" t="s">
        <v>11562</v>
      </c>
      <c r="J5192" s="12" t="str">
        <f>HYPERLINK("https://www.boe.es/gazeta/dias/1806/10/17/pdfs/GMD-1806-85.pdf#page=5","Abrir facsímil")</f>
        <v>Abrir facsímil</v>
      </c>
      <c r="K5192" s="15" t="s">
        <v>22</v>
      </c>
    </row>
    <row r="5193" spans="1:11" ht="42" customHeight="1">
      <c r="A5193" s="4" t="s">
        <v>11557</v>
      </c>
      <c r="B5193" s="5" t="s">
        <v>11557</v>
      </c>
      <c r="C5193" s="5" t="s">
        <v>69</v>
      </c>
      <c r="D5193" s="5" t="s">
        <v>70</v>
      </c>
      <c r="E5193" s="5" t="s">
        <v>396</v>
      </c>
      <c r="F5193" s="9">
        <v>91</v>
      </c>
      <c r="G5193" s="9">
        <v>942</v>
      </c>
      <c r="H5193" s="5" t="s">
        <v>20</v>
      </c>
      <c r="I5193" s="5" t="s">
        <v>11563</v>
      </c>
      <c r="J5193" s="12" t="str">
        <f>HYPERLINK("https://www.boe.es/gazeta/dias/1806/11/07/pdfs/GMD-1806-91.pdf#page=6","Abrir facsímil")</f>
        <v>Abrir facsímil</v>
      </c>
      <c r="K5193" s="15" t="s">
        <v>22</v>
      </c>
    </row>
    <row r="5194" spans="1:11" ht="42" customHeight="1">
      <c r="A5194" s="4" t="s">
        <v>11557</v>
      </c>
      <c r="B5194" s="5" t="s">
        <v>11557</v>
      </c>
      <c r="C5194" s="5" t="s">
        <v>69</v>
      </c>
      <c r="D5194" s="5" t="s">
        <v>70</v>
      </c>
      <c r="E5194" s="5" t="s">
        <v>297</v>
      </c>
      <c r="F5194" s="9">
        <v>94</v>
      </c>
      <c r="G5194" s="9">
        <v>984</v>
      </c>
      <c r="H5194" s="5" t="s">
        <v>20</v>
      </c>
      <c r="I5194" s="5" t="s">
        <v>11564</v>
      </c>
      <c r="J5194" s="12" t="str">
        <f>HYPERLINK("https://www.boe.es/gazeta/dias/1806/11/18/pdfs/GMD-1806-94.pdf#page=4","Abrir facsímil")</f>
        <v>Abrir facsímil</v>
      </c>
      <c r="K5194" s="15" t="s">
        <v>22</v>
      </c>
    </row>
    <row r="5195" spans="1:11" ht="42" customHeight="1">
      <c r="A5195" s="4" t="s">
        <v>11557</v>
      </c>
      <c r="B5195" s="5" t="s">
        <v>11557</v>
      </c>
      <c r="C5195" s="5" t="s">
        <v>69</v>
      </c>
      <c r="D5195" s="5" t="s">
        <v>70</v>
      </c>
      <c r="E5195" s="5" t="s">
        <v>181</v>
      </c>
      <c r="F5195" s="9">
        <v>99</v>
      </c>
      <c r="G5195" s="9">
        <v>1047</v>
      </c>
      <c r="H5195" s="5" t="s">
        <v>20</v>
      </c>
      <c r="I5195" s="5" t="s">
        <v>11565</v>
      </c>
      <c r="J5195" s="12" t="str">
        <f>HYPERLINK("https://www.boe.es/gazeta/dias/1806/12/05/pdfs/GMD-1806-99.pdf#page=3","Abrir facsímil")</f>
        <v>Abrir facsímil</v>
      </c>
      <c r="K5195" s="15" t="s">
        <v>22</v>
      </c>
    </row>
    <row r="5196" spans="1:11" ht="42" customHeight="1">
      <c r="A5196" s="4" t="s">
        <v>11557</v>
      </c>
      <c r="B5196" s="5" t="s">
        <v>11557</v>
      </c>
      <c r="C5196" s="5" t="s">
        <v>75</v>
      </c>
      <c r="D5196" s="5" t="s">
        <v>43</v>
      </c>
      <c r="E5196" s="5" t="s">
        <v>181</v>
      </c>
      <c r="F5196" s="9">
        <v>99</v>
      </c>
      <c r="G5196" s="9">
        <v>1048</v>
      </c>
      <c r="H5196" s="5" t="s">
        <v>20</v>
      </c>
      <c r="I5196" s="5" t="s">
        <v>11566</v>
      </c>
      <c r="J5196" s="12" t="str">
        <f>HYPERLINK("https://www.boe.es/gazeta/dias/1806/12/05/pdfs/GMD-1806-99.pdf#page=4","Abrir facsímil")</f>
        <v>Abrir facsímil</v>
      </c>
      <c r="K5196" s="15" t="s">
        <v>22</v>
      </c>
    </row>
    <row r="5197" spans="1:11" ht="42" customHeight="1">
      <c r="A5197" s="4" t="s">
        <v>11567</v>
      </c>
      <c r="B5197" s="5" t="s">
        <v>11568</v>
      </c>
      <c r="C5197" s="5" t="s">
        <v>69</v>
      </c>
      <c r="D5197" s="5" t="s">
        <v>70</v>
      </c>
      <c r="E5197" s="5" t="s">
        <v>580</v>
      </c>
      <c r="F5197" s="9">
        <v>23</v>
      </c>
      <c r="G5197" s="9">
        <v>215</v>
      </c>
      <c r="H5197" s="5" t="s">
        <v>20</v>
      </c>
      <c r="I5197" s="5" t="s">
        <v>11569</v>
      </c>
      <c r="J5197" s="12" t="str">
        <f>HYPERLINK("https://www.boe.es/gazeta/dias/1806/03/14/pdfs/GMD-1806-23.pdf#page=3","Abrir facsímil")</f>
        <v>Abrir facsímil</v>
      </c>
      <c r="K5197" s="15" t="s">
        <v>22</v>
      </c>
    </row>
    <row r="5198" spans="1:11" ht="42" customHeight="1">
      <c r="A5198" s="4" t="s">
        <v>11570</v>
      </c>
      <c r="B5198" s="5" t="s">
        <v>11571</v>
      </c>
      <c r="C5198" s="5" t="s">
        <v>31</v>
      </c>
      <c r="D5198" s="5" t="s">
        <v>32</v>
      </c>
      <c r="E5198" s="5" t="s">
        <v>24</v>
      </c>
      <c r="F5198" s="9">
        <v>32</v>
      </c>
      <c r="G5198" s="9">
        <v>315</v>
      </c>
      <c r="H5198" s="5" t="s">
        <v>20</v>
      </c>
      <c r="I5198" s="5" t="s">
        <v>11572</v>
      </c>
      <c r="J5198" s="12" t="str">
        <f>HYPERLINK("https://www.boe.es/gazeta/dias/1806/04/15/pdfs/GMD-1806-32.pdf#page=7","Abrir facsímil")</f>
        <v>Abrir facsímil</v>
      </c>
      <c r="K5198" s="15" t="s">
        <v>22</v>
      </c>
    </row>
    <row r="5199" spans="1:11" ht="42" customHeight="1">
      <c r="A5199" s="4" t="s">
        <v>11573</v>
      </c>
      <c r="B5199" s="5" t="s">
        <v>11574</v>
      </c>
      <c r="C5199" s="5" t="s">
        <v>69</v>
      </c>
      <c r="D5199" s="5" t="s">
        <v>70</v>
      </c>
      <c r="E5199" s="5" t="s">
        <v>238</v>
      </c>
      <c r="F5199" s="9">
        <v>18</v>
      </c>
      <c r="G5199" s="9">
        <v>157</v>
      </c>
      <c r="H5199" s="5" t="s">
        <v>20</v>
      </c>
      <c r="I5199" s="5" t="s">
        <v>11575</v>
      </c>
      <c r="J5199" s="12" t="str">
        <f>HYPERLINK("https://www.boe.es/gazeta/dias/1806/02/25/pdfs/GMD-1806-18.pdf#page=5","Abrir facsímil")</f>
        <v>Abrir facsímil</v>
      </c>
      <c r="K5199" s="15" t="s">
        <v>22</v>
      </c>
    </row>
    <row r="5200" spans="1:11" ht="42" customHeight="1">
      <c r="A5200" s="4" t="s">
        <v>11576</v>
      </c>
      <c r="B5200" s="5" t="s">
        <v>11577</v>
      </c>
      <c r="C5200" s="5" t="s">
        <v>31</v>
      </c>
      <c r="D5200" s="5" t="s">
        <v>32</v>
      </c>
      <c r="E5200" s="5" t="s">
        <v>1778</v>
      </c>
      <c r="F5200" s="9">
        <v>16</v>
      </c>
      <c r="G5200" s="9">
        <v>139</v>
      </c>
      <c r="H5200" s="5" t="s">
        <v>20</v>
      </c>
      <c r="I5200" s="5" t="s">
        <v>11578</v>
      </c>
      <c r="J5200" s="12" t="str">
        <f>HYPERLINK("https://www.boe.es/gazeta/dias/1806/02/18/pdfs/GMD-1806-16.pdf#page=3","Abrir facsímil")</f>
        <v>Abrir facsímil</v>
      </c>
      <c r="K5200" s="15" t="s">
        <v>22</v>
      </c>
    </row>
    <row r="5201" spans="1:11" ht="42" customHeight="1">
      <c r="A5201" s="4" t="s">
        <v>11576</v>
      </c>
      <c r="B5201" s="5" t="s">
        <v>11577</v>
      </c>
      <c r="C5201" s="5" t="s">
        <v>31</v>
      </c>
      <c r="D5201" s="5" t="s">
        <v>32</v>
      </c>
      <c r="E5201" s="5" t="s">
        <v>816</v>
      </c>
      <c r="F5201" s="9">
        <v>86</v>
      </c>
      <c r="G5201" s="9">
        <v>888</v>
      </c>
      <c r="H5201" s="5" t="s">
        <v>20</v>
      </c>
      <c r="I5201" s="5" t="s">
        <v>11579</v>
      </c>
      <c r="J5201" s="12" t="str">
        <f>HYPERLINK("https://www.boe.es/gazeta/dias/1806/10/21/pdfs/GMD-1806-86.pdf#page=4","Abrir facsímil")</f>
        <v>Abrir facsímil</v>
      </c>
      <c r="K5201" s="15" t="s">
        <v>22</v>
      </c>
    </row>
    <row r="5202" spans="1:11" ht="42" customHeight="1">
      <c r="A5202" s="4" t="s">
        <v>11576</v>
      </c>
      <c r="B5202" s="5" t="s">
        <v>11577</v>
      </c>
      <c r="C5202" s="5" t="s">
        <v>31</v>
      </c>
      <c r="D5202" s="5" t="s">
        <v>32</v>
      </c>
      <c r="E5202" s="5" t="s">
        <v>396</v>
      </c>
      <c r="F5202" s="9">
        <v>91</v>
      </c>
      <c r="G5202" s="9">
        <v>941</v>
      </c>
      <c r="H5202" s="5" t="s">
        <v>20</v>
      </c>
      <c r="I5202" s="5" t="s">
        <v>11580</v>
      </c>
      <c r="J5202" s="12" t="str">
        <f>HYPERLINK("https://www.boe.es/gazeta/dias/1806/11/07/pdfs/GMD-1806-91.pdf#page=5","Abrir facsímil")</f>
        <v>Abrir facsímil</v>
      </c>
      <c r="K5202" s="15" t="s">
        <v>22</v>
      </c>
    </row>
    <row r="5203" spans="1:11" ht="42" customHeight="1">
      <c r="A5203" s="4" t="s">
        <v>11581</v>
      </c>
      <c r="B5203" s="5" t="s">
        <v>11581</v>
      </c>
      <c r="C5203" s="5" t="s">
        <v>69</v>
      </c>
      <c r="D5203" s="5" t="s">
        <v>70</v>
      </c>
      <c r="E5203" s="5" t="s">
        <v>100</v>
      </c>
      <c r="F5203" s="9">
        <v>7</v>
      </c>
      <c r="G5203" s="9">
        <v>60</v>
      </c>
      <c r="H5203" s="5" t="s">
        <v>20</v>
      </c>
      <c r="I5203" s="5" t="s">
        <v>11582</v>
      </c>
      <c r="J5203" s="12" t="str">
        <f>HYPERLINK("https://www.boe.es/gazeta/dias/1806/01/21/pdfs/GMD-1806-7.pdf#page=4","Abrir facsímil")</f>
        <v>Abrir facsímil</v>
      </c>
      <c r="K5203" s="15" t="s">
        <v>22</v>
      </c>
    </row>
    <row r="5204" spans="1:11" ht="42" customHeight="1">
      <c r="A5204" s="4" t="s">
        <v>11581</v>
      </c>
      <c r="B5204" s="5" t="s">
        <v>11581</v>
      </c>
      <c r="C5204" s="5" t="s">
        <v>69</v>
      </c>
      <c r="D5204" s="5" t="s">
        <v>70</v>
      </c>
      <c r="E5204" s="5" t="s">
        <v>82</v>
      </c>
      <c r="F5204" s="9">
        <v>48</v>
      </c>
      <c r="G5204" s="9">
        <v>491</v>
      </c>
      <c r="H5204" s="5" t="s">
        <v>20</v>
      </c>
      <c r="I5204" s="5" t="s">
        <v>11583</v>
      </c>
      <c r="J5204" s="12" t="str">
        <f>HYPERLINK("https://www.boe.es/gazeta/dias/1806/06/10/pdfs/GMD-1806-48.pdf#page=3","Abrir facsímil")</f>
        <v>Abrir facsímil</v>
      </c>
      <c r="K5204" s="15" t="s">
        <v>22</v>
      </c>
    </row>
    <row r="5205" spans="1:11" ht="42" customHeight="1">
      <c r="A5205" s="4" t="s">
        <v>11584</v>
      </c>
      <c r="B5205" s="5" t="s">
        <v>11585</v>
      </c>
      <c r="C5205" s="5" t="s">
        <v>69</v>
      </c>
      <c r="D5205" s="5" t="s">
        <v>70</v>
      </c>
      <c r="E5205" s="5" t="s">
        <v>140</v>
      </c>
      <c r="F5205" s="9">
        <v>83</v>
      </c>
      <c r="G5205" s="9">
        <v>855</v>
      </c>
      <c r="H5205" s="5" t="s">
        <v>20</v>
      </c>
      <c r="I5205" s="5" t="s">
        <v>11586</v>
      </c>
      <c r="J5205" s="12" t="str">
        <f>HYPERLINK("https://www.boe.es/gazeta/dias/1806/10/10/pdfs/GMD-1806-83.pdf#page=3","Abrir facsímil")</f>
        <v>Abrir facsímil</v>
      </c>
      <c r="K5205" s="15" t="s">
        <v>22</v>
      </c>
    </row>
    <row r="5206" spans="1:11" ht="42" customHeight="1">
      <c r="A5206" s="4" t="s">
        <v>11587</v>
      </c>
      <c r="B5206" s="5" t="s">
        <v>11588</v>
      </c>
      <c r="C5206" s="5" t="s">
        <v>17</v>
      </c>
      <c r="D5206" s="5" t="s">
        <v>18</v>
      </c>
      <c r="E5206" s="5" t="s">
        <v>400</v>
      </c>
      <c r="F5206" s="9">
        <v>22</v>
      </c>
      <c r="G5206" s="9">
        <v>208</v>
      </c>
      <c r="H5206" s="5" t="s">
        <v>20</v>
      </c>
      <c r="I5206" s="5" t="s">
        <v>11589</v>
      </c>
      <c r="J5206" s="12" t="str">
        <f>HYPERLINK("https://www.boe.es/gazeta/dias/1806/03/11/pdfs/GMD-1806-22.pdf#page=8","Abrir facsímil")</f>
        <v>Abrir facsímil</v>
      </c>
      <c r="K5206" s="15" t="s">
        <v>22</v>
      </c>
    </row>
    <row r="5207" spans="1:11" ht="42" customHeight="1">
      <c r="A5207" s="4" t="s">
        <v>11590</v>
      </c>
      <c r="B5207" s="5" t="s">
        <v>11591</v>
      </c>
      <c r="C5207" s="5" t="s">
        <v>17</v>
      </c>
      <c r="D5207" s="5" t="s">
        <v>18</v>
      </c>
      <c r="E5207" s="5" t="s">
        <v>96</v>
      </c>
      <c r="F5207" s="9">
        <v>62</v>
      </c>
      <c r="G5207" s="9">
        <v>648</v>
      </c>
      <c r="H5207" s="5" t="s">
        <v>20</v>
      </c>
      <c r="I5207" s="5" t="s">
        <v>11592</v>
      </c>
      <c r="J5207" s="12" t="str">
        <f>HYPERLINK("https://www.boe.es/gazeta/dias/1806/07/29/pdfs/GMD-1806-62.pdf#page=8","Abrir facsímil")</f>
        <v>Abrir facsímil</v>
      </c>
      <c r="K5207" s="15" t="s">
        <v>22</v>
      </c>
    </row>
    <row r="5208" spans="1:11" ht="42" customHeight="1">
      <c r="A5208" s="4" t="s">
        <v>11593</v>
      </c>
      <c r="B5208" s="5" t="s">
        <v>11593</v>
      </c>
      <c r="C5208" s="5" t="s">
        <v>31</v>
      </c>
      <c r="D5208" s="5" t="s">
        <v>32</v>
      </c>
      <c r="E5208" s="5" t="s">
        <v>127</v>
      </c>
      <c r="F5208" s="9">
        <v>81</v>
      </c>
      <c r="G5208" s="9">
        <v>837</v>
      </c>
      <c r="H5208" s="5" t="s">
        <v>20</v>
      </c>
      <c r="I5208" s="5" t="s">
        <v>11594</v>
      </c>
      <c r="J5208" s="12" t="str">
        <f>HYPERLINK("https://www.boe.es/gazeta/dias/1806/10/03/pdfs/GMD-1806-81.pdf#page=5","Abrir facsímil")</f>
        <v>Abrir facsímil</v>
      </c>
      <c r="K5208" s="15" t="s">
        <v>22</v>
      </c>
    </row>
    <row r="5209" spans="1:11" ht="42" customHeight="1">
      <c r="A5209" s="4" t="s">
        <v>11595</v>
      </c>
      <c r="B5209" s="5" t="s">
        <v>11596</v>
      </c>
      <c r="C5209" s="5" t="s">
        <v>69</v>
      </c>
      <c r="D5209" s="5" t="s">
        <v>70</v>
      </c>
      <c r="E5209" s="5" t="s">
        <v>113</v>
      </c>
      <c r="F5209" s="9">
        <v>28</v>
      </c>
      <c r="G5209" s="9">
        <v>276</v>
      </c>
      <c r="H5209" s="5" t="s">
        <v>20</v>
      </c>
      <c r="I5209" s="5" t="s">
        <v>11597</v>
      </c>
      <c r="J5209" s="12" t="str">
        <f>HYPERLINK("https://www.boe.es/gazeta/dias/1806/04/01/pdfs/GMD-1806-28.pdf#page=4","Abrir facsímil")</f>
        <v>Abrir facsímil</v>
      </c>
      <c r="K5209" s="15" t="s">
        <v>22</v>
      </c>
    </row>
    <row r="5210" spans="1:11" ht="42" customHeight="1">
      <c r="A5210" s="4" t="s">
        <v>11595</v>
      </c>
      <c r="B5210" s="5" t="s">
        <v>11596</v>
      </c>
      <c r="C5210" s="5" t="s">
        <v>75</v>
      </c>
      <c r="D5210" s="5" t="s">
        <v>43</v>
      </c>
      <c r="E5210" s="5" t="s">
        <v>1005</v>
      </c>
      <c r="F5210" s="9">
        <v>76</v>
      </c>
      <c r="G5210" s="9">
        <v>784</v>
      </c>
      <c r="H5210" s="5" t="s">
        <v>20</v>
      </c>
      <c r="I5210" s="5" t="s">
        <v>11598</v>
      </c>
      <c r="J5210" s="12" t="str">
        <f>HYPERLINK("https://www.boe.es/gazeta/dias/1806/09/16/pdfs/GMD-1806-76.pdf#page=4","Abrir facsímil")</f>
        <v>Abrir facsímil</v>
      </c>
      <c r="K5210" s="15" t="s">
        <v>22</v>
      </c>
    </row>
    <row r="5211" spans="1:11" ht="42" customHeight="1">
      <c r="A5211" s="4" t="s">
        <v>11599</v>
      </c>
      <c r="B5211" s="5" t="s">
        <v>11599</v>
      </c>
      <c r="C5211" s="5" t="s">
        <v>17</v>
      </c>
      <c r="D5211" s="5" t="s">
        <v>18</v>
      </c>
      <c r="E5211" s="5" t="s">
        <v>494</v>
      </c>
      <c r="F5211" s="9">
        <v>69</v>
      </c>
      <c r="G5211" s="9">
        <v>724</v>
      </c>
      <c r="H5211" s="5" t="s">
        <v>20</v>
      </c>
      <c r="I5211" s="5" t="s">
        <v>11600</v>
      </c>
      <c r="J5211" s="12" t="str">
        <f>HYPERLINK("https://www.boe.es/gazeta/dias/1806/08/22/pdfs/GMD-1806-69.pdf#page=12","Abrir facsímil")</f>
        <v>Abrir facsímil</v>
      </c>
      <c r="K5211" s="15" t="s">
        <v>22</v>
      </c>
    </row>
    <row r="5212" spans="1:11" ht="42" customHeight="1">
      <c r="A5212" s="4" t="s">
        <v>11601</v>
      </c>
      <c r="B5212" s="5" t="s">
        <v>11601</v>
      </c>
      <c r="C5212" s="5" t="s">
        <v>75</v>
      </c>
      <c r="D5212" s="5" t="s">
        <v>43</v>
      </c>
      <c r="E5212" s="5" t="s">
        <v>172</v>
      </c>
      <c r="F5212" s="9">
        <v>17</v>
      </c>
      <c r="G5212" s="9">
        <v>152</v>
      </c>
      <c r="H5212" s="5" t="s">
        <v>20</v>
      </c>
      <c r="I5212" s="5" t="s">
        <v>11602</v>
      </c>
      <c r="J5212" s="12" t="str">
        <f>HYPERLINK("https://www.boe.es/gazeta/dias/1806/02/21/pdfs/GMD-1806-17.pdf#page=8","Abrir facsímil")</f>
        <v>Abrir facsímil</v>
      </c>
      <c r="K5212" s="15" t="s">
        <v>22</v>
      </c>
    </row>
    <row r="5213" spans="1:11" ht="42" customHeight="1">
      <c r="A5213" s="4" t="s">
        <v>11603</v>
      </c>
      <c r="B5213" s="5" t="s">
        <v>11604</v>
      </c>
      <c r="C5213" s="5" t="s">
        <v>31</v>
      </c>
      <c r="D5213" s="5" t="s">
        <v>32</v>
      </c>
      <c r="E5213" s="5" t="s">
        <v>140</v>
      </c>
      <c r="F5213" s="9">
        <v>83</v>
      </c>
      <c r="G5213" s="9">
        <v>857</v>
      </c>
      <c r="H5213" s="5" t="s">
        <v>20</v>
      </c>
      <c r="I5213" s="5" t="s">
        <v>11605</v>
      </c>
      <c r="J5213" s="12" t="str">
        <f>HYPERLINK("https://www.boe.es/gazeta/dias/1806/10/10/pdfs/GMD-1806-83.pdf#page=5","Abrir facsímil")</f>
        <v>Abrir facsímil</v>
      </c>
      <c r="K5213" s="15" t="s">
        <v>22</v>
      </c>
    </row>
    <row r="5214" spans="1:11" ht="42" customHeight="1">
      <c r="A5214" s="4" t="s">
        <v>11606</v>
      </c>
      <c r="B5214" s="5" t="s">
        <v>11607</v>
      </c>
      <c r="C5214" s="5" t="s">
        <v>42</v>
      </c>
      <c r="D5214" s="5" t="s">
        <v>43</v>
      </c>
      <c r="E5214" s="5" t="s">
        <v>181</v>
      </c>
      <c r="F5214" s="9">
        <v>99</v>
      </c>
      <c r="G5214" s="9">
        <v>1048</v>
      </c>
      <c r="H5214" s="5" t="s">
        <v>20</v>
      </c>
      <c r="I5214" s="5" t="s">
        <v>11608</v>
      </c>
      <c r="J5214" s="12" t="str">
        <f>HYPERLINK("https://www.boe.es/gazeta/dias/1806/12/05/pdfs/GMD-1806-99.pdf#page=4","Abrir facsímil")</f>
        <v>Abrir facsímil</v>
      </c>
      <c r="K5214" s="15" t="s">
        <v>22</v>
      </c>
    </row>
    <row r="5215" spans="1:11" ht="42" customHeight="1">
      <c r="A5215" s="4" t="s">
        <v>11609</v>
      </c>
      <c r="B5215" s="5" t="s">
        <v>11610</v>
      </c>
      <c r="C5215" s="5" t="s">
        <v>69</v>
      </c>
      <c r="D5215" s="5" t="s">
        <v>70</v>
      </c>
      <c r="E5215" s="5" t="s">
        <v>19</v>
      </c>
      <c r="F5215" s="9">
        <v>3</v>
      </c>
      <c r="G5215" s="9">
        <v>23</v>
      </c>
      <c r="H5215" s="5" t="s">
        <v>20</v>
      </c>
      <c r="I5215" s="5" t="s">
        <v>11611</v>
      </c>
      <c r="J5215" s="12" t="str">
        <f>HYPERLINK("https://www.boe.es/gazeta/dias/1806/01/10/pdfs/GMD-1806-3.pdf#page=3","Abrir facsímil")</f>
        <v>Abrir facsímil</v>
      </c>
      <c r="K5215" s="15" t="s">
        <v>22</v>
      </c>
    </row>
    <row r="5216" spans="1:11" ht="42" customHeight="1">
      <c r="A5216" s="4" t="s">
        <v>11612</v>
      </c>
      <c r="B5216" s="5" t="s">
        <v>11613</v>
      </c>
      <c r="C5216" s="5" t="s">
        <v>69</v>
      </c>
      <c r="D5216" s="5" t="s">
        <v>70</v>
      </c>
      <c r="E5216" s="5" t="s">
        <v>340</v>
      </c>
      <c r="F5216" s="9">
        <v>31</v>
      </c>
      <c r="G5216" s="9">
        <v>298</v>
      </c>
      <c r="H5216" s="5" t="s">
        <v>20</v>
      </c>
      <c r="I5216" s="5" t="s">
        <v>11614</v>
      </c>
      <c r="J5216" s="12" t="str">
        <f>HYPERLINK("https://www.boe.es/gazeta/dias/1806/04/11/pdfs/GMD-1806-31.pdf#page=2","Abrir facsímil")</f>
        <v>Abrir facsímil</v>
      </c>
      <c r="K5216" s="15" t="s">
        <v>22</v>
      </c>
    </row>
    <row r="5217" spans="1:11" ht="42" customHeight="1">
      <c r="A5217" s="4" t="s">
        <v>11615</v>
      </c>
      <c r="B5217" s="5" t="s">
        <v>11616</v>
      </c>
      <c r="C5217" s="5" t="s">
        <v>17</v>
      </c>
      <c r="D5217" s="5" t="s">
        <v>18</v>
      </c>
      <c r="E5217" s="5" t="s">
        <v>118</v>
      </c>
      <c r="F5217" s="9">
        <v>15</v>
      </c>
      <c r="G5217" s="9">
        <v>131</v>
      </c>
      <c r="H5217" s="5" t="s">
        <v>20</v>
      </c>
      <c r="I5217" s="5" t="s">
        <v>11617</v>
      </c>
      <c r="J5217" s="12" t="str">
        <f>HYPERLINK("https://www.boe.es/gazeta/dias/1806/02/14/pdfs/GMD-1806-15.pdf#page=7","Abrir facsímil")</f>
        <v>Abrir facsímil</v>
      </c>
      <c r="K5217" s="15" t="s">
        <v>22</v>
      </c>
    </row>
    <row r="5218" spans="1:11" ht="42" customHeight="1">
      <c r="A5218" s="4" t="s">
        <v>11618</v>
      </c>
      <c r="B5218" s="5" t="s">
        <v>11619</v>
      </c>
      <c r="C5218" s="5" t="s">
        <v>69</v>
      </c>
      <c r="D5218" s="5" t="s">
        <v>70</v>
      </c>
      <c r="E5218" s="5" t="s">
        <v>312</v>
      </c>
      <c r="F5218" s="9">
        <v>100</v>
      </c>
      <c r="G5218" s="9">
        <v>1058</v>
      </c>
      <c r="H5218" s="5" t="s">
        <v>20</v>
      </c>
      <c r="I5218" s="5" t="s">
        <v>11620</v>
      </c>
      <c r="J5218" s="12" t="str">
        <f>HYPERLINK("https://www.boe.es/gazeta/dias/1806/12/09/pdfs/GMD-1806-100.pdf#page=2","Abrir facsímil")</f>
        <v>Abrir facsímil</v>
      </c>
      <c r="K5218" s="15" t="s">
        <v>22</v>
      </c>
    </row>
    <row r="5219" spans="1:11" ht="42" customHeight="1">
      <c r="A5219" s="4" t="s">
        <v>11621</v>
      </c>
      <c r="B5219" s="5" t="s">
        <v>11622</v>
      </c>
      <c r="C5219" s="5" t="s">
        <v>69</v>
      </c>
      <c r="D5219" s="5" t="s">
        <v>70</v>
      </c>
      <c r="E5219" s="5" t="s">
        <v>100</v>
      </c>
      <c r="F5219" s="9">
        <v>7</v>
      </c>
      <c r="G5219" s="9">
        <v>60</v>
      </c>
      <c r="H5219" s="5" t="s">
        <v>20</v>
      </c>
      <c r="I5219" s="5" t="s">
        <v>11623</v>
      </c>
      <c r="J5219" s="12" t="str">
        <f>HYPERLINK("https://www.boe.es/gazeta/dias/1806/01/21/pdfs/GMD-1806-7.pdf#page=4","Abrir facsímil")</f>
        <v>Abrir facsímil</v>
      </c>
      <c r="K5219" s="15" t="s">
        <v>22</v>
      </c>
    </row>
    <row r="5220" spans="1:11" ht="42" customHeight="1">
      <c r="A5220" s="4" t="s">
        <v>11624</v>
      </c>
      <c r="B5220" s="5" t="s">
        <v>11625</v>
      </c>
      <c r="C5220" s="5" t="s">
        <v>17</v>
      </c>
      <c r="D5220" s="5" t="s">
        <v>18</v>
      </c>
      <c r="E5220" s="5" t="s">
        <v>161</v>
      </c>
      <c r="F5220" s="9">
        <v>11</v>
      </c>
      <c r="G5220" s="9">
        <v>95</v>
      </c>
      <c r="H5220" s="5" t="s">
        <v>20</v>
      </c>
      <c r="I5220" s="5" t="s">
        <v>11626</v>
      </c>
      <c r="J5220" s="12" t="str">
        <f>HYPERLINK("https://www.boe.es/gazeta/dias/1806/01/31/pdfs/GMD-1806-11.pdf#page=3","Abrir facsímil")</f>
        <v>Abrir facsímil</v>
      </c>
      <c r="K5220" s="15" t="s">
        <v>22</v>
      </c>
    </row>
    <row r="5221" spans="1:11" ht="42" customHeight="1">
      <c r="A5221" s="4" t="s">
        <v>11627</v>
      </c>
      <c r="B5221" s="5" t="s">
        <v>11628</v>
      </c>
      <c r="C5221" s="5" t="s">
        <v>17</v>
      </c>
      <c r="D5221" s="5" t="s">
        <v>18</v>
      </c>
      <c r="E5221" s="5" t="s">
        <v>195</v>
      </c>
      <c r="F5221" s="9">
        <v>4</v>
      </c>
      <c r="G5221" s="9">
        <v>35</v>
      </c>
      <c r="H5221" s="5" t="s">
        <v>20</v>
      </c>
      <c r="I5221" s="5" t="s">
        <v>11629</v>
      </c>
      <c r="J5221" s="12" t="str">
        <f>HYPERLINK("https://www.boe.es/gazeta/dias/1806/01/14/pdfs/GMD-1806-4.pdf#page=7","Abrir facsímil")</f>
        <v>Abrir facsímil</v>
      </c>
      <c r="K5221" s="15" t="s">
        <v>22</v>
      </c>
    </row>
    <row r="5222" spans="1:11" ht="42" customHeight="1">
      <c r="A5222" s="4" t="s">
        <v>11630</v>
      </c>
      <c r="B5222" s="5" t="s">
        <v>11631</v>
      </c>
      <c r="C5222" s="5" t="s">
        <v>31</v>
      </c>
      <c r="D5222" s="5" t="s">
        <v>32</v>
      </c>
      <c r="E5222" s="5" t="s">
        <v>82</v>
      </c>
      <c r="F5222" s="9">
        <v>48</v>
      </c>
      <c r="G5222" s="9">
        <v>496</v>
      </c>
      <c r="H5222" s="5" t="s">
        <v>20</v>
      </c>
      <c r="I5222" s="5" t="s">
        <v>11632</v>
      </c>
      <c r="J5222" s="12" t="str">
        <f>HYPERLINK("https://www.boe.es/gazeta/dias/1806/06/10/pdfs/GMD-1806-48.pdf#page=8","Abrir facsímil")</f>
        <v>Abrir facsímil</v>
      </c>
      <c r="K5222" s="15" t="s">
        <v>22</v>
      </c>
    </row>
    <row r="5223" spans="1:11" ht="42" customHeight="1">
      <c r="A5223" s="4" t="s">
        <v>11633</v>
      </c>
      <c r="B5223" s="5" t="s">
        <v>11633</v>
      </c>
      <c r="C5223" s="5" t="s">
        <v>31</v>
      </c>
      <c r="D5223" s="5" t="s">
        <v>32</v>
      </c>
      <c r="E5223" s="5" t="s">
        <v>689</v>
      </c>
      <c r="F5223" s="9">
        <v>37</v>
      </c>
      <c r="G5223" s="9">
        <v>361</v>
      </c>
      <c r="H5223" s="5" t="s">
        <v>20</v>
      </c>
      <c r="I5223" s="5" t="s">
        <v>11634</v>
      </c>
      <c r="J5223" s="12" t="str">
        <f>HYPERLINK("https://www.boe.es/gazeta/dias/1806/05/02/pdfs/GMD-1806-37.pdf#page=9","Abrir facsímil")</f>
        <v>Abrir facsímil</v>
      </c>
      <c r="K5223" s="15" t="s">
        <v>22</v>
      </c>
    </row>
    <row r="5224" spans="1:11" ht="42" customHeight="1">
      <c r="A5224" s="4" t="s">
        <v>11635</v>
      </c>
      <c r="B5224" s="5" t="s">
        <v>11636</v>
      </c>
      <c r="C5224" s="5" t="s">
        <v>31</v>
      </c>
      <c r="D5224" s="5" t="s">
        <v>32</v>
      </c>
      <c r="E5224" s="5" t="s">
        <v>716</v>
      </c>
      <c r="F5224" s="9">
        <v>56</v>
      </c>
      <c r="G5224" s="9">
        <v>577</v>
      </c>
      <c r="H5224" s="5" t="s">
        <v>20</v>
      </c>
      <c r="I5224" s="5" t="s">
        <v>11637</v>
      </c>
      <c r="J5224" s="12" t="str">
        <f>HYPERLINK("https://www.boe.es/gazeta/dias/1806/07/08/pdfs/GMD-1806-56.pdf#page=1","Abrir facsímil")</f>
        <v>Abrir facsímil</v>
      </c>
      <c r="K5224" s="15" t="s">
        <v>22</v>
      </c>
    </row>
    <row r="5225" spans="1:11" ht="42" customHeight="1">
      <c r="A5225" s="4" t="s">
        <v>11638</v>
      </c>
      <c r="B5225" s="5" t="s">
        <v>11639</v>
      </c>
      <c r="C5225" s="5" t="s">
        <v>31</v>
      </c>
      <c r="D5225" s="5" t="s">
        <v>32</v>
      </c>
      <c r="E5225" s="5" t="s">
        <v>245</v>
      </c>
      <c r="F5225" s="9">
        <v>106</v>
      </c>
      <c r="G5225" s="9">
        <v>1124</v>
      </c>
      <c r="H5225" s="5" t="s">
        <v>20</v>
      </c>
      <c r="I5225" s="5" t="s">
        <v>11640</v>
      </c>
      <c r="J5225" s="12" t="str">
        <f>HYPERLINK("https://www.boe.es/gazeta/dias/1806/12/26/pdfs/GMD-1806-106.pdf#page=8","Abrir facsímil")</f>
        <v>Abrir facsímil</v>
      </c>
      <c r="K5225" s="15" t="s">
        <v>22</v>
      </c>
    </row>
    <row r="5226" spans="1:11" ht="42" customHeight="1">
      <c r="A5226" s="4" t="s">
        <v>11641</v>
      </c>
      <c r="B5226" s="5" t="s">
        <v>11642</v>
      </c>
      <c r="C5226" s="5" t="s">
        <v>69</v>
      </c>
      <c r="D5226" s="5" t="s">
        <v>70</v>
      </c>
      <c r="E5226" s="5" t="s">
        <v>290</v>
      </c>
      <c r="F5226" s="9">
        <v>1</v>
      </c>
      <c r="G5226" s="9">
        <v>3</v>
      </c>
      <c r="H5226" s="5" t="s">
        <v>20</v>
      </c>
      <c r="I5226" s="5" t="s">
        <v>11643</v>
      </c>
      <c r="J5226" s="12" t="str">
        <f>HYPERLINK("https://www.boe.es/gazeta/dias/1806/01/03/pdfs/GMD-1806-1.pdf#page=3","Abrir facsímil")</f>
        <v>Abrir facsímil</v>
      </c>
      <c r="K5226" s="15" t="s">
        <v>22</v>
      </c>
    </row>
    <row r="5227" spans="1:11" ht="42" customHeight="1">
      <c r="A5227" s="4" t="s">
        <v>11644</v>
      </c>
      <c r="B5227" s="5" t="s">
        <v>11645</v>
      </c>
      <c r="C5227" s="5" t="s">
        <v>31</v>
      </c>
      <c r="D5227" s="5" t="s">
        <v>32</v>
      </c>
      <c r="E5227" s="5" t="s">
        <v>455</v>
      </c>
      <c r="F5227" s="9">
        <v>85</v>
      </c>
      <c r="G5227" s="9">
        <v>881</v>
      </c>
      <c r="H5227" s="5" t="s">
        <v>20</v>
      </c>
      <c r="I5227" s="5" t="s">
        <v>11646</v>
      </c>
      <c r="J5227" s="12" t="str">
        <f>HYPERLINK("https://www.boe.es/gazeta/dias/1806/10/17/pdfs/GMD-1806-85.pdf#page=9","Abrir facsímil")</f>
        <v>Abrir facsímil</v>
      </c>
      <c r="K5227" s="15" t="s">
        <v>22</v>
      </c>
    </row>
    <row r="5228" spans="1:11" ht="42" customHeight="1">
      <c r="A5228" s="4" t="s">
        <v>11647</v>
      </c>
      <c r="B5228" s="5" t="s">
        <v>11648</v>
      </c>
      <c r="C5228" s="5" t="s">
        <v>31</v>
      </c>
      <c r="D5228" s="5" t="s">
        <v>32</v>
      </c>
      <c r="E5228" s="5" t="s">
        <v>494</v>
      </c>
      <c r="F5228" s="9">
        <v>69</v>
      </c>
      <c r="G5228" s="9">
        <v>715</v>
      </c>
      <c r="H5228" s="5" t="s">
        <v>20</v>
      </c>
      <c r="I5228" s="5" t="s">
        <v>11649</v>
      </c>
      <c r="J5228" s="12" t="str">
        <f>HYPERLINK("https://www.boe.es/gazeta/dias/1806/08/22/pdfs/GMD-1806-69.pdf#page=3","Abrir facsímil")</f>
        <v>Abrir facsímil</v>
      </c>
      <c r="K5228" s="15" t="s">
        <v>22</v>
      </c>
    </row>
    <row r="5229" spans="1:11" ht="42" customHeight="1">
      <c r="A5229" s="4" t="s">
        <v>11650</v>
      </c>
      <c r="B5229" s="5" t="s">
        <v>11651</v>
      </c>
      <c r="C5229" s="5" t="s">
        <v>69</v>
      </c>
      <c r="D5229" s="5" t="s">
        <v>70</v>
      </c>
      <c r="E5229" s="5" t="s">
        <v>859</v>
      </c>
      <c r="F5229" s="9">
        <v>63</v>
      </c>
      <c r="G5229" s="9">
        <v>657</v>
      </c>
      <c r="H5229" s="5" t="s">
        <v>20</v>
      </c>
      <c r="I5229" s="5" t="s">
        <v>11652</v>
      </c>
      <c r="J5229" s="12" t="str">
        <f>HYPERLINK("https://www.boe.es/gazeta/dias/1806/08/01/pdfs/GMD-1806-63.pdf#page=5","Abrir facsímil")</f>
        <v>Abrir facsímil</v>
      </c>
      <c r="K5229" s="15" t="s">
        <v>22</v>
      </c>
    </row>
    <row r="5230" spans="1:11" ht="42" customHeight="1">
      <c r="A5230" s="4" t="s">
        <v>11653</v>
      </c>
      <c r="B5230" s="5" t="s">
        <v>11654</v>
      </c>
      <c r="C5230" s="5" t="s">
        <v>69</v>
      </c>
      <c r="D5230" s="5" t="s">
        <v>70</v>
      </c>
      <c r="E5230" s="5" t="s">
        <v>570</v>
      </c>
      <c r="F5230" s="9">
        <v>93</v>
      </c>
      <c r="G5230" s="9">
        <v>972</v>
      </c>
      <c r="H5230" s="5" t="s">
        <v>20</v>
      </c>
      <c r="I5230" s="5" t="s">
        <v>11655</v>
      </c>
      <c r="J5230" s="12" t="str">
        <f>HYPERLINK("https://www.boe.es/gazeta/dias/1806/11/14/pdfs/GMD-1806-93.pdf#page=8","Abrir facsímil")</f>
        <v>Abrir facsímil</v>
      </c>
      <c r="K5230" s="15" t="s">
        <v>22</v>
      </c>
    </row>
    <row r="5231" spans="1:11" ht="42" customHeight="1">
      <c r="A5231" s="4" t="s">
        <v>11656</v>
      </c>
      <c r="B5231" s="5" t="s">
        <v>11657</v>
      </c>
      <c r="C5231" s="5" t="s">
        <v>36</v>
      </c>
      <c r="D5231" s="5" t="s">
        <v>37</v>
      </c>
      <c r="E5231" s="5" t="s">
        <v>124</v>
      </c>
      <c r="F5231" s="9">
        <v>25</v>
      </c>
      <c r="G5231" s="9">
        <v>247</v>
      </c>
      <c r="H5231" s="5" t="s">
        <v>20</v>
      </c>
      <c r="I5231" s="5" t="s">
        <v>11658</v>
      </c>
      <c r="J5231" s="12" t="str">
        <f>HYPERLINK("https://www.boe.es/gazeta/dias/1806/03/21/pdfs/GMD-1806-25.pdf#page=11","Abrir facsímil")</f>
        <v>Abrir facsímil</v>
      </c>
      <c r="K5231" s="15" t="s">
        <v>22</v>
      </c>
    </row>
    <row r="5232" spans="1:11" ht="42" customHeight="1">
      <c r="A5232" s="4" t="s">
        <v>11659</v>
      </c>
      <c r="B5232" s="5" t="s">
        <v>11660</v>
      </c>
      <c r="C5232" s="5" t="s">
        <v>31</v>
      </c>
      <c r="D5232" s="5" t="s">
        <v>32</v>
      </c>
      <c r="E5232" s="5" t="s">
        <v>24</v>
      </c>
      <c r="F5232" s="9">
        <v>32</v>
      </c>
      <c r="G5232" s="9">
        <v>316</v>
      </c>
      <c r="H5232" s="5" t="s">
        <v>20</v>
      </c>
      <c r="I5232" s="5" t="s">
        <v>11661</v>
      </c>
      <c r="J5232" s="12" t="str">
        <f>HYPERLINK("https://www.boe.es/gazeta/dias/1806/04/15/pdfs/GMD-1806-32.pdf#page=8","Abrir facsímil")</f>
        <v>Abrir facsímil</v>
      </c>
      <c r="K5232" s="15" t="s">
        <v>22</v>
      </c>
    </row>
    <row r="5233" spans="1:11" ht="42" customHeight="1">
      <c r="A5233" s="4" t="s">
        <v>11662</v>
      </c>
      <c r="B5233" s="5" t="s">
        <v>11663</v>
      </c>
      <c r="C5233" s="5" t="s">
        <v>17</v>
      </c>
      <c r="D5233" s="5" t="s">
        <v>18</v>
      </c>
      <c r="E5233" s="5" t="s">
        <v>185</v>
      </c>
      <c r="F5233" s="9">
        <v>46</v>
      </c>
      <c r="G5233" s="9">
        <v>470</v>
      </c>
      <c r="H5233" s="5" t="s">
        <v>20</v>
      </c>
      <c r="I5233" s="5" t="s">
        <v>11664</v>
      </c>
      <c r="J5233" s="12" t="str">
        <f>HYPERLINK("https://www.boe.es/gazeta/dias/1806/06/03/pdfs/GMD-1806-46.pdf#page=10","Abrir facsímil")</f>
        <v>Abrir facsímil</v>
      </c>
      <c r="K5233" s="15" t="s">
        <v>22</v>
      </c>
    </row>
    <row r="5234" spans="1:11" ht="42" customHeight="1">
      <c r="A5234" s="4" t="s">
        <v>11665</v>
      </c>
      <c r="B5234" s="5" t="s">
        <v>11666</v>
      </c>
      <c r="C5234" s="5" t="s">
        <v>31</v>
      </c>
      <c r="D5234" s="5" t="s">
        <v>32</v>
      </c>
      <c r="E5234" s="5" t="s">
        <v>657</v>
      </c>
      <c r="F5234" s="9">
        <v>96</v>
      </c>
      <c r="G5234" s="9">
        <v>1018</v>
      </c>
      <c r="H5234" s="5" t="s">
        <v>20</v>
      </c>
      <c r="I5234" s="5" t="s">
        <v>11667</v>
      </c>
      <c r="J5234" s="12" t="str">
        <f>HYPERLINK("https://www.boe.es/gazeta/dias/1806/11/25/pdfs/GMD-1806-96.pdf#page=10","Abrir facsímil")</f>
        <v>Abrir facsímil</v>
      </c>
      <c r="K5234" s="15" t="s">
        <v>22</v>
      </c>
    </row>
    <row r="5235" spans="1:11" ht="42" customHeight="1">
      <c r="A5235" s="4" t="s">
        <v>11668</v>
      </c>
      <c r="B5235" s="5" t="s">
        <v>11669</v>
      </c>
      <c r="C5235" s="5" t="s">
        <v>17</v>
      </c>
      <c r="D5235" s="5" t="s">
        <v>18</v>
      </c>
      <c r="E5235" s="5" t="s">
        <v>195</v>
      </c>
      <c r="F5235" s="9">
        <v>4</v>
      </c>
      <c r="G5235" s="9">
        <v>37</v>
      </c>
      <c r="H5235" s="5" t="s">
        <v>20</v>
      </c>
      <c r="I5235" s="5" t="s">
        <v>11670</v>
      </c>
      <c r="J5235" s="12" t="str">
        <f>HYPERLINK("https://www.boe.es/gazeta/dias/1806/01/14/pdfs/GMD-1806-4.pdf#page=9","Abrir facsímil")</f>
        <v>Abrir facsímil</v>
      </c>
      <c r="K5235" s="15" t="s">
        <v>22</v>
      </c>
    </row>
    <row r="5236" spans="1:11" ht="42" customHeight="1">
      <c r="A5236" s="4" t="s">
        <v>11668</v>
      </c>
      <c r="B5236" s="5" t="s">
        <v>11669</v>
      </c>
      <c r="C5236" s="5" t="s">
        <v>447</v>
      </c>
      <c r="D5236" s="5" t="s">
        <v>448</v>
      </c>
      <c r="E5236" s="5" t="s">
        <v>304</v>
      </c>
      <c r="F5236" s="9">
        <v>47</v>
      </c>
      <c r="G5236" s="9">
        <v>481</v>
      </c>
      <c r="H5236" s="5" t="s">
        <v>20</v>
      </c>
      <c r="I5236" s="5" t="s">
        <v>11671</v>
      </c>
      <c r="J5236" s="12" t="str">
        <f>HYPERLINK("https://www.boe.es/gazeta/dias/1806/06/06/pdfs/GMD-C-1806-47.pdf#page=1","Abrir facsímil")</f>
        <v>Abrir facsímil</v>
      </c>
      <c r="K5236" s="15" t="s">
        <v>22</v>
      </c>
    </row>
    <row r="5237" spans="1:11" ht="42" customHeight="1">
      <c r="A5237" s="4" t="s">
        <v>11672</v>
      </c>
      <c r="B5237" s="5" t="s">
        <v>11673</v>
      </c>
      <c r="C5237" s="5" t="s">
        <v>31</v>
      </c>
      <c r="D5237" s="5" t="s">
        <v>32</v>
      </c>
      <c r="E5237" s="5" t="s">
        <v>62</v>
      </c>
      <c r="F5237" s="9">
        <v>45</v>
      </c>
      <c r="G5237" s="9">
        <v>457</v>
      </c>
      <c r="H5237" s="5" t="s">
        <v>20</v>
      </c>
      <c r="I5237" s="5" t="s">
        <v>11674</v>
      </c>
      <c r="J5237" s="12" t="str">
        <f>HYPERLINK("https://www.boe.es/gazeta/dias/1806/05/30/pdfs/GMD-1806-45.pdf#page=9","Abrir facsímil")</f>
        <v>Abrir facsímil</v>
      </c>
      <c r="K5237" s="15" t="s">
        <v>22</v>
      </c>
    </row>
    <row r="5238" spans="1:11" ht="42" customHeight="1">
      <c r="A5238" s="4" t="s">
        <v>11675</v>
      </c>
      <c r="B5238" s="5" t="s">
        <v>11676</v>
      </c>
      <c r="C5238" s="5" t="s">
        <v>69</v>
      </c>
      <c r="D5238" s="5" t="s">
        <v>70</v>
      </c>
      <c r="E5238" s="5" t="s">
        <v>26</v>
      </c>
      <c r="F5238" s="9">
        <v>65</v>
      </c>
      <c r="G5238" s="9">
        <v>674</v>
      </c>
      <c r="H5238" s="5" t="s">
        <v>20</v>
      </c>
      <c r="I5238" s="5" t="s">
        <v>11677</v>
      </c>
      <c r="J5238" s="12" t="str">
        <f>HYPERLINK("https://www.boe.es/gazeta/dias/1806/08/08/pdfs/GMD-1806-65.pdf#page=2","Abrir facsímil")</f>
        <v>Abrir facsímil</v>
      </c>
      <c r="K5238" s="15" t="s">
        <v>22</v>
      </c>
    </row>
    <row r="5239" spans="1:11" ht="42" customHeight="1">
      <c r="A5239" s="4" t="s">
        <v>11678</v>
      </c>
      <c r="B5239" s="5" t="s">
        <v>11679</v>
      </c>
      <c r="C5239" s="5" t="s">
        <v>31</v>
      </c>
      <c r="D5239" s="5" t="s">
        <v>32</v>
      </c>
      <c r="E5239" s="5" t="s">
        <v>62</v>
      </c>
      <c r="F5239" s="9">
        <v>45</v>
      </c>
      <c r="G5239" s="9">
        <v>457</v>
      </c>
      <c r="H5239" s="5" t="s">
        <v>20</v>
      </c>
      <c r="I5239" s="5" t="s">
        <v>11680</v>
      </c>
      <c r="J5239" s="12" t="str">
        <f>HYPERLINK("https://www.boe.es/gazeta/dias/1806/05/30/pdfs/GMD-1806-45.pdf#page=9","Abrir facsímil")</f>
        <v>Abrir facsímil</v>
      </c>
      <c r="K5239" s="15" t="s">
        <v>22</v>
      </c>
    </row>
    <row r="5240" spans="1:11" ht="42" customHeight="1">
      <c r="A5240" s="4" t="s">
        <v>11681</v>
      </c>
      <c r="B5240" s="5" t="s">
        <v>11682</v>
      </c>
      <c r="C5240" s="5" t="s">
        <v>69</v>
      </c>
      <c r="D5240" s="5" t="s">
        <v>70</v>
      </c>
      <c r="E5240" s="5" t="s">
        <v>100</v>
      </c>
      <c r="F5240" s="9">
        <v>7</v>
      </c>
      <c r="G5240" s="9">
        <v>57</v>
      </c>
      <c r="H5240" s="5" t="s">
        <v>20</v>
      </c>
      <c r="I5240" s="5" t="s">
        <v>11683</v>
      </c>
      <c r="J5240" s="12" t="str">
        <f>HYPERLINK("https://www.boe.es/gazeta/dias/1806/01/21/pdfs/GMD-1806-7.pdf#page=1","Abrir facsímil")</f>
        <v>Abrir facsímil</v>
      </c>
      <c r="K5240" s="15" t="s">
        <v>22</v>
      </c>
    </row>
    <row r="5241" spans="1:11" ht="42" customHeight="1">
      <c r="A5241" s="4" t="s">
        <v>11681</v>
      </c>
      <c r="B5241" s="5" t="s">
        <v>11682</v>
      </c>
      <c r="C5241" s="5" t="s">
        <v>17</v>
      </c>
      <c r="D5241" s="5" t="s">
        <v>18</v>
      </c>
      <c r="E5241" s="5" t="s">
        <v>76</v>
      </c>
      <c r="F5241" s="9">
        <v>98</v>
      </c>
      <c r="G5241" s="9">
        <v>1035</v>
      </c>
      <c r="H5241" s="5" t="s">
        <v>20</v>
      </c>
      <c r="I5241" s="5" t="s">
        <v>11684</v>
      </c>
      <c r="J5241" s="12" t="str">
        <f>HYPERLINK("https://www.boe.es/gazeta/dias/1806/12/02/pdfs/GMD-1806-98.pdf#page=3","Abrir facsímil")</f>
        <v>Abrir facsímil</v>
      </c>
      <c r="K5241" s="15" t="s">
        <v>22</v>
      </c>
    </row>
    <row r="5242" spans="1:11" ht="42" customHeight="1">
      <c r="A5242" s="4" t="s">
        <v>11685</v>
      </c>
      <c r="B5242" s="5" t="s">
        <v>11686</v>
      </c>
      <c r="C5242" s="5" t="s">
        <v>31</v>
      </c>
      <c r="D5242" s="5" t="s">
        <v>32</v>
      </c>
      <c r="E5242" s="5" t="s">
        <v>161</v>
      </c>
      <c r="F5242" s="9">
        <v>11</v>
      </c>
      <c r="G5242" s="9">
        <v>97</v>
      </c>
      <c r="H5242" s="5" t="s">
        <v>20</v>
      </c>
      <c r="I5242" s="5" t="s">
        <v>11687</v>
      </c>
      <c r="J5242" s="12" t="str">
        <f>HYPERLINK("https://www.boe.es/gazeta/dias/1806/01/31/pdfs/GMD-1806-11.pdf#page=5","Abrir facsímil")</f>
        <v>Abrir facsímil</v>
      </c>
      <c r="K5242" s="15" t="s">
        <v>22</v>
      </c>
    </row>
    <row r="5243" spans="1:11" ht="42" customHeight="1">
      <c r="A5243" s="4" t="s">
        <v>11688</v>
      </c>
      <c r="B5243" s="5" t="s">
        <v>11689</v>
      </c>
      <c r="C5243" s="5" t="s">
        <v>69</v>
      </c>
      <c r="D5243" s="5" t="s">
        <v>70</v>
      </c>
      <c r="E5243" s="5" t="s">
        <v>144</v>
      </c>
      <c r="F5243" s="9">
        <v>79</v>
      </c>
      <c r="G5243" s="9">
        <v>809</v>
      </c>
      <c r="H5243" s="5" t="s">
        <v>20</v>
      </c>
      <c r="I5243" s="5" t="s">
        <v>11690</v>
      </c>
      <c r="J5243" s="12" t="str">
        <f>HYPERLINK("https://www.boe.es/gazeta/dias/1806/09/26/pdfs/GMD-1806-79.pdf#page=1","Abrir facsímil")</f>
        <v>Abrir facsímil</v>
      </c>
      <c r="K5243" s="15" t="s">
        <v>22</v>
      </c>
    </row>
    <row r="5244" spans="1:11" ht="42" customHeight="1">
      <c r="A5244" s="4" t="s">
        <v>11691</v>
      </c>
      <c r="B5244" s="5" t="s">
        <v>11692</v>
      </c>
      <c r="C5244" s="5" t="s">
        <v>75</v>
      </c>
      <c r="D5244" s="5" t="s">
        <v>43</v>
      </c>
      <c r="E5244" s="5" t="s">
        <v>82</v>
      </c>
      <c r="F5244" s="9">
        <v>48</v>
      </c>
      <c r="G5244" s="9">
        <v>499</v>
      </c>
      <c r="H5244" s="5" t="s">
        <v>20</v>
      </c>
      <c r="I5244" s="5" t="s">
        <v>11693</v>
      </c>
      <c r="J5244" s="12" t="str">
        <f>HYPERLINK("https://www.boe.es/gazeta/dias/1806/06/10/pdfs/GMD-1806-48.pdf#page=11","Abrir facsímil")</f>
        <v>Abrir facsímil</v>
      </c>
      <c r="K5244" s="15" t="s">
        <v>22</v>
      </c>
    </row>
    <row r="5245" spans="1:11" ht="42" customHeight="1">
      <c r="A5245" s="4" t="s">
        <v>11694</v>
      </c>
      <c r="B5245" s="5" t="s">
        <v>11695</v>
      </c>
      <c r="C5245" s="5" t="s">
        <v>31</v>
      </c>
      <c r="D5245" s="5" t="s">
        <v>32</v>
      </c>
      <c r="E5245" s="5" t="s">
        <v>172</v>
      </c>
      <c r="F5245" s="9">
        <v>17</v>
      </c>
      <c r="G5245" s="9">
        <v>151</v>
      </c>
      <c r="H5245" s="5" t="s">
        <v>20</v>
      </c>
      <c r="I5245" s="5" t="s">
        <v>11696</v>
      </c>
      <c r="J5245" s="12" t="str">
        <f>HYPERLINK("https://www.boe.es/gazeta/dias/1806/02/21/pdfs/GMD-1806-17.pdf#page=7","Abrir facsímil")</f>
        <v>Abrir facsímil</v>
      </c>
      <c r="K5245" s="15" t="s">
        <v>22</v>
      </c>
    </row>
    <row r="5246" spans="1:11" ht="42" customHeight="1">
      <c r="A5246" s="4" t="s">
        <v>11697</v>
      </c>
      <c r="B5246" s="5" t="s">
        <v>11698</v>
      </c>
      <c r="C5246" s="5" t="s">
        <v>17</v>
      </c>
      <c r="D5246" s="5" t="s">
        <v>18</v>
      </c>
      <c r="E5246" s="5" t="s">
        <v>689</v>
      </c>
      <c r="F5246" s="9">
        <v>37</v>
      </c>
      <c r="G5246" s="9">
        <v>361</v>
      </c>
      <c r="H5246" s="5" t="s">
        <v>20</v>
      </c>
      <c r="I5246" s="5" t="s">
        <v>11699</v>
      </c>
      <c r="J5246" s="12" t="str">
        <f>HYPERLINK("https://www.boe.es/gazeta/dias/1806/05/02/pdfs/GMD-1806-37.pdf#page=9","Abrir facsímil")</f>
        <v>Abrir facsímil</v>
      </c>
      <c r="K5246" s="15" t="s">
        <v>22</v>
      </c>
    </row>
    <row r="5247" spans="1:11" ht="42" customHeight="1">
      <c r="A5247" s="4" t="s">
        <v>11700</v>
      </c>
      <c r="B5247" s="5" t="s">
        <v>11701</v>
      </c>
      <c r="C5247" s="5" t="s">
        <v>31</v>
      </c>
      <c r="D5247" s="5" t="s">
        <v>32</v>
      </c>
      <c r="E5247" s="5" t="s">
        <v>55</v>
      </c>
      <c r="F5247" s="9">
        <v>20</v>
      </c>
      <c r="G5247" s="9">
        <v>185</v>
      </c>
      <c r="H5247" s="5" t="s">
        <v>20</v>
      </c>
      <c r="I5247" s="5" t="s">
        <v>11702</v>
      </c>
      <c r="J5247" s="12" t="str">
        <f>HYPERLINK("https://www.boe.es/gazeta/dias/1806/03/04/pdfs/GMD-1806-20.pdf#page=9","Abrir facsímil")</f>
        <v>Abrir facsímil</v>
      </c>
      <c r="K5247" s="15" t="s">
        <v>22</v>
      </c>
    </row>
    <row r="5248" spans="1:11" ht="42" customHeight="1">
      <c r="A5248" s="4" t="s">
        <v>11703</v>
      </c>
      <c r="B5248" s="5" t="s">
        <v>11704</v>
      </c>
      <c r="C5248" s="5" t="s">
        <v>31</v>
      </c>
      <c r="D5248" s="5" t="s">
        <v>32</v>
      </c>
      <c r="E5248" s="5" t="s">
        <v>205</v>
      </c>
      <c r="F5248" s="9">
        <v>57</v>
      </c>
      <c r="G5248" s="9">
        <v>594</v>
      </c>
      <c r="H5248" s="5" t="s">
        <v>20</v>
      </c>
      <c r="I5248" s="5" t="s">
        <v>11705</v>
      </c>
      <c r="J5248" s="12" t="str">
        <f>HYPERLINK("https://www.boe.es/gazeta/dias/1806/07/11/pdfs/GMD-1806-57.pdf#page=6","Abrir facsímil")</f>
        <v>Abrir facsímil</v>
      </c>
      <c r="K5248" s="15" t="s">
        <v>22</v>
      </c>
    </row>
    <row r="5249" spans="1:11" ht="42" customHeight="1">
      <c r="A5249" s="4" t="s">
        <v>11706</v>
      </c>
      <c r="B5249" s="5" t="s">
        <v>11707</v>
      </c>
      <c r="C5249" s="5" t="s">
        <v>17</v>
      </c>
      <c r="D5249" s="5" t="s">
        <v>18</v>
      </c>
      <c r="E5249" s="5" t="s">
        <v>195</v>
      </c>
      <c r="F5249" s="9">
        <v>4</v>
      </c>
      <c r="G5249" s="9">
        <v>35</v>
      </c>
      <c r="H5249" s="5" t="s">
        <v>20</v>
      </c>
      <c r="I5249" s="5" t="s">
        <v>11708</v>
      </c>
      <c r="J5249" s="12" t="str">
        <f>HYPERLINK("https://www.boe.es/gazeta/dias/1806/01/14/pdfs/GMD-1806-4.pdf#page=7","Abrir facsímil")</f>
        <v>Abrir facsímil</v>
      </c>
      <c r="K5249" s="15" t="s">
        <v>22</v>
      </c>
    </row>
    <row r="5250" spans="1:11" ht="42" customHeight="1">
      <c r="A5250" s="4" t="s">
        <v>11709</v>
      </c>
      <c r="B5250" s="5" t="s">
        <v>11710</v>
      </c>
      <c r="C5250" s="5" t="s">
        <v>69</v>
      </c>
      <c r="D5250" s="5" t="s">
        <v>70</v>
      </c>
      <c r="E5250" s="5" t="s">
        <v>680</v>
      </c>
      <c r="F5250" s="9">
        <v>97</v>
      </c>
      <c r="G5250" s="9">
        <v>1024</v>
      </c>
      <c r="H5250" s="5" t="s">
        <v>20</v>
      </c>
      <c r="I5250" s="5" t="s">
        <v>11711</v>
      </c>
      <c r="J5250" s="12" t="str">
        <f>HYPERLINK("https://www.boe.es/gazeta/dias/1806/11/28/pdfs/GMD-1806-97.pdf#page=4","Abrir facsímil")</f>
        <v>Abrir facsímil</v>
      </c>
      <c r="K5250" s="15" t="s">
        <v>22</v>
      </c>
    </row>
    <row r="5251" spans="1:11" ht="42" customHeight="1">
      <c r="A5251" s="4" t="s">
        <v>11712</v>
      </c>
      <c r="B5251" s="5" t="s">
        <v>11713</v>
      </c>
      <c r="C5251" s="5" t="s">
        <v>17</v>
      </c>
      <c r="D5251" s="5" t="s">
        <v>18</v>
      </c>
      <c r="E5251" s="5" t="s">
        <v>76</v>
      </c>
      <c r="F5251" s="9">
        <v>98</v>
      </c>
      <c r="G5251" s="9">
        <v>1035</v>
      </c>
      <c r="H5251" s="5" t="s">
        <v>20</v>
      </c>
      <c r="I5251" s="5" t="s">
        <v>11714</v>
      </c>
      <c r="J5251" s="12" t="str">
        <f>HYPERLINK("https://www.boe.es/gazeta/dias/1806/12/02/pdfs/GMD-1806-98.pdf#page=3","Abrir facsímil")</f>
        <v>Abrir facsímil</v>
      </c>
      <c r="K5251" s="15" t="s">
        <v>22</v>
      </c>
    </row>
    <row r="5252" spans="1:11" ht="42" customHeight="1">
      <c r="A5252" s="4" t="s">
        <v>11715</v>
      </c>
      <c r="B5252" s="5" t="s">
        <v>11716</v>
      </c>
      <c r="C5252" s="5" t="s">
        <v>706</v>
      </c>
      <c r="D5252" s="5" t="s">
        <v>707</v>
      </c>
      <c r="E5252" s="5" t="s">
        <v>195</v>
      </c>
      <c r="F5252" s="9" t="s">
        <v>708</v>
      </c>
      <c r="G5252" s="9">
        <v>41</v>
      </c>
      <c r="H5252" s="5" t="s">
        <v>20</v>
      </c>
      <c r="I5252" s="5" t="s">
        <v>11717</v>
      </c>
      <c r="J5252" s="12" t="str">
        <f>HYPERLINK("https://www.boe.es/gazeta/dias/1806/01/14/pdfs/GMD-1806-5E.pdf#page=1","Abrir facsímil")</f>
        <v>Abrir facsímil</v>
      </c>
      <c r="K5252" s="15" t="s">
        <v>22</v>
      </c>
    </row>
    <row r="5253" spans="1:11" ht="42" customHeight="1">
      <c r="A5253" s="4" t="s">
        <v>11715</v>
      </c>
      <c r="B5253" s="5" t="s">
        <v>11716</v>
      </c>
      <c r="C5253" s="5" t="s">
        <v>69</v>
      </c>
      <c r="D5253" s="5" t="s">
        <v>70</v>
      </c>
      <c r="E5253" s="5" t="s">
        <v>100</v>
      </c>
      <c r="F5253" s="9">
        <v>7</v>
      </c>
      <c r="G5253" s="9">
        <v>58</v>
      </c>
      <c r="H5253" s="5" t="s">
        <v>20</v>
      </c>
      <c r="I5253" s="5" t="s">
        <v>11718</v>
      </c>
      <c r="J5253" s="12" t="str">
        <f>HYPERLINK("https://www.boe.es/gazeta/dias/1806/01/21/pdfs/GMD-1806-7.pdf#page=2","Abrir facsímil")</f>
        <v>Abrir facsímil</v>
      </c>
      <c r="K5253" s="15" t="s">
        <v>22</v>
      </c>
    </row>
    <row r="5254" spans="1:11" ht="42" customHeight="1">
      <c r="A5254" s="4" t="s">
        <v>11715</v>
      </c>
      <c r="B5254" s="5" t="s">
        <v>11716</v>
      </c>
      <c r="C5254" s="5" t="s">
        <v>69</v>
      </c>
      <c r="D5254" s="5" t="s">
        <v>70</v>
      </c>
      <c r="E5254" s="5" t="s">
        <v>540</v>
      </c>
      <c r="F5254" s="9">
        <v>51</v>
      </c>
      <c r="G5254" s="9">
        <v>523</v>
      </c>
      <c r="H5254" s="5" t="s">
        <v>20</v>
      </c>
      <c r="I5254" s="5" t="s">
        <v>11719</v>
      </c>
      <c r="J5254" s="12" t="str">
        <f>HYPERLINK("https://www.boe.es/gazeta/dias/1806/06/20/pdfs/GMD-1806-51.pdf#page=3","Abrir facsímil")</f>
        <v>Abrir facsímil</v>
      </c>
      <c r="K5254" s="15" t="s">
        <v>22</v>
      </c>
    </row>
    <row r="5255" spans="1:11" ht="42" customHeight="1">
      <c r="A5255" s="4" t="s">
        <v>11715</v>
      </c>
      <c r="B5255" s="5" t="s">
        <v>11716</v>
      </c>
      <c r="C5255" s="5" t="s">
        <v>69</v>
      </c>
      <c r="D5255" s="5" t="s">
        <v>70</v>
      </c>
      <c r="E5255" s="5" t="s">
        <v>859</v>
      </c>
      <c r="F5255" s="9">
        <v>63</v>
      </c>
      <c r="G5255" s="9">
        <v>659</v>
      </c>
      <c r="H5255" s="5" t="s">
        <v>20</v>
      </c>
      <c r="I5255" s="5" t="s">
        <v>11720</v>
      </c>
      <c r="J5255" s="12" t="str">
        <f>HYPERLINK("https://www.boe.es/gazeta/dias/1806/08/01/pdfs/GMD-1806-63.pdf#page=7","Abrir facsímil")</f>
        <v>Abrir facsímil</v>
      </c>
      <c r="K5255" s="15" t="s">
        <v>22</v>
      </c>
    </row>
    <row r="5256" spans="1:11" ht="42" customHeight="1">
      <c r="A5256" s="4" t="s">
        <v>11715</v>
      </c>
      <c r="B5256" s="5" t="s">
        <v>11716</v>
      </c>
      <c r="C5256" s="5" t="s">
        <v>36</v>
      </c>
      <c r="D5256" s="5" t="s">
        <v>37</v>
      </c>
      <c r="E5256" s="5" t="s">
        <v>48</v>
      </c>
      <c r="F5256" s="9">
        <v>67</v>
      </c>
      <c r="G5256" s="9">
        <v>695</v>
      </c>
      <c r="H5256" s="5" t="s">
        <v>20</v>
      </c>
      <c r="I5256" s="5" t="s">
        <v>11721</v>
      </c>
      <c r="J5256" s="12" t="str">
        <f>HYPERLINK("https://www.boe.es/gazeta/dias/1806/08/15/pdfs/GMD-1806-67.pdf#page=3","Abrir facsímil")</f>
        <v>Abrir facsímil</v>
      </c>
      <c r="K5256" s="15" t="s">
        <v>22</v>
      </c>
    </row>
    <row r="5257" spans="1:11" ht="42" customHeight="1">
      <c r="A5257" s="4" t="s">
        <v>11715</v>
      </c>
      <c r="B5257" s="5" t="s">
        <v>11716</v>
      </c>
      <c r="C5257" s="5" t="s">
        <v>17</v>
      </c>
      <c r="D5257" s="5" t="s">
        <v>18</v>
      </c>
      <c r="E5257" s="5" t="s">
        <v>1005</v>
      </c>
      <c r="F5257" s="9">
        <v>76</v>
      </c>
      <c r="G5257" s="9">
        <v>786</v>
      </c>
      <c r="H5257" s="5" t="s">
        <v>20</v>
      </c>
      <c r="I5257" s="5" t="s">
        <v>11722</v>
      </c>
      <c r="J5257" s="12" t="str">
        <f>HYPERLINK("https://www.boe.es/gazeta/dias/1806/09/16/pdfs/GMD-1806-76.pdf#page=6","Abrir facsímil")</f>
        <v>Abrir facsímil</v>
      </c>
      <c r="K5257" s="15" t="s">
        <v>22</v>
      </c>
    </row>
    <row r="5258" spans="1:11" ht="42" customHeight="1">
      <c r="A5258" s="4" t="s">
        <v>11715</v>
      </c>
      <c r="B5258" s="5" t="s">
        <v>11716</v>
      </c>
      <c r="C5258" s="5" t="s">
        <v>31</v>
      </c>
      <c r="D5258" s="5" t="s">
        <v>32</v>
      </c>
      <c r="E5258" s="5" t="s">
        <v>148</v>
      </c>
      <c r="F5258" s="9">
        <v>78</v>
      </c>
      <c r="G5258" s="9">
        <v>797</v>
      </c>
      <c r="H5258" s="5" t="s">
        <v>20</v>
      </c>
      <c r="I5258" s="5" t="s">
        <v>11723</v>
      </c>
      <c r="J5258" s="12" t="str">
        <f>HYPERLINK("https://www.boe.es/gazeta/dias/1806/09/23/pdfs/GMD-1806-78.pdf#page=1","Abrir facsímil")</f>
        <v>Abrir facsímil</v>
      </c>
      <c r="K5258" s="15" t="s">
        <v>22</v>
      </c>
    </row>
    <row r="5259" spans="1:11" ht="42" customHeight="1">
      <c r="A5259" s="4" t="s">
        <v>11715</v>
      </c>
      <c r="B5259" s="5" t="s">
        <v>11716</v>
      </c>
      <c r="C5259" s="5" t="s">
        <v>75</v>
      </c>
      <c r="D5259" s="5" t="s">
        <v>43</v>
      </c>
      <c r="E5259" s="5" t="s">
        <v>348</v>
      </c>
      <c r="F5259" s="9">
        <v>88</v>
      </c>
      <c r="G5259" s="9">
        <v>907</v>
      </c>
      <c r="H5259" s="5" t="s">
        <v>20</v>
      </c>
      <c r="I5259" s="5" t="s">
        <v>11724</v>
      </c>
      <c r="J5259" s="12" t="str">
        <f>HYPERLINK("https://www.boe.es/gazeta/dias/1806/10/28/pdfs/GMD-1806-88.pdf#page=3","Abrir facsímil")</f>
        <v>Abrir facsímil</v>
      </c>
      <c r="K5259" s="15" t="s">
        <v>22</v>
      </c>
    </row>
    <row r="5260" spans="1:11" ht="42" customHeight="1">
      <c r="A5260" s="4" t="s">
        <v>11715</v>
      </c>
      <c r="B5260" s="5" t="s">
        <v>11716</v>
      </c>
      <c r="C5260" s="5" t="s">
        <v>69</v>
      </c>
      <c r="D5260" s="5" t="s">
        <v>70</v>
      </c>
      <c r="E5260" s="5" t="s">
        <v>38</v>
      </c>
      <c r="F5260" s="9">
        <v>92</v>
      </c>
      <c r="G5260" s="9">
        <v>950</v>
      </c>
      <c r="H5260" s="5" t="s">
        <v>20</v>
      </c>
      <c r="I5260" s="5" t="s">
        <v>11725</v>
      </c>
      <c r="J5260" s="12" t="str">
        <f>HYPERLINK("https://www.boe.es/gazeta/dias/1806/11/11/pdfs/GMD-1806-92.pdf#page=2","Abrir facsímil")</f>
        <v>Abrir facsímil</v>
      </c>
      <c r="K5260" s="15" t="s">
        <v>22</v>
      </c>
    </row>
    <row r="5261" spans="1:11" ht="42" customHeight="1">
      <c r="A5261" s="4" t="s">
        <v>11715</v>
      </c>
      <c r="B5261" s="5" t="s">
        <v>11716</v>
      </c>
      <c r="C5261" s="5" t="s">
        <v>36</v>
      </c>
      <c r="D5261" s="5" t="s">
        <v>37</v>
      </c>
      <c r="E5261" s="5" t="s">
        <v>38</v>
      </c>
      <c r="F5261" s="9">
        <v>92</v>
      </c>
      <c r="G5261" s="9">
        <v>952</v>
      </c>
      <c r="H5261" s="5" t="s">
        <v>20</v>
      </c>
      <c r="I5261" s="5" t="s">
        <v>11726</v>
      </c>
      <c r="J5261" s="12" t="str">
        <f>HYPERLINK("https://www.boe.es/gazeta/dias/1806/11/11/pdfs/GMD-1806-92.pdf#page=4","Abrir facsímil")</f>
        <v>Abrir facsímil</v>
      </c>
      <c r="K5261" s="15" t="s">
        <v>22</v>
      </c>
    </row>
    <row r="5262" spans="1:11" ht="42" customHeight="1">
      <c r="A5262" s="4" t="s">
        <v>11715</v>
      </c>
      <c r="B5262" s="5" t="s">
        <v>11716</v>
      </c>
      <c r="C5262" s="5" t="s">
        <v>69</v>
      </c>
      <c r="D5262" s="5" t="s">
        <v>70</v>
      </c>
      <c r="E5262" s="5" t="s">
        <v>38</v>
      </c>
      <c r="F5262" s="9">
        <v>92</v>
      </c>
      <c r="G5262" s="9">
        <v>956</v>
      </c>
      <c r="H5262" s="5" t="s">
        <v>20</v>
      </c>
      <c r="I5262" s="5" t="s">
        <v>11727</v>
      </c>
      <c r="J5262" s="12" t="str">
        <f>HYPERLINK("https://www.boe.es/gazeta/dias/1806/11/11/pdfs/GMD-1806-92.pdf#page=8","Abrir facsímil")</f>
        <v>Abrir facsímil</v>
      </c>
      <c r="K5262" s="15" t="s">
        <v>22</v>
      </c>
    </row>
    <row r="5263" spans="1:11" ht="42" customHeight="1">
      <c r="A5263" s="4" t="s">
        <v>11715</v>
      </c>
      <c r="B5263" s="5" t="s">
        <v>11716</v>
      </c>
      <c r="C5263" s="5" t="s">
        <v>69</v>
      </c>
      <c r="D5263" s="5" t="s">
        <v>70</v>
      </c>
      <c r="E5263" s="5" t="s">
        <v>38</v>
      </c>
      <c r="F5263" s="9">
        <v>92</v>
      </c>
      <c r="G5263" s="9">
        <v>957</v>
      </c>
      <c r="H5263" s="5" t="s">
        <v>20</v>
      </c>
      <c r="I5263" s="5" t="s">
        <v>11728</v>
      </c>
      <c r="J5263" s="12" t="str">
        <f>HYPERLINK("https://www.boe.es/gazeta/dias/1806/11/11/pdfs/GMD-1806-92.pdf#page=9","Abrir facsímil")</f>
        <v>Abrir facsímil</v>
      </c>
      <c r="K5263" s="15" t="s">
        <v>22</v>
      </c>
    </row>
    <row r="5264" spans="1:11" ht="42" customHeight="1">
      <c r="A5264" s="4" t="s">
        <v>11715</v>
      </c>
      <c r="B5264" s="5" t="s">
        <v>11716</v>
      </c>
      <c r="C5264" s="5" t="s">
        <v>31</v>
      </c>
      <c r="D5264" s="5" t="s">
        <v>32</v>
      </c>
      <c r="E5264" s="5" t="s">
        <v>38</v>
      </c>
      <c r="F5264" s="9">
        <v>92</v>
      </c>
      <c r="G5264" s="9">
        <v>958</v>
      </c>
      <c r="H5264" s="5" t="s">
        <v>20</v>
      </c>
      <c r="I5264" s="5" t="s">
        <v>11729</v>
      </c>
      <c r="J5264" s="12" t="str">
        <f>HYPERLINK("https://www.boe.es/gazeta/dias/1806/11/11/pdfs/GMD-1806-92.pdf#page=10","Abrir facsímil")</f>
        <v>Abrir facsímil</v>
      </c>
      <c r="K5264" s="15" t="s">
        <v>22</v>
      </c>
    </row>
    <row r="5265" spans="1:11" ht="42" customHeight="1">
      <c r="A5265" s="4" t="s">
        <v>11715</v>
      </c>
      <c r="B5265" s="5" t="s">
        <v>11716</v>
      </c>
      <c r="C5265" s="5" t="s">
        <v>69</v>
      </c>
      <c r="D5265" s="5" t="s">
        <v>70</v>
      </c>
      <c r="E5265" s="5" t="s">
        <v>38</v>
      </c>
      <c r="F5265" s="9">
        <v>92</v>
      </c>
      <c r="G5265" s="9">
        <v>959</v>
      </c>
      <c r="H5265" s="5" t="s">
        <v>20</v>
      </c>
      <c r="I5265" s="5" t="s">
        <v>11730</v>
      </c>
      <c r="J5265" s="12" t="str">
        <f>HYPERLINK("https://www.boe.es/gazeta/dias/1806/11/11/pdfs/GMD-1806-92.pdf#page=11","Abrir facsímil")</f>
        <v>Abrir facsímil</v>
      </c>
      <c r="K5265" s="15" t="s">
        <v>22</v>
      </c>
    </row>
    <row r="5266" spans="1:11" ht="42" customHeight="1">
      <c r="A5266" s="4" t="s">
        <v>11715</v>
      </c>
      <c r="B5266" s="5" t="s">
        <v>11716</v>
      </c>
      <c r="C5266" s="5" t="s">
        <v>69</v>
      </c>
      <c r="D5266" s="5" t="s">
        <v>70</v>
      </c>
      <c r="E5266" s="5" t="s">
        <v>38</v>
      </c>
      <c r="F5266" s="9">
        <v>92</v>
      </c>
      <c r="G5266" s="9">
        <v>960</v>
      </c>
      <c r="H5266" s="5" t="s">
        <v>20</v>
      </c>
      <c r="I5266" s="5" t="s">
        <v>11731</v>
      </c>
      <c r="J5266" s="12" t="str">
        <f>HYPERLINK("https://www.boe.es/gazeta/dias/1806/11/11/pdfs/GMD-1806-92.pdf#page=12","Abrir facsímil")</f>
        <v>Abrir facsímil</v>
      </c>
      <c r="K5266" s="15" t="s">
        <v>22</v>
      </c>
    </row>
    <row r="5267" spans="1:11" ht="42" customHeight="1">
      <c r="A5267" s="4" t="s">
        <v>11715</v>
      </c>
      <c r="B5267" s="5" t="s">
        <v>11716</v>
      </c>
      <c r="C5267" s="5" t="s">
        <v>31</v>
      </c>
      <c r="D5267" s="5" t="s">
        <v>32</v>
      </c>
      <c r="E5267" s="5" t="s">
        <v>38</v>
      </c>
      <c r="F5267" s="9">
        <v>92</v>
      </c>
      <c r="G5267" s="9">
        <v>961</v>
      </c>
      <c r="H5267" s="5" t="s">
        <v>20</v>
      </c>
      <c r="I5267" s="5" t="s">
        <v>11732</v>
      </c>
      <c r="J5267" s="12" t="str">
        <f>HYPERLINK("https://www.boe.es/gazeta/dias/1806/11/11/pdfs/GMD-1806-92.pdf#page=13","Abrir facsímil")</f>
        <v>Abrir facsímil</v>
      </c>
      <c r="K5267" s="15" t="s">
        <v>22</v>
      </c>
    </row>
    <row r="5268" spans="1:11" ht="42" customHeight="1">
      <c r="A5268" s="4" t="s">
        <v>11715</v>
      </c>
      <c r="B5268" s="5" t="s">
        <v>11716</v>
      </c>
      <c r="C5268" s="5" t="s">
        <v>69</v>
      </c>
      <c r="D5268" s="5" t="s">
        <v>70</v>
      </c>
      <c r="E5268" s="5" t="s">
        <v>570</v>
      </c>
      <c r="F5268" s="9">
        <v>93</v>
      </c>
      <c r="G5268" s="9">
        <v>967</v>
      </c>
      <c r="H5268" s="5" t="s">
        <v>20</v>
      </c>
      <c r="I5268" s="5" t="s">
        <v>11733</v>
      </c>
      <c r="J5268" s="12" t="str">
        <f>HYPERLINK("https://www.boe.es/gazeta/dias/1806/11/14/pdfs/GMD-1806-93.pdf#page=3","Abrir facsímil")</f>
        <v>Abrir facsímil</v>
      </c>
      <c r="K5268" s="15" t="s">
        <v>22</v>
      </c>
    </row>
    <row r="5269" spans="1:11" ht="42" customHeight="1">
      <c r="A5269" s="4" t="s">
        <v>11734</v>
      </c>
      <c r="B5269" s="5" t="s">
        <v>11735</v>
      </c>
      <c r="C5269" s="5" t="s">
        <v>75</v>
      </c>
      <c r="D5269" s="5" t="s">
        <v>43</v>
      </c>
      <c r="E5269" s="5" t="s">
        <v>570</v>
      </c>
      <c r="F5269" s="9">
        <v>93</v>
      </c>
      <c r="G5269" s="9">
        <v>973</v>
      </c>
      <c r="H5269" s="5" t="s">
        <v>20</v>
      </c>
      <c r="I5269" s="5" t="s">
        <v>11736</v>
      </c>
      <c r="J5269" s="12" t="str">
        <f>HYPERLINK("https://www.boe.es/gazeta/dias/1806/11/14/pdfs/GMD-1806-93.pdf#page=9","Abrir facsímil")</f>
        <v>Abrir facsímil</v>
      </c>
      <c r="K5269" s="15" t="s">
        <v>22</v>
      </c>
    </row>
    <row r="5270" spans="1:11" ht="42" customHeight="1">
      <c r="A5270" s="4" t="s">
        <v>11715</v>
      </c>
      <c r="B5270" s="5" t="s">
        <v>11716</v>
      </c>
      <c r="C5270" s="5" t="s">
        <v>17</v>
      </c>
      <c r="D5270" s="5" t="s">
        <v>18</v>
      </c>
      <c r="E5270" s="5" t="s">
        <v>209</v>
      </c>
      <c r="F5270" s="9">
        <v>95</v>
      </c>
      <c r="G5270" s="9">
        <v>1000</v>
      </c>
      <c r="H5270" s="5" t="s">
        <v>20</v>
      </c>
      <c r="I5270" s="5" t="s">
        <v>11737</v>
      </c>
      <c r="J5270" s="12" t="str">
        <f>HYPERLINK("https://www.boe.es/gazeta/dias/1806/11/21/pdfs/GMD-1806-95.pdf#page=8","Abrir facsímil")</f>
        <v>Abrir facsímil</v>
      </c>
      <c r="K5270" s="15" t="s">
        <v>22</v>
      </c>
    </row>
    <row r="5271" spans="1:11" ht="42" customHeight="1">
      <c r="A5271" s="4" t="s">
        <v>11715</v>
      </c>
      <c r="B5271" s="5" t="s">
        <v>11716</v>
      </c>
      <c r="C5271" s="5" t="s">
        <v>17</v>
      </c>
      <c r="D5271" s="5" t="s">
        <v>18</v>
      </c>
      <c r="E5271" s="5" t="s">
        <v>209</v>
      </c>
      <c r="F5271" s="9">
        <v>95</v>
      </c>
      <c r="G5271" s="9">
        <v>994</v>
      </c>
      <c r="H5271" s="5" t="s">
        <v>20</v>
      </c>
      <c r="I5271" s="5" t="s">
        <v>11738</v>
      </c>
      <c r="J5271" s="12" t="str">
        <f>HYPERLINK("https://www.boe.es/gazeta/dias/1806/11/21/pdfs/GMD-1806-95.pdf#page=2","Abrir facsímil")</f>
        <v>Abrir facsímil</v>
      </c>
      <c r="K5271" s="15" t="s">
        <v>22</v>
      </c>
    </row>
    <row r="5272" spans="1:11" ht="42" customHeight="1">
      <c r="A5272" s="4" t="s">
        <v>11715</v>
      </c>
      <c r="B5272" s="5" t="s">
        <v>11716</v>
      </c>
      <c r="C5272" s="5" t="s">
        <v>17</v>
      </c>
      <c r="D5272" s="5" t="s">
        <v>18</v>
      </c>
      <c r="E5272" s="5" t="s">
        <v>209</v>
      </c>
      <c r="F5272" s="9">
        <v>95</v>
      </c>
      <c r="G5272" s="9">
        <v>999</v>
      </c>
      <c r="H5272" s="5" t="s">
        <v>20</v>
      </c>
      <c r="I5272" s="5" t="s">
        <v>11739</v>
      </c>
      <c r="J5272" s="12" t="str">
        <f>HYPERLINK("https://www.boe.es/gazeta/dias/1806/11/21/pdfs/GMD-1806-95.pdf#page=7","Abrir facsímil")</f>
        <v>Abrir facsímil</v>
      </c>
      <c r="K5272" s="15" t="s">
        <v>22</v>
      </c>
    </row>
    <row r="5273" spans="1:11" ht="42" customHeight="1">
      <c r="A5273" s="4" t="s">
        <v>11715</v>
      </c>
      <c r="B5273" s="5" t="s">
        <v>11716</v>
      </c>
      <c r="C5273" s="5" t="s">
        <v>75</v>
      </c>
      <c r="D5273" s="5" t="s">
        <v>43</v>
      </c>
      <c r="E5273" s="5" t="s">
        <v>657</v>
      </c>
      <c r="F5273" s="9">
        <v>96</v>
      </c>
      <c r="G5273" s="9">
        <v>1016</v>
      </c>
      <c r="H5273" s="5" t="s">
        <v>20</v>
      </c>
      <c r="I5273" s="5" t="s">
        <v>11740</v>
      </c>
      <c r="J5273" s="12" t="str">
        <f>HYPERLINK("https://www.boe.es/gazeta/dias/1806/11/25/pdfs/GMD-1806-96.pdf#page=8","Abrir facsímil")</f>
        <v>Abrir facsímil</v>
      </c>
      <c r="K5273" s="15" t="s">
        <v>22</v>
      </c>
    </row>
    <row r="5274" spans="1:11" ht="42" customHeight="1">
      <c r="A5274" s="4" t="s">
        <v>11715</v>
      </c>
      <c r="B5274" s="5" t="s">
        <v>11716</v>
      </c>
      <c r="C5274" s="5" t="s">
        <v>17</v>
      </c>
      <c r="D5274" s="5" t="s">
        <v>18</v>
      </c>
      <c r="E5274" s="5" t="s">
        <v>76</v>
      </c>
      <c r="F5274" s="9">
        <v>98</v>
      </c>
      <c r="G5274" s="9">
        <v>1035</v>
      </c>
      <c r="H5274" s="5" t="s">
        <v>20</v>
      </c>
      <c r="I5274" s="5" t="s">
        <v>11741</v>
      </c>
      <c r="J5274" s="12" t="str">
        <f>HYPERLINK("https://www.boe.es/gazeta/dias/1806/12/02/pdfs/GMD-1806-98.pdf#page=3","Abrir facsímil")</f>
        <v>Abrir facsímil</v>
      </c>
      <c r="K5274" s="15" t="s">
        <v>22</v>
      </c>
    </row>
    <row r="5275" spans="1:11" ht="42" customHeight="1">
      <c r="A5275" s="4" t="s">
        <v>11715</v>
      </c>
      <c r="B5275" s="5" t="s">
        <v>11716</v>
      </c>
      <c r="C5275" s="5" t="s">
        <v>17</v>
      </c>
      <c r="D5275" s="5" t="s">
        <v>18</v>
      </c>
      <c r="E5275" s="5" t="s">
        <v>76</v>
      </c>
      <c r="F5275" s="9">
        <v>98</v>
      </c>
      <c r="G5275" s="9">
        <v>1036</v>
      </c>
      <c r="H5275" s="5" t="s">
        <v>20</v>
      </c>
      <c r="I5275" s="5" t="s">
        <v>11742</v>
      </c>
      <c r="J5275" s="12" t="str">
        <f>HYPERLINK("https://www.boe.es/gazeta/dias/1806/12/02/pdfs/GMD-1806-98.pdf#page=4","Abrir facsímil")</f>
        <v>Abrir facsímil</v>
      </c>
      <c r="K5275" s="15" t="s">
        <v>22</v>
      </c>
    </row>
    <row r="5276" spans="1:11" ht="42" customHeight="1">
      <c r="A5276" s="4" t="s">
        <v>11715</v>
      </c>
      <c r="B5276" s="5" t="s">
        <v>11716</v>
      </c>
      <c r="C5276" s="5" t="s">
        <v>17</v>
      </c>
      <c r="D5276" s="5" t="s">
        <v>18</v>
      </c>
      <c r="E5276" s="5" t="s">
        <v>76</v>
      </c>
      <c r="F5276" s="9">
        <v>98</v>
      </c>
      <c r="G5276" s="9">
        <v>1038</v>
      </c>
      <c r="H5276" s="5" t="s">
        <v>20</v>
      </c>
      <c r="I5276" s="5" t="s">
        <v>11743</v>
      </c>
      <c r="J5276" s="12" t="str">
        <f>HYPERLINK("https://www.boe.es/gazeta/dias/1806/12/02/pdfs/GMD-1806-98.pdf#page=6","Abrir facsímil")</f>
        <v>Abrir facsímil</v>
      </c>
      <c r="K5276" s="15" t="s">
        <v>22</v>
      </c>
    </row>
    <row r="5277" spans="1:11" ht="42" customHeight="1">
      <c r="A5277" s="4" t="s">
        <v>11715</v>
      </c>
      <c r="B5277" s="5" t="s">
        <v>11716</v>
      </c>
      <c r="C5277" s="5" t="s">
        <v>17</v>
      </c>
      <c r="D5277" s="5" t="s">
        <v>18</v>
      </c>
      <c r="E5277" s="5" t="s">
        <v>76</v>
      </c>
      <c r="F5277" s="9">
        <v>98</v>
      </c>
      <c r="G5277" s="9">
        <v>1040</v>
      </c>
      <c r="H5277" s="5" t="s">
        <v>20</v>
      </c>
      <c r="I5277" s="5" t="s">
        <v>11744</v>
      </c>
      <c r="J5277" s="12" t="str">
        <f>HYPERLINK("https://www.boe.es/gazeta/dias/1806/12/02/pdfs/GMD-1806-98.pdf#page=8","Abrir facsímil")</f>
        <v>Abrir facsímil</v>
      </c>
      <c r="K5277" s="15" t="s">
        <v>22</v>
      </c>
    </row>
    <row r="5278" spans="1:11" ht="42" customHeight="1">
      <c r="A5278" s="4" t="s">
        <v>11715</v>
      </c>
      <c r="B5278" s="5" t="s">
        <v>11716</v>
      </c>
      <c r="C5278" s="5" t="s">
        <v>69</v>
      </c>
      <c r="D5278" s="5" t="s">
        <v>70</v>
      </c>
      <c r="E5278" s="5" t="s">
        <v>312</v>
      </c>
      <c r="F5278" s="9">
        <v>100</v>
      </c>
      <c r="G5278" s="9">
        <v>1061</v>
      </c>
      <c r="H5278" s="5" t="s">
        <v>20</v>
      </c>
      <c r="I5278" s="5" t="s">
        <v>11745</v>
      </c>
      <c r="J5278" s="12" t="str">
        <f>HYPERLINK("https://www.boe.es/gazeta/dias/1806/12/09/pdfs/GMD-1806-100.pdf#page=5","Abrir facsímil")</f>
        <v>Abrir facsímil</v>
      </c>
      <c r="K5278" s="15" t="s">
        <v>22</v>
      </c>
    </row>
    <row r="5279" spans="1:11" ht="42" customHeight="1">
      <c r="A5279" s="4" t="s">
        <v>11715</v>
      </c>
      <c r="B5279" s="5" t="s">
        <v>11716</v>
      </c>
      <c r="C5279" s="5" t="s">
        <v>69</v>
      </c>
      <c r="D5279" s="5" t="s">
        <v>70</v>
      </c>
      <c r="E5279" s="5" t="s">
        <v>28</v>
      </c>
      <c r="F5279" s="9">
        <v>102</v>
      </c>
      <c r="G5279" s="9">
        <v>1079</v>
      </c>
      <c r="H5279" s="5" t="s">
        <v>20</v>
      </c>
      <c r="I5279" s="5" t="s">
        <v>11746</v>
      </c>
      <c r="J5279" s="12" t="str">
        <f>HYPERLINK("https://www.boe.es/gazeta/dias/1806/12/16/pdfs/GMD-1806-102.pdf#page=3","Abrir facsímil")</f>
        <v>Abrir facsímil</v>
      </c>
      <c r="K5279" s="15" t="s">
        <v>22</v>
      </c>
    </row>
    <row r="5280" spans="1:11" ht="42" customHeight="1">
      <c r="A5280" s="4" t="s">
        <v>11715</v>
      </c>
      <c r="B5280" s="5" t="s">
        <v>11716</v>
      </c>
      <c r="C5280" s="5" t="s">
        <v>69</v>
      </c>
      <c r="D5280" s="5" t="s">
        <v>70</v>
      </c>
      <c r="E5280" s="5" t="s">
        <v>28</v>
      </c>
      <c r="F5280" s="9">
        <v>102</v>
      </c>
      <c r="G5280" s="9">
        <v>1080</v>
      </c>
      <c r="H5280" s="5" t="s">
        <v>20</v>
      </c>
      <c r="I5280" s="5" t="s">
        <v>11747</v>
      </c>
      <c r="J5280" s="12" t="str">
        <f>HYPERLINK("https://www.boe.es/gazeta/dias/1806/12/16/pdfs/GMD-1806-102.pdf#page=4","Abrir facsímil")</f>
        <v>Abrir facsímil</v>
      </c>
      <c r="K5280" s="15" t="s">
        <v>22</v>
      </c>
    </row>
    <row r="5281" spans="1:11" ht="42" customHeight="1">
      <c r="A5281" s="4" t="s">
        <v>11715</v>
      </c>
      <c r="B5281" s="5" t="s">
        <v>11716</v>
      </c>
      <c r="C5281" s="5" t="s">
        <v>69</v>
      </c>
      <c r="D5281" s="5" t="s">
        <v>70</v>
      </c>
      <c r="E5281" s="5" t="s">
        <v>28</v>
      </c>
      <c r="F5281" s="9">
        <v>102</v>
      </c>
      <c r="G5281" s="9">
        <v>1083</v>
      </c>
      <c r="H5281" s="5" t="s">
        <v>20</v>
      </c>
      <c r="I5281" s="5" t="s">
        <v>11748</v>
      </c>
      <c r="J5281" s="12" t="str">
        <f>HYPERLINK("https://www.boe.es/gazeta/dias/1806/12/16/pdfs/GMD-1806-102.pdf#page=7","Abrir facsímil")</f>
        <v>Abrir facsímil</v>
      </c>
      <c r="K5281" s="15" t="s">
        <v>22</v>
      </c>
    </row>
    <row r="5282" spans="1:11" ht="42" customHeight="1">
      <c r="A5282" s="4" t="s">
        <v>11749</v>
      </c>
      <c r="B5282" s="5" t="s">
        <v>11749</v>
      </c>
      <c r="C5282" s="5" t="s">
        <v>69</v>
      </c>
      <c r="D5282" s="5" t="s">
        <v>70</v>
      </c>
      <c r="E5282" s="5" t="s">
        <v>780</v>
      </c>
      <c r="F5282" s="9">
        <v>33</v>
      </c>
      <c r="G5282" s="9">
        <v>323</v>
      </c>
      <c r="H5282" s="5" t="s">
        <v>20</v>
      </c>
      <c r="I5282" s="5" t="s">
        <v>11750</v>
      </c>
      <c r="J5282" s="12" t="str">
        <f>HYPERLINK("https://www.boe.es/gazeta/dias/1806/04/18/pdfs/GMD-1806-33.pdf#page=3","Abrir facsímil")</f>
        <v>Abrir facsímil</v>
      </c>
      <c r="K5282" s="15" t="s">
        <v>22</v>
      </c>
    </row>
    <row r="5283" spans="1:11" ht="42" customHeight="1">
      <c r="A5283" s="4" t="s">
        <v>11751</v>
      </c>
      <c r="B5283" s="5" t="s">
        <v>11751</v>
      </c>
      <c r="C5283" s="5" t="s">
        <v>17</v>
      </c>
      <c r="D5283" s="5" t="s">
        <v>18</v>
      </c>
      <c r="E5283" s="5" t="s">
        <v>103</v>
      </c>
      <c r="F5283" s="9">
        <v>61</v>
      </c>
      <c r="G5283" s="9">
        <v>634</v>
      </c>
      <c r="H5283" s="5" t="s">
        <v>20</v>
      </c>
      <c r="I5283" s="5" t="s">
        <v>11752</v>
      </c>
      <c r="J5283" s="12" t="str">
        <f>HYPERLINK("https://www.boe.es/gazeta/dias/1806/07/25/pdfs/GMD-1806-61.pdf#page=6","Abrir facsímil")</f>
        <v>Abrir facsímil</v>
      </c>
      <c r="K5283" s="15" t="s">
        <v>22</v>
      </c>
    </row>
    <row r="5284" spans="1:11" ht="42" customHeight="1">
      <c r="A5284" s="4" t="s">
        <v>11753</v>
      </c>
      <c r="B5284" s="5" t="s">
        <v>11754</v>
      </c>
      <c r="C5284" s="5" t="s">
        <v>31</v>
      </c>
      <c r="D5284" s="5" t="s">
        <v>32</v>
      </c>
      <c r="E5284" s="5" t="s">
        <v>148</v>
      </c>
      <c r="F5284" s="9">
        <v>78</v>
      </c>
      <c r="G5284" s="9">
        <v>800</v>
      </c>
      <c r="H5284" s="5" t="s">
        <v>20</v>
      </c>
      <c r="I5284" s="5" t="s">
        <v>11755</v>
      </c>
      <c r="J5284" s="12" t="str">
        <f>HYPERLINK("https://www.boe.es/gazeta/dias/1806/09/23/pdfs/GMD-1806-78.pdf#page=4","Abrir facsímil")</f>
        <v>Abrir facsímil</v>
      </c>
      <c r="K5284" s="15" t="s">
        <v>22</v>
      </c>
    </row>
    <row r="5285" spans="1:11" ht="42" customHeight="1">
      <c r="A5285" s="4" t="s">
        <v>11756</v>
      </c>
      <c r="B5285" s="5" t="s">
        <v>11757</v>
      </c>
      <c r="C5285" s="5" t="s">
        <v>31</v>
      </c>
      <c r="D5285" s="5" t="s">
        <v>32</v>
      </c>
      <c r="E5285" s="5" t="s">
        <v>396</v>
      </c>
      <c r="F5285" s="9">
        <v>91</v>
      </c>
      <c r="G5285" s="9">
        <v>941</v>
      </c>
      <c r="H5285" s="5" t="s">
        <v>20</v>
      </c>
      <c r="I5285" s="5" t="s">
        <v>11758</v>
      </c>
      <c r="J5285" s="12" t="str">
        <f>HYPERLINK("https://www.boe.es/gazeta/dias/1806/11/07/pdfs/GMD-1806-91.pdf#page=5","Abrir facsímil")</f>
        <v>Abrir facsímil</v>
      </c>
      <c r="K5285" s="15" t="s">
        <v>22</v>
      </c>
    </row>
    <row r="5286" spans="1:11" ht="42" customHeight="1">
      <c r="A5286" s="4" t="s">
        <v>11759</v>
      </c>
      <c r="B5286" s="5" t="s">
        <v>11760</v>
      </c>
      <c r="C5286" s="5" t="s">
        <v>69</v>
      </c>
      <c r="D5286" s="5" t="s">
        <v>70</v>
      </c>
      <c r="E5286" s="5" t="s">
        <v>301</v>
      </c>
      <c r="F5286" s="9">
        <v>75</v>
      </c>
      <c r="G5286" s="9">
        <v>771</v>
      </c>
      <c r="H5286" s="5" t="s">
        <v>20</v>
      </c>
      <c r="I5286" s="5" t="s">
        <v>11761</v>
      </c>
      <c r="J5286" s="12" t="str">
        <f>HYPERLINK("https://www.boe.es/gazeta/dias/1806/09/12/pdfs/GMD-1806-75.pdf#page=3","Abrir facsímil")</f>
        <v>Abrir facsímil</v>
      </c>
      <c r="K5286" s="15" t="s">
        <v>22</v>
      </c>
    </row>
    <row r="5287" spans="1:11" ht="42" customHeight="1">
      <c r="A5287" s="4" t="s">
        <v>11762</v>
      </c>
      <c r="B5287" s="5" t="s">
        <v>11763</v>
      </c>
      <c r="C5287" s="5" t="s">
        <v>31</v>
      </c>
      <c r="D5287" s="5" t="s">
        <v>32</v>
      </c>
      <c r="E5287" s="5" t="s">
        <v>327</v>
      </c>
      <c r="F5287" s="9">
        <v>104</v>
      </c>
      <c r="G5287" s="9">
        <v>1110</v>
      </c>
      <c r="H5287" s="5" t="s">
        <v>20</v>
      </c>
      <c r="I5287" s="5" t="s">
        <v>11764</v>
      </c>
      <c r="J5287" s="12" t="str">
        <f>HYPERLINK("https://www.boe.es/gazeta/dias/1806/12/23/pdfs/GMD-1806-104.pdf#page=10","Abrir facsímil")</f>
        <v>Abrir facsímil</v>
      </c>
      <c r="K5287" s="15" t="s">
        <v>22</v>
      </c>
    </row>
    <row r="5288" spans="1:11" ht="42" customHeight="1">
      <c r="A5288" s="4" t="s">
        <v>11765</v>
      </c>
      <c r="B5288" s="5" t="s">
        <v>11766</v>
      </c>
      <c r="C5288" s="5" t="s">
        <v>69</v>
      </c>
      <c r="D5288" s="5" t="s">
        <v>70</v>
      </c>
      <c r="E5288" s="5" t="s">
        <v>271</v>
      </c>
      <c r="F5288" s="9">
        <v>6</v>
      </c>
      <c r="G5288" s="9">
        <v>48</v>
      </c>
      <c r="H5288" s="5" t="s">
        <v>20</v>
      </c>
      <c r="I5288" s="5" t="s">
        <v>11767</v>
      </c>
      <c r="J5288" s="12" t="str">
        <f>HYPERLINK("https://www.boe.es/gazeta/dias/1806/01/17/pdfs/GMD-1806-6.pdf#page=4","Abrir facsímil")</f>
        <v>Abrir facsímil</v>
      </c>
      <c r="K5288" s="15" t="s">
        <v>22</v>
      </c>
    </row>
    <row r="5289" spans="1:11" ht="42" customHeight="1">
      <c r="A5289" s="4" t="s">
        <v>11768</v>
      </c>
      <c r="B5289" s="5" t="s">
        <v>11769</v>
      </c>
      <c r="C5289" s="5" t="s">
        <v>69</v>
      </c>
      <c r="D5289" s="5" t="s">
        <v>70</v>
      </c>
      <c r="E5289" s="5" t="s">
        <v>348</v>
      </c>
      <c r="F5289" s="9">
        <v>88</v>
      </c>
      <c r="G5289" s="9">
        <v>907</v>
      </c>
      <c r="H5289" s="5" t="s">
        <v>20</v>
      </c>
      <c r="I5289" s="5" t="s">
        <v>11770</v>
      </c>
      <c r="J5289" s="12" t="str">
        <f>HYPERLINK("https://www.boe.es/gazeta/dias/1806/10/28/pdfs/GMD-1806-88.pdf#page=3","Abrir facsímil")</f>
        <v>Abrir facsímil</v>
      </c>
      <c r="K5289" s="15" t="s">
        <v>22</v>
      </c>
    </row>
    <row r="5290" spans="1:11" ht="42" customHeight="1">
      <c r="A5290" s="4" t="s">
        <v>11771</v>
      </c>
      <c r="B5290" s="5" t="s">
        <v>11772</v>
      </c>
      <c r="C5290" s="5" t="s">
        <v>69</v>
      </c>
      <c r="D5290" s="5" t="s">
        <v>70</v>
      </c>
      <c r="E5290" s="5" t="s">
        <v>1778</v>
      </c>
      <c r="F5290" s="9">
        <v>16</v>
      </c>
      <c r="G5290" s="9">
        <v>142</v>
      </c>
      <c r="H5290" s="5" t="s">
        <v>20</v>
      </c>
      <c r="I5290" s="5" t="s">
        <v>11773</v>
      </c>
      <c r="J5290" s="12" t="str">
        <f>HYPERLINK("https://www.boe.es/gazeta/dias/1806/02/18/pdfs/GMD-1806-16.pdf#page=6","Abrir facsímil")</f>
        <v>Abrir facsímil</v>
      </c>
      <c r="K5290" s="15" t="s">
        <v>22</v>
      </c>
    </row>
    <row r="5291" spans="1:11" ht="42" customHeight="1">
      <c r="A5291" s="4" t="s">
        <v>11774</v>
      </c>
      <c r="B5291" s="5" t="s">
        <v>11775</v>
      </c>
      <c r="C5291" s="5" t="s">
        <v>31</v>
      </c>
      <c r="D5291" s="5" t="s">
        <v>32</v>
      </c>
      <c r="E5291" s="5" t="s">
        <v>121</v>
      </c>
      <c r="F5291" s="9">
        <v>19</v>
      </c>
      <c r="G5291" s="9">
        <v>168</v>
      </c>
      <c r="H5291" s="5" t="s">
        <v>20</v>
      </c>
      <c r="I5291" s="5" t="s">
        <v>11776</v>
      </c>
      <c r="J5291" s="12" t="str">
        <f>HYPERLINK("https://www.boe.es/gazeta/dias/1806/02/28/pdfs/GMD-1806-19.pdf#page=4","Abrir facsímil")</f>
        <v>Abrir facsímil</v>
      </c>
      <c r="K5291" s="15" t="s">
        <v>22</v>
      </c>
    </row>
    <row r="5292" spans="1:11" ht="42" customHeight="1">
      <c r="A5292" s="4" t="s">
        <v>11777</v>
      </c>
      <c r="B5292" s="5" t="s">
        <v>11777</v>
      </c>
      <c r="C5292" s="5" t="s">
        <v>69</v>
      </c>
      <c r="D5292" s="5" t="s">
        <v>70</v>
      </c>
      <c r="E5292" s="5" t="s">
        <v>110</v>
      </c>
      <c r="F5292" s="9">
        <v>55</v>
      </c>
      <c r="G5292" s="9">
        <v>570</v>
      </c>
      <c r="H5292" s="5" t="s">
        <v>20</v>
      </c>
      <c r="I5292" s="5" t="s">
        <v>11778</v>
      </c>
      <c r="J5292" s="12" t="str">
        <f>HYPERLINK("https://www.boe.es/gazeta/dias/1806/07/04/pdfs/GMD-1806-55.pdf#page=6","Abrir facsímil")</f>
        <v>Abrir facsímil</v>
      </c>
      <c r="K5292" s="15" t="s">
        <v>22</v>
      </c>
    </row>
    <row r="5293" spans="1:11" ht="42" customHeight="1">
      <c r="A5293" s="4" t="s">
        <v>11779</v>
      </c>
      <c r="B5293" s="5" t="s">
        <v>11780</v>
      </c>
      <c r="C5293" s="5" t="s">
        <v>75</v>
      </c>
      <c r="D5293" s="5" t="s">
        <v>43</v>
      </c>
      <c r="E5293" s="5" t="s">
        <v>271</v>
      </c>
      <c r="F5293" s="9">
        <v>6</v>
      </c>
      <c r="G5293" s="9">
        <v>49</v>
      </c>
      <c r="H5293" s="5" t="s">
        <v>20</v>
      </c>
      <c r="I5293" s="5" t="s">
        <v>11781</v>
      </c>
      <c r="J5293" s="12" t="str">
        <f>HYPERLINK("https://www.boe.es/gazeta/dias/1806/01/17/pdfs/GMD-1806-6.pdf#page=5","Abrir facsímil")</f>
        <v>Abrir facsímil</v>
      </c>
      <c r="K5293" s="15" t="s">
        <v>22</v>
      </c>
    </row>
    <row r="5294" spans="1:11" ht="42" customHeight="1">
      <c r="A5294" s="4" t="s">
        <v>11779</v>
      </c>
      <c r="B5294" s="5" t="s">
        <v>11780</v>
      </c>
      <c r="C5294" s="5" t="s">
        <v>69</v>
      </c>
      <c r="D5294" s="5" t="s">
        <v>70</v>
      </c>
      <c r="E5294" s="5" t="s">
        <v>51</v>
      </c>
      <c r="F5294" s="9">
        <v>44</v>
      </c>
      <c r="G5294" s="9">
        <v>441</v>
      </c>
      <c r="H5294" s="5" t="s">
        <v>20</v>
      </c>
      <c r="I5294" s="5" t="s">
        <v>11782</v>
      </c>
      <c r="J5294" s="12" t="str">
        <f>HYPERLINK("https://www.boe.es/gazeta/dias/1806/05/27/pdfs/GMD-1806-44.pdf#page=5","Abrir facsímil")</f>
        <v>Abrir facsímil</v>
      </c>
      <c r="K5294" s="15" t="s">
        <v>22</v>
      </c>
    </row>
    <row r="5295" spans="1:11" ht="42" customHeight="1">
      <c r="A5295" s="4" t="s">
        <v>11783</v>
      </c>
      <c r="B5295" s="5" t="s">
        <v>11784</v>
      </c>
      <c r="C5295" s="5" t="s">
        <v>31</v>
      </c>
      <c r="D5295" s="5" t="s">
        <v>32</v>
      </c>
      <c r="E5295" s="5" t="s">
        <v>144</v>
      </c>
      <c r="F5295" s="9">
        <v>79</v>
      </c>
      <c r="G5295" s="9">
        <v>814</v>
      </c>
      <c r="H5295" s="5" t="s">
        <v>20</v>
      </c>
      <c r="I5295" s="5" t="s">
        <v>11785</v>
      </c>
      <c r="J5295" s="12" t="str">
        <f>HYPERLINK("https://www.boe.es/gazeta/dias/1806/09/26/pdfs/GMD-1806-79.pdf#page=6","Abrir facsímil")</f>
        <v>Abrir facsímil</v>
      </c>
      <c r="K5295" s="15" t="s">
        <v>22</v>
      </c>
    </row>
    <row r="5296" spans="1:11" ht="42" customHeight="1">
      <c r="A5296" s="4" t="s">
        <v>11786</v>
      </c>
      <c r="B5296" s="5" t="s">
        <v>11787</v>
      </c>
      <c r="C5296" s="5" t="s">
        <v>31</v>
      </c>
      <c r="D5296" s="5" t="s">
        <v>32</v>
      </c>
      <c r="E5296" s="5" t="s">
        <v>144</v>
      </c>
      <c r="F5296" s="9">
        <v>79</v>
      </c>
      <c r="G5296" s="9">
        <v>814</v>
      </c>
      <c r="H5296" s="5" t="s">
        <v>20</v>
      </c>
      <c r="I5296" s="5" t="s">
        <v>11788</v>
      </c>
      <c r="J5296" s="12" t="str">
        <f>HYPERLINK("https://www.boe.es/gazeta/dias/1806/09/26/pdfs/GMD-1806-79.pdf#page=6","Abrir facsímil")</f>
        <v>Abrir facsímil</v>
      </c>
      <c r="K5296" s="15" t="s">
        <v>22</v>
      </c>
    </row>
    <row r="5297" spans="1:11" ht="42" customHeight="1">
      <c r="A5297" s="4" t="s">
        <v>11789</v>
      </c>
      <c r="B5297" s="5" t="s">
        <v>11790</v>
      </c>
      <c r="C5297" s="5" t="s">
        <v>31</v>
      </c>
      <c r="D5297" s="5" t="s">
        <v>32</v>
      </c>
      <c r="E5297" s="5" t="s">
        <v>540</v>
      </c>
      <c r="F5297" s="9">
        <v>51</v>
      </c>
      <c r="G5297" s="9">
        <v>530</v>
      </c>
      <c r="H5297" s="5" t="s">
        <v>20</v>
      </c>
      <c r="I5297" s="5" t="s">
        <v>11791</v>
      </c>
      <c r="J5297" s="12" t="str">
        <f>HYPERLINK("https://www.boe.es/gazeta/dias/1806/06/20/pdfs/GMD-1806-51.pdf#page=10","Abrir facsímil")</f>
        <v>Abrir facsímil</v>
      </c>
      <c r="K5297" s="15" t="s">
        <v>22</v>
      </c>
    </row>
    <row r="5298" spans="1:11" ht="42" customHeight="1">
      <c r="A5298" s="4" t="s">
        <v>11792</v>
      </c>
      <c r="B5298" s="5" t="s">
        <v>11792</v>
      </c>
      <c r="C5298" s="5" t="s">
        <v>31</v>
      </c>
      <c r="D5298" s="5" t="s">
        <v>32</v>
      </c>
      <c r="E5298" s="5" t="s">
        <v>238</v>
      </c>
      <c r="F5298" s="9">
        <v>18</v>
      </c>
      <c r="G5298" s="9">
        <v>153</v>
      </c>
      <c r="H5298" s="5" t="s">
        <v>20</v>
      </c>
      <c r="I5298" s="5" t="s">
        <v>11793</v>
      </c>
      <c r="J5298" s="12" t="str">
        <f>HYPERLINK("https://www.boe.es/gazeta/dias/1806/02/25/pdfs/GMD-1806-18.pdf#page=1","Abrir facsímil")</f>
        <v>Abrir facsímil</v>
      </c>
      <c r="K5298" s="15" t="s">
        <v>22</v>
      </c>
    </row>
    <row r="5299" spans="1:11" ht="42" customHeight="1">
      <c r="A5299" s="4" t="s">
        <v>11794</v>
      </c>
      <c r="B5299" s="5" t="s">
        <v>11795</v>
      </c>
      <c r="C5299" s="5" t="s">
        <v>17</v>
      </c>
      <c r="D5299" s="5" t="s">
        <v>18</v>
      </c>
      <c r="E5299" s="5" t="s">
        <v>24</v>
      </c>
      <c r="F5299" s="9">
        <v>32</v>
      </c>
      <c r="G5299" s="9">
        <v>319</v>
      </c>
      <c r="H5299" s="5" t="s">
        <v>20</v>
      </c>
      <c r="I5299" s="5" t="s">
        <v>11796</v>
      </c>
      <c r="J5299" s="12" t="str">
        <f>HYPERLINK("https://www.boe.es/gazeta/dias/1806/04/15/pdfs/GMD-1806-32.pdf#page=11","Abrir facsímil")</f>
        <v>Abrir facsímil</v>
      </c>
      <c r="K5299" s="15" t="s">
        <v>22</v>
      </c>
    </row>
    <row r="5300" spans="1:11" ht="42" customHeight="1">
      <c r="A5300" s="4" t="s">
        <v>11797</v>
      </c>
      <c r="B5300" s="5" t="s">
        <v>11798</v>
      </c>
      <c r="C5300" s="5" t="s">
        <v>69</v>
      </c>
      <c r="D5300" s="5" t="s">
        <v>70</v>
      </c>
      <c r="E5300" s="5" t="s">
        <v>304</v>
      </c>
      <c r="F5300" s="9">
        <v>47</v>
      </c>
      <c r="G5300" s="9">
        <v>474</v>
      </c>
      <c r="H5300" s="5" t="s">
        <v>20</v>
      </c>
      <c r="I5300" s="5" t="s">
        <v>11799</v>
      </c>
      <c r="J5300" s="12" t="str">
        <f>HYPERLINK("https://www.boe.es/gazeta/dias/1806/06/06/pdfs/GMD-1806-47.pdf#page=2","Abrir facsímil")</f>
        <v>Abrir facsímil</v>
      </c>
      <c r="K5300" s="15" t="s">
        <v>22</v>
      </c>
    </row>
    <row r="5301" spans="1:11" ht="42" customHeight="1">
      <c r="A5301" s="4" t="s">
        <v>11797</v>
      </c>
      <c r="B5301" s="5" t="s">
        <v>11798</v>
      </c>
      <c r="C5301" s="5" t="s">
        <v>69</v>
      </c>
      <c r="D5301" s="5" t="s">
        <v>70</v>
      </c>
      <c r="E5301" s="5" t="s">
        <v>96</v>
      </c>
      <c r="F5301" s="9">
        <v>62</v>
      </c>
      <c r="G5301" s="9">
        <v>646</v>
      </c>
      <c r="H5301" s="5" t="s">
        <v>20</v>
      </c>
      <c r="I5301" s="5" t="s">
        <v>11800</v>
      </c>
      <c r="J5301" s="12" t="str">
        <f>HYPERLINK("https://www.boe.es/gazeta/dias/1806/07/29/pdfs/GMD-1806-62.pdf#page=6","Abrir facsímil")</f>
        <v>Abrir facsímil</v>
      </c>
      <c r="K5301" s="15" t="s">
        <v>22</v>
      </c>
    </row>
    <row r="5302" spans="1:11" ht="42" customHeight="1">
      <c r="A5302" s="4" t="s">
        <v>11797</v>
      </c>
      <c r="B5302" s="5" t="s">
        <v>11798</v>
      </c>
      <c r="C5302" s="5" t="s">
        <v>42</v>
      </c>
      <c r="D5302" s="5" t="s">
        <v>43</v>
      </c>
      <c r="E5302" s="5" t="s">
        <v>810</v>
      </c>
      <c r="F5302" s="9">
        <v>71</v>
      </c>
      <c r="G5302" s="9">
        <v>736</v>
      </c>
      <c r="H5302" s="5" t="s">
        <v>20</v>
      </c>
      <c r="I5302" s="5" t="s">
        <v>11801</v>
      </c>
      <c r="J5302" s="12" t="str">
        <f>HYPERLINK("https://www.boe.es/gazeta/dias/1806/08/29/pdfs/GMD-1806-71.pdf#page=4","Abrir facsímil")</f>
        <v>Abrir facsímil</v>
      </c>
      <c r="K5302" s="15" t="s">
        <v>22</v>
      </c>
    </row>
    <row r="5303" spans="1:11" ht="42" customHeight="1">
      <c r="A5303" s="4" t="s">
        <v>11797</v>
      </c>
      <c r="B5303" s="5" t="s">
        <v>11798</v>
      </c>
      <c r="C5303" s="5" t="s">
        <v>69</v>
      </c>
      <c r="D5303" s="5" t="s">
        <v>70</v>
      </c>
      <c r="E5303" s="5" t="s">
        <v>144</v>
      </c>
      <c r="F5303" s="9">
        <v>79</v>
      </c>
      <c r="G5303" s="9">
        <v>815</v>
      </c>
      <c r="H5303" s="5" t="s">
        <v>20</v>
      </c>
      <c r="I5303" s="5" t="s">
        <v>11802</v>
      </c>
      <c r="J5303" s="12" t="str">
        <f>HYPERLINK("https://www.boe.es/gazeta/dias/1806/09/26/pdfs/GMD-1806-79.pdf#page=7","Abrir facsímil")</f>
        <v>Abrir facsímil</v>
      </c>
      <c r="K5303" s="15" t="s">
        <v>22</v>
      </c>
    </row>
    <row r="5304" spans="1:11" ht="42" customHeight="1">
      <c r="A5304" s="4" t="s">
        <v>11803</v>
      </c>
      <c r="B5304" s="5" t="s">
        <v>11804</v>
      </c>
      <c r="C5304" s="5" t="s">
        <v>31</v>
      </c>
      <c r="D5304" s="5" t="s">
        <v>32</v>
      </c>
      <c r="E5304" s="5" t="s">
        <v>661</v>
      </c>
      <c r="F5304" s="9">
        <v>38</v>
      </c>
      <c r="G5304" s="9">
        <v>367</v>
      </c>
      <c r="H5304" s="5" t="s">
        <v>20</v>
      </c>
      <c r="I5304" s="5" t="s">
        <v>11805</v>
      </c>
      <c r="J5304" s="12" t="str">
        <f>HYPERLINK("https://www.boe.es/gazeta/dias/1806/05/06/pdfs/GMD-1806-38.pdf#page=3","Abrir facsímil")</f>
        <v>Abrir facsímil</v>
      </c>
      <c r="K5304" s="15" t="s">
        <v>22</v>
      </c>
    </row>
    <row r="5305" spans="1:11" ht="42" customHeight="1">
      <c r="A5305" s="4" t="s">
        <v>11806</v>
      </c>
      <c r="B5305" s="5" t="s">
        <v>11807</v>
      </c>
      <c r="C5305" s="5" t="s">
        <v>69</v>
      </c>
      <c r="D5305" s="5" t="s">
        <v>70</v>
      </c>
      <c r="E5305" s="5" t="s">
        <v>55</v>
      </c>
      <c r="F5305" s="9">
        <v>20</v>
      </c>
      <c r="G5305" s="9">
        <v>181</v>
      </c>
      <c r="H5305" s="5" t="s">
        <v>20</v>
      </c>
      <c r="I5305" s="5" t="s">
        <v>11808</v>
      </c>
      <c r="J5305" s="12" t="str">
        <f>HYPERLINK("https://www.boe.es/gazeta/dias/1806/03/04/pdfs/GMD-1806-20.pdf#page=5","Abrir facsímil")</f>
        <v>Abrir facsímil</v>
      </c>
      <c r="K5305" s="15" t="s">
        <v>22</v>
      </c>
    </row>
    <row r="5306" spans="1:11" ht="42" customHeight="1">
      <c r="A5306" s="4" t="s">
        <v>11806</v>
      </c>
      <c r="B5306" s="5" t="s">
        <v>11807</v>
      </c>
      <c r="C5306" s="5" t="s">
        <v>69</v>
      </c>
      <c r="D5306" s="5" t="s">
        <v>70</v>
      </c>
      <c r="E5306" s="5" t="s">
        <v>82</v>
      </c>
      <c r="F5306" s="9">
        <v>48</v>
      </c>
      <c r="G5306" s="9">
        <v>491</v>
      </c>
      <c r="H5306" s="5" t="s">
        <v>20</v>
      </c>
      <c r="I5306" s="5" t="s">
        <v>11809</v>
      </c>
      <c r="J5306" s="12" t="str">
        <f>HYPERLINK("https://www.boe.es/gazeta/dias/1806/06/10/pdfs/GMD-1806-48.pdf#page=3","Abrir facsímil")</f>
        <v>Abrir facsímil</v>
      </c>
      <c r="K5306" s="15" t="s">
        <v>22</v>
      </c>
    </row>
    <row r="5307" spans="1:11" ht="42" customHeight="1">
      <c r="A5307" s="4" t="s">
        <v>11806</v>
      </c>
      <c r="B5307" s="5" t="s">
        <v>11807</v>
      </c>
      <c r="C5307" s="5" t="s">
        <v>69</v>
      </c>
      <c r="D5307" s="5" t="s">
        <v>70</v>
      </c>
      <c r="E5307" s="5" t="s">
        <v>434</v>
      </c>
      <c r="F5307" s="9">
        <v>74</v>
      </c>
      <c r="G5307" s="9">
        <v>763</v>
      </c>
      <c r="H5307" s="5" t="s">
        <v>20</v>
      </c>
      <c r="I5307" s="5" t="s">
        <v>11810</v>
      </c>
      <c r="J5307" s="12" t="str">
        <f>HYPERLINK("https://www.boe.es/gazeta/dias/1806/09/09/pdfs/GMD-1806-74.pdf#page=3","Abrir facsímil")</f>
        <v>Abrir facsímil</v>
      </c>
      <c r="K5307" s="15" t="s">
        <v>22</v>
      </c>
    </row>
    <row r="5308" spans="1:11" ht="42" customHeight="1">
      <c r="A5308" s="4" t="s">
        <v>11806</v>
      </c>
      <c r="B5308" s="5" t="s">
        <v>11807</v>
      </c>
      <c r="C5308" s="5" t="s">
        <v>69</v>
      </c>
      <c r="D5308" s="5" t="s">
        <v>70</v>
      </c>
      <c r="E5308" s="5" t="s">
        <v>455</v>
      </c>
      <c r="F5308" s="9">
        <v>85</v>
      </c>
      <c r="G5308" s="9">
        <v>878</v>
      </c>
      <c r="H5308" s="5" t="s">
        <v>20</v>
      </c>
      <c r="I5308" s="5" t="s">
        <v>11811</v>
      </c>
      <c r="J5308" s="12" t="str">
        <f>HYPERLINK("https://www.boe.es/gazeta/dias/1806/10/17/pdfs/GMD-1806-85.pdf#page=6","Abrir facsímil")</f>
        <v>Abrir facsímil</v>
      </c>
      <c r="K5308" s="15" t="s">
        <v>22</v>
      </c>
    </row>
    <row r="5309" spans="1:11" ht="42" customHeight="1">
      <c r="A5309" s="4" t="s">
        <v>11812</v>
      </c>
      <c r="B5309" s="5" t="s">
        <v>11812</v>
      </c>
      <c r="C5309" s="5" t="s">
        <v>69</v>
      </c>
      <c r="D5309" s="5" t="s">
        <v>70</v>
      </c>
      <c r="E5309" s="5" t="s">
        <v>306</v>
      </c>
      <c r="F5309" s="9">
        <v>59</v>
      </c>
      <c r="G5309" s="9">
        <v>609</v>
      </c>
      <c r="H5309" s="5" t="s">
        <v>20</v>
      </c>
      <c r="I5309" s="5" t="s">
        <v>11813</v>
      </c>
      <c r="J5309" s="12" t="str">
        <f>HYPERLINK("https://www.boe.es/gazeta/dias/1806/07/18/pdfs/GMD-1806-59.pdf#page=5","Abrir facsímil")</f>
        <v>Abrir facsímil</v>
      </c>
      <c r="K5309" s="15" t="s">
        <v>22</v>
      </c>
    </row>
    <row r="5310" spans="1:11" ht="42" customHeight="1">
      <c r="A5310" s="4" t="s">
        <v>11814</v>
      </c>
      <c r="B5310" s="5" t="s">
        <v>11815</v>
      </c>
      <c r="C5310" s="5" t="s">
        <v>69</v>
      </c>
      <c r="D5310" s="5" t="s">
        <v>70</v>
      </c>
      <c r="E5310" s="5" t="s">
        <v>301</v>
      </c>
      <c r="F5310" s="9">
        <v>75</v>
      </c>
      <c r="G5310" s="9">
        <v>771</v>
      </c>
      <c r="H5310" s="5" t="s">
        <v>20</v>
      </c>
      <c r="I5310" s="5" t="s">
        <v>11816</v>
      </c>
      <c r="J5310" s="12" t="str">
        <f>HYPERLINK("https://www.boe.es/gazeta/dias/1806/09/12/pdfs/GMD-1806-75.pdf#page=3","Abrir facsímil")</f>
        <v>Abrir facsímil</v>
      </c>
      <c r="K5310" s="15" t="s">
        <v>22</v>
      </c>
    </row>
    <row r="5311" spans="1:11" ht="42" customHeight="1">
      <c r="A5311" s="4" t="s">
        <v>11817</v>
      </c>
      <c r="B5311" s="5" t="s">
        <v>11818</v>
      </c>
      <c r="C5311" s="5" t="s">
        <v>69</v>
      </c>
      <c r="D5311" s="5" t="s">
        <v>70</v>
      </c>
      <c r="E5311" s="5" t="s">
        <v>297</v>
      </c>
      <c r="F5311" s="9">
        <v>94</v>
      </c>
      <c r="G5311" s="9">
        <v>984</v>
      </c>
      <c r="H5311" s="5" t="s">
        <v>20</v>
      </c>
      <c r="I5311" s="5" t="s">
        <v>11819</v>
      </c>
      <c r="J5311" s="12" t="str">
        <f>HYPERLINK("https://www.boe.es/gazeta/dias/1806/11/18/pdfs/GMD-1806-94.pdf#page=4","Abrir facsímil")</f>
        <v>Abrir facsímil</v>
      </c>
      <c r="K5311" s="15" t="s">
        <v>22</v>
      </c>
    </row>
    <row r="5312" spans="1:11" ht="42" customHeight="1">
      <c r="A5312" s="4" t="s">
        <v>11820</v>
      </c>
      <c r="B5312" s="5" t="s">
        <v>11821</v>
      </c>
      <c r="C5312" s="5" t="s">
        <v>69</v>
      </c>
      <c r="D5312" s="5" t="s">
        <v>70</v>
      </c>
      <c r="E5312" s="5" t="s">
        <v>297</v>
      </c>
      <c r="F5312" s="9">
        <v>94</v>
      </c>
      <c r="G5312" s="9">
        <v>984</v>
      </c>
      <c r="H5312" s="5" t="s">
        <v>20</v>
      </c>
      <c r="I5312" s="5" t="s">
        <v>11822</v>
      </c>
      <c r="J5312" s="12" t="str">
        <f>HYPERLINK("https://www.boe.es/gazeta/dias/1806/11/18/pdfs/GMD-1806-94.pdf#page=4","Abrir facsímil")</f>
        <v>Abrir facsímil</v>
      </c>
      <c r="K5312" s="15" t="s">
        <v>22</v>
      </c>
    </row>
    <row r="5313" spans="1:11" ht="42" customHeight="1">
      <c r="A5313" s="4" t="s">
        <v>11820</v>
      </c>
      <c r="B5313" s="5" t="s">
        <v>11821</v>
      </c>
      <c r="C5313" s="5" t="s">
        <v>31</v>
      </c>
      <c r="D5313" s="5" t="s">
        <v>32</v>
      </c>
      <c r="E5313" s="5" t="s">
        <v>76</v>
      </c>
      <c r="F5313" s="9">
        <v>98</v>
      </c>
      <c r="G5313" s="9">
        <v>1038</v>
      </c>
      <c r="H5313" s="5" t="s">
        <v>20</v>
      </c>
      <c r="I5313" s="5" t="s">
        <v>11823</v>
      </c>
      <c r="J5313" s="12" t="str">
        <f>HYPERLINK("https://www.boe.es/gazeta/dias/1806/12/02/pdfs/GMD-1806-98.pdf#page=6","Abrir facsímil")</f>
        <v>Abrir facsímil</v>
      </c>
      <c r="K5313" s="15" t="s">
        <v>22</v>
      </c>
    </row>
    <row r="5314" spans="1:11" ht="42" customHeight="1">
      <c r="A5314" s="4" t="s">
        <v>11824</v>
      </c>
      <c r="B5314" s="5" t="s">
        <v>11825</v>
      </c>
      <c r="C5314" s="5" t="s">
        <v>17</v>
      </c>
      <c r="D5314" s="5" t="s">
        <v>18</v>
      </c>
      <c r="E5314" s="5" t="s">
        <v>48</v>
      </c>
      <c r="F5314" s="9">
        <v>67</v>
      </c>
      <c r="G5314" s="9">
        <v>699</v>
      </c>
      <c r="H5314" s="5" t="s">
        <v>20</v>
      </c>
      <c r="I5314" s="5" t="s">
        <v>11826</v>
      </c>
      <c r="J5314" s="12" t="str">
        <f>HYPERLINK("https://www.boe.es/gazeta/dias/1806/08/15/pdfs/GMD-1806-67.pdf#page=7","Abrir facsímil")</f>
        <v>Abrir facsímil</v>
      </c>
      <c r="K5314" s="15" t="s">
        <v>22</v>
      </c>
    </row>
    <row r="5315" spans="1:11" ht="42" customHeight="1">
      <c r="A5315" s="4" t="s">
        <v>11827</v>
      </c>
      <c r="B5315" s="5" t="s">
        <v>11828</v>
      </c>
      <c r="C5315" s="5" t="s">
        <v>42</v>
      </c>
      <c r="D5315" s="5" t="s">
        <v>43</v>
      </c>
      <c r="E5315" s="5" t="s">
        <v>367</v>
      </c>
      <c r="F5315" s="9">
        <v>87</v>
      </c>
      <c r="G5315" s="9">
        <v>901</v>
      </c>
      <c r="H5315" s="5" t="s">
        <v>20</v>
      </c>
      <c r="I5315" s="5" t="s">
        <v>11829</v>
      </c>
      <c r="J5315" s="12" t="str">
        <f>HYPERLINK("https://www.boe.es/gazeta/dias/1806/10/24/pdfs/GMD-1806-87.pdf#page=9","Abrir facsímil")</f>
        <v>Abrir facsímil</v>
      </c>
      <c r="K5315" s="15" t="s">
        <v>22</v>
      </c>
    </row>
    <row r="5316" spans="1:11" ht="42" customHeight="1">
      <c r="A5316" s="4" t="s">
        <v>11830</v>
      </c>
      <c r="B5316" s="5" t="s">
        <v>11831</v>
      </c>
      <c r="C5316" s="5" t="s">
        <v>17</v>
      </c>
      <c r="D5316" s="5" t="s">
        <v>18</v>
      </c>
      <c r="E5316" s="5" t="s">
        <v>188</v>
      </c>
      <c r="F5316" s="9">
        <v>2</v>
      </c>
      <c r="G5316" s="9">
        <v>19</v>
      </c>
      <c r="H5316" s="5" t="s">
        <v>20</v>
      </c>
      <c r="I5316" s="5" t="s">
        <v>11832</v>
      </c>
      <c r="J5316" s="12" t="str">
        <f>HYPERLINK("https://www.boe.es/gazeta/dias/1806/01/07/pdfs/GMD-1806-2.pdf#page=7","Abrir facsímil")</f>
        <v>Abrir facsímil</v>
      </c>
      <c r="K5316" s="15" t="s">
        <v>22</v>
      </c>
    </row>
    <row r="5317" spans="1:11" ht="42" customHeight="1">
      <c r="A5317" s="4" t="s">
        <v>11833</v>
      </c>
      <c r="B5317" s="5" t="s">
        <v>11834</v>
      </c>
      <c r="C5317" s="5" t="s">
        <v>31</v>
      </c>
      <c r="D5317" s="5" t="s">
        <v>32</v>
      </c>
      <c r="E5317" s="5" t="s">
        <v>661</v>
      </c>
      <c r="F5317" s="9">
        <v>38</v>
      </c>
      <c r="G5317" s="9">
        <v>373</v>
      </c>
      <c r="H5317" s="5" t="s">
        <v>20</v>
      </c>
      <c r="I5317" s="5" t="s">
        <v>11835</v>
      </c>
      <c r="J5317" s="12" t="str">
        <f>HYPERLINK("https://www.boe.es/gazeta/dias/1806/05/06/pdfs/GMD-1806-38.pdf#page=9","Abrir facsímil")</f>
        <v>Abrir facsímil</v>
      </c>
      <c r="K5317" s="15" t="s">
        <v>22</v>
      </c>
    </row>
    <row r="5318" spans="1:11" ht="42" customHeight="1">
      <c r="A5318" s="4" t="s">
        <v>11836</v>
      </c>
      <c r="B5318" s="5" t="s">
        <v>11837</v>
      </c>
      <c r="C5318" s="5" t="s">
        <v>42</v>
      </c>
      <c r="D5318" s="5" t="s">
        <v>43</v>
      </c>
      <c r="E5318" s="5" t="s">
        <v>100</v>
      </c>
      <c r="F5318" s="9">
        <v>7</v>
      </c>
      <c r="G5318" s="9">
        <v>65</v>
      </c>
      <c r="H5318" s="5" t="s">
        <v>20</v>
      </c>
      <c r="I5318" s="5" t="s">
        <v>11838</v>
      </c>
      <c r="J5318" s="12" t="str">
        <f>HYPERLINK("https://www.boe.es/gazeta/dias/1806/01/21/pdfs/GMD-1806-7.pdf#page=9","Abrir facsímil")</f>
        <v>Abrir facsímil</v>
      </c>
      <c r="K5318" s="15" t="s">
        <v>22</v>
      </c>
    </row>
    <row r="5319" spans="1:11" ht="42" customHeight="1">
      <c r="A5319" s="4" t="s">
        <v>11839</v>
      </c>
      <c r="B5319" s="5" t="s">
        <v>11840</v>
      </c>
      <c r="C5319" s="5" t="s">
        <v>31</v>
      </c>
      <c r="D5319" s="5" t="s">
        <v>32</v>
      </c>
      <c r="E5319" s="5" t="s">
        <v>327</v>
      </c>
      <c r="F5319" s="9">
        <v>104</v>
      </c>
      <c r="G5319" s="9">
        <v>1110</v>
      </c>
      <c r="H5319" s="5" t="s">
        <v>20</v>
      </c>
      <c r="I5319" s="5" t="s">
        <v>11841</v>
      </c>
      <c r="J5319" s="12" t="str">
        <f>HYPERLINK("https://www.boe.es/gazeta/dias/1806/12/23/pdfs/GMD-1806-104.pdf#page=10","Abrir facsímil")</f>
        <v>Abrir facsímil</v>
      </c>
      <c r="K5319" s="15" t="s">
        <v>22</v>
      </c>
    </row>
    <row r="5320" spans="1:11" ht="42" customHeight="1">
      <c r="A5320" s="4" t="s">
        <v>11842</v>
      </c>
      <c r="B5320" s="5" t="s">
        <v>11843</v>
      </c>
      <c r="C5320" s="5" t="s">
        <v>69</v>
      </c>
      <c r="D5320" s="5" t="s">
        <v>70</v>
      </c>
      <c r="E5320" s="5" t="s">
        <v>1005</v>
      </c>
      <c r="F5320" s="9">
        <v>76</v>
      </c>
      <c r="G5320" s="9">
        <v>781</v>
      </c>
      <c r="H5320" s="5" t="s">
        <v>20</v>
      </c>
      <c r="I5320" s="5" t="s">
        <v>11844</v>
      </c>
      <c r="J5320" s="12" t="str">
        <f>HYPERLINK("https://www.boe.es/gazeta/dias/1806/09/16/pdfs/GMD-1806-76.pdf#page=1","Abrir facsímil")</f>
        <v>Abrir facsímil</v>
      </c>
      <c r="K5320" s="15" t="s">
        <v>22</v>
      </c>
    </row>
    <row r="5321" spans="1:11" ht="42" customHeight="1">
      <c r="A5321" s="4" t="s">
        <v>11845</v>
      </c>
      <c r="B5321" s="5" t="s">
        <v>11846</v>
      </c>
      <c r="C5321" s="5" t="s">
        <v>42</v>
      </c>
      <c r="D5321" s="5" t="s">
        <v>43</v>
      </c>
      <c r="E5321" s="5" t="s">
        <v>400</v>
      </c>
      <c r="F5321" s="9">
        <v>22</v>
      </c>
      <c r="G5321" s="9">
        <v>207</v>
      </c>
      <c r="H5321" s="5" t="s">
        <v>20</v>
      </c>
      <c r="I5321" s="5" t="s">
        <v>11847</v>
      </c>
      <c r="J5321" s="12" t="str">
        <f>HYPERLINK("https://www.boe.es/gazeta/dias/1806/03/11/pdfs/GMD-1806-22.pdf#page=7","Abrir facsímil")</f>
        <v>Abrir facsímil</v>
      </c>
      <c r="K5321" s="15" t="s">
        <v>22</v>
      </c>
    </row>
    <row r="5322" spans="1:11" ht="42" customHeight="1">
      <c r="A5322" s="4" t="s">
        <v>11848</v>
      </c>
      <c r="B5322" s="5" t="s">
        <v>11849</v>
      </c>
      <c r="C5322" s="5" t="s">
        <v>69</v>
      </c>
      <c r="D5322" s="5" t="s">
        <v>70</v>
      </c>
      <c r="E5322" s="5" t="s">
        <v>455</v>
      </c>
      <c r="F5322" s="9">
        <v>85</v>
      </c>
      <c r="G5322" s="9">
        <v>873</v>
      </c>
      <c r="H5322" s="5" t="s">
        <v>20</v>
      </c>
      <c r="I5322" s="5" t="s">
        <v>11850</v>
      </c>
      <c r="J5322" s="12" t="str">
        <f>HYPERLINK("https://www.boe.es/gazeta/dias/1806/10/17/pdfs/GMD-1806-85.pdf#page=1","Abrir facsímil")</f>
        <v>Abrir facsímil</v>
      </c>
      <c r="K5322" s="15" t="s">
        <v>22</v>
      </c>
    </row>
    <row r="5323" spans="1:11" ht="42" customHeight="1">
      <c r="A5323" s="4" t="s">
        <v>11851</v>
      </c>
      <c r="B5323" s="5" t="s">
        <v>11852</v>
      </c>
      <c r="C5323" s="5" t="s">
        <v>69</v>
      </c>
      <c r="D5323" s="5" t="s">
        <v>70</v>
      </c>
      <c r="E5323" s="5" t="s">
        <v>93</v>
      </c>
      <c r="F5323" s="9">
        <v>72</v>
      </c>
      <c r="G5323" s="9">
        <v>743</v>
      </c>
      <c r="H5323" s="5" t="s">
        <v>20</v>
      </c>
      <c r="I5323" s="5" t="s">
        <v>11853</v>
      </c>
      <c r="J5323" s="12" t="str">
        <f>HYPERLINK("https://www.boe.es/gazeta/dias/1806/09/02/pdfs/GMD-1806-72.pdf#page=3","Abrir facsímil")</f>
        <v>Abrir facsímil</v>
      </c>
      <c r="K5323" s="15" t="s">
        <v>22</v>
      </c>
    </row>
    <row r="5324" spans="1:11" ht="42" customHeight="1">
      <c r="A5324" s="4" t="s">
        <v>11854</v>
      </c>
      <c r="B5324" s="5" t="s">
        <v>11855</v>
      </c>
      <c r="C5324" s="5" t="s">
        <v>31</v>
      </c>
      <c r="D5324" s="5" t="s">
        <v>32</v>
      </c>
      <c r="E5324" s="5" t="s">
        <v>227</v>
      </c>
      <c r="F5324" s="9">
        <v>27</v>
      </c>
      <c r="G5324" s="9">
        <v>264</v>
      </c>
      <c r="H5324" s="5" t="s">
        <v>20</v>
      </c>
      <c r="I5324" s="5" t="s">
        <v>11856</v>
      </c>
      <c r="J5324" s="12" t="str">
        <f>HYPERLINK("https://www.boe.es/gazeta/dias/1806/03/28/pdfs/GMD-1806-27.pdf#page=4","Abrir facsímil")</f>
        <v>Abrir facsímil</v>
      </c>
      <c r="K5324" s="15" t="s">
        <v>22</v>
      </c>
    </row>
    <row r="5325" spans="1:11" ht="42" customHeight="1">
      <c r="A5325" s="4" t="s">
        <v>11857</v>
      </c>
      <c r="B5325" s="5" t="s">
        <v>11858</v>
      </c>
      <c r="C5325" s="5" t="s">
        <v>31</v>
      </c>
      <c r="D5325" s="5" t="s">
        <v>32</v>
      </c>
      <c r="E5325" s="5" t="s">
        <v>837</v>
      </c>
      <c r="F5325" s="9">
        <v>26</v>
      </c>
      <c r="G5325" s="9">
        <v>257</v>
      </c>
      <c r="H5325" s="5" t="s">
        <v>20</v>
      </c>
      <c r="I5325" s="5" t="s">
        <v>11859</v>
      </c>
      <c r="J5325" s="12" t="str">
        <f>HYPERLINK("https://www.boe.es/gazeta/dias/1806/03/25/pdfs/GMD-1806-26.pdf#page=9","Abrir facsímil")</f>
        <v>Abrir facsímil</v>
      </c>
      <c r="K5325" s="15" t="s">
        <v>22</v>
      </c>
    </row>
    <row r="5326" spans="1:11" ht="42" customHeight="1">
      <c r="A5326" s="4" t="s">
        <v>11860</v>
      </c>
      <c r="B5326" s="5" t="s">
        <v>11861</v>
      </c>
      <c r="C5326" s="5" t="s">
        <v>17</v>
      </c>
      <c r="D5326" s="5" t="s">
        <v>18</v>
      </c>
      <c r="E5326" s="5" t="s">
        <v>48</v>
      </c>
      <c r="F5326" s="9">
        <v>67</v>
      </c>
      <c r="G5326" s="9">
        <v>701</v>
      </c>
      <c r="H5326" s="5" t="s">
        <v>20</v>
      </c>
      <c r="I5326" s="5" t="s">
        <v>11862</v>
      </c>
      <c r="J5326" s="12" t="str">
        <f>HYPERLINK("https://www.boe.es/gazeta/dias/1806/08/15/pdfs/GMD-1806-67.pdf#page=9","Abrir facsímil")</f>
        <v>Abrir facsímil</v>
      </c>
      <c r="K5326" s="15" t="s">
        <v>22</v>
      </c>
    </row>
    <row r="5327" spans="1:11" ht="42" customHeight="1">
      <c r="A5327" s="4" t="s">
        <v>11863</v>
      </c>
      <c r="B5327" s="5" t="s">
        <v>11864</v>
      </c>
      <c r="C5327" s="5" t="s">
        <v>31</v>
      </c>
      <c r="D5327" s="5" t="s">
        <v>32</v>
      </c>
      <c r="E5327" s="5" t="s">
        <v>716</v>
      </c>
      <c r="F5327" s="9">
        <v>56</v>
      </c>
      <c r="G5327" s="9">
        <v>586</v>
      </c>
      <c r="H5327" s="5" t="s">
        <v>20</v>
      </c>
      <c r="I5327" s="5" t="s">
        <v>11865</v>
      </c>
      <c r="J5327" s="12" t="str">
        <f>HYPERLINK("https://www.boe.es/gazeta/dias/1806/07/08/pdfs/GMD-1806-56.pdf#page=10","Abrir facsímil")</f>
        <v>Abrir facsímil</v>
      </c>
      <c r="K5327" s="15" t="s">
        <v>22</v>
      </c>
    </row>
    <row r="5328" spans="1:11" ht="42" customHeight="1">
      <c r="A5328" s="4" t="s">
        <v>11866</v>
      </c>
      <c r="B5328" s="5" t="s">
        <v>11867</v>
      </c>
      <c r="C5328" s="5" t="s">
        <v>31</v>
      </c>
      <c r="D5328" s="5" t="s">
        <v>32</v>
      </c>
      <c r="E5328" s="5" t="s">
        <v>28</v>
      </c>
      <c r="F5328" s="9">
        <v>102</v>
      </c>
      <c r="G5328" s="9">
        <v>1085</v>
      </c>
      <c r="H5328" s="5" t="s">
        <v>20</v>
      </c>
      <c r="I5328" s="5" t="s">
        <v>11868</v>
      </c>
      <c r="J5328" s="12" t="str">
        <f>HYPERLINK("https://www.boe.es/gazeta/dias/1806/12/16/pdfs/GMD-1806-102.pdf#page=9","Abrir facsímil")</f>
        <v>Abrir facsímil</v>
      </c>
      <c r="K5328" s="15" t="s">
        <v>22</v>
      </c>
    </row>
    <row r="5329" spans="1:11" ht="42" customHeight="1">
      <c r="A5329" s="4" t="s">
        <v>11869</v>
      </c>
      <c r="B5329" s="5" t="s">
        <v>11869</v>
      </c>
      <c r="C5329" s="5" t="s">
        <v>69</v>
      </c>
      <c r="D5329" s="5" t="s">
        <v>70</v>
      </c>
      <c r="E5329" s="5" t="s">
        <v>363</v>
      </c>
      <c r="F5329" s="9">
        <v>8</v>
      </c>
      <c r="G5329" s="9">
        <v>69</v>
      </c>
      <c r="H5329" s="5" t="s">
        <v>20</v>
      </c>
      <c r="I5329" s="5" t="s">
        <v>11870</v>
      </c>
      <c r="J5329" s="12" t="str">
        <f>HYPERLINK("https://www.boe.es/gazeta/dias/1806/01/24/pdfs/GMD-1806-8.pdf#page=1","Abrir facsímil")</f>
        <v>Abrir facsímil</v>
      </c>
      <c r="K5329" s="15" t="s">
        <v>22</v>
      </c>
    </row>
    <row r="5330" spans="1:11" ht="42" customHeight="1">
      <c r="A5330" s="4" t="s">
        <v>11869</v>
      </c>
      <c r="B5330" s="5" t="s">
        <v>11869</v>
      </c>
      <c r="C5330" s="5" t="s">
        <v>17</v>
      </c>
      <c r="D5330" s="5" t="s">
        <v>18</v>
      </c>
      <c r="E5330" s="5" t="s">
        <v>231</v>
      </c>
      <c r="F5330" s="9">
        <v>89</v>
      </c>
      <c r="G5330" s="9">
        <v>921</v>
      </c>
      <c r="H5330" s="5" t="s">
        <v>20</v>
      </c>
      <c r="I5330" s="5" t="s">
        <v>11871</v>
      </c>
      <c r="J5330" s="12" t="str">
        <f>HYPERLINK("https://www.boe.es/gazeta/dias/1806/10/31/pdfs/GMD-1806-89.pdf#page=9","Abrir facsímil")</f>
        <v>Abrir facsímil</v>
      </c>
      <c r="K5330" s="15" t="s">
        <v>22</v>
      </c>
    </row>
    <row r="5331" spans="1:11" ht="42" customHeight="1">
      <c r="A5331" s="4" t="s">
        <v>11872</v>
      </c>
      <c r="B5331" s="5" t="s">
        <v>11873</v>
      </c>
      <c r="C5331" s="5" t="s">
        <v>31</v>
      </c>
      <c r="D5331" s="5" t="s">
        <v>32</v>
      </c>
      <c r="E5331" s="5" t="s">
        <v>1031</v>
      </c>
      <c r="F5331" s="9">
        <v>107</v>
      </c>
      <c r="G5331" s="9">
        <v>1132</v>
      </c>
      <c r="H5331" s="5" t="s">
        <v>20</v>
      </c>
      <c r="I5331" s="5" t="s">
        <v>11874</v>
      </c>
      <c r="J5331" s="12" t="str">
        <f>HYPERLINK("https://www.boe.es/gazeta/dias/1806/12/30/pdfs/GMD-1806-107.pdf#page=8","Abrir facsímil")</f>
        <v>Abrir facsímil</v>
      </c>
      <c r="K5331" s="15" t="s">
        <v>22</v>
      </c>
    </row>
    <row r="5332" spans="1:11" ht="42" customHeight="1">
      <c r="A5332" s="4" t="s">
        <v>11875</v>
      </c>
      <c r="B5332" s="5" t="s">
        <v>11876</v>
      </c>
      <c r="C5332" s="5" t="s">
        <v>17</v>
      </c>
      <c r="D5332" s="5" t="s">
        <v>18</v>
      </c>
      <c r="E5332" s="5" t="s">
        <v>48</v>
      </c>
      <c r="F5332" s="9">
        <v>67</v>
      </c>
      <c r="G5332" s="9">
        <v>703</v>
      </c>
      <c r="H5332" s="5" t="s">
        <v>20</v>
      </c>
      <c r="I5332" s="5" t="s">
        <v>11877</v>
      </c>
      <c r="J5332" s="12" t="str">
        <f>HYPERLINK("https://www.boe.es/gazeta/dias/1806/08/15/pdfs/GMD-1806-67.pdf#page=11","Abrir facsímil")</f>
        <v>Abrir facsímil</v>
      </c>
      <c r="K5332" s="15" t="s">
        <v>22</v>
      </c>
    </row>
    <row r="5333" spans="1:11" ht="42" customHeight="1">
      <c r="A5333" s="4" t="s">
        <v>11878</v>
      </c>
      <c r="B5333" s="5" t="s">
        <v>11879</v>
      </c>
      <c r="C5333" s="5" t="s">
        <v>31</v>
      </c>
      <c r="D5333" s="5" t="s">
        <v>32</v>
      </c>
      <c r="E5333" s="5" t="s">
        <v>202</v>
      </c>
      <c r="F5333" s="9">
        <v>30</v>
      </c>
      <c r="G5333" s="9">
        <v>291</v>
      </c>
      <c r="H5333" s="5" t="s">
        <v>20</v>
      </c>
      <c r="I5333" s="5" t="s">
        <v>11880</v>
      </c>
      <c r="J5333" s="12" t="str">
        <f>HYPERLINK("https://www.boe.es/gazeta/dias/1806/04/08/pdfs/GMD-1806-30.pdf#page=3","Abrir facsímil")</f>
        <v>Abrir facsímil</v>
      </c>
      <c r="K5333" s="15" t="s">
        <v>22</v>
      </c>
    </row>
    <row r="5334" spans="1:11" ht="42" customHeight="1">
      <c r="A5334" s="4" t="s">
        <v>11881</v>
      </c>
      <c r="B5334" s="5" t="s">
        <v>11882</v>
      </c>
      <c r="C5334" s="5" t="s">
        <v>75</v>
      </c>
      <c r="D5334" s="5" t="s">
        <v>43</v>
      </c>
      <c r="E5334" s="5" t="s">
        <v>259</v>
      </c>
      <c r="F5334" s="9">
        <v>34</v>
      </c>
      <c r="G5334" s="9">
        <v>331</v>
      </c>
      <c r="H5334" s="5" t="s">
        <v>20</v>
      </c>
      <c r="I5334" s="5" t="s">
        <v>11883</v>
      </c>
      <c r="J5334" s="12" t="str">
        <f>HYPERLINK("https://www.boe.es/gazeta/dias/1806/04/22/pdfs/GMD-1806-34.pdf#page=3","Abrir facsímil")</f>
        <v>Abrir facsímil</v>
      </c>
      <c r="K5334" s="15" t="s">
        <v>22</v>
      </c>
    </row>
    <row r="5335" spans="1:11" ht="42" customHeight="1">
      <c r="A5335" s="4" t="s">
        <v>11884</v>
      </c>
      <c r="B5335" s="5" t="s">
        <v>11885</v>
      </c>
      <c r="C5335" s="5" t="s">
        <v>75</v>
      </c>
      <c r="D5335" s="5" t="s">
        <v>43</v>
      </c>
      <c r="E5335" s="5" t="s">
        <v>312</v>
      </c>
      <c r="F5335" s="9">
        <v>100</v>
      </c>
      <c r="G5335" s="9">
        <v>1066</v>
      </c>
      <c r="H5335" s="5" t="s">
        <v>20</v>
      </c>
      <c r="I5335" s="5" t="s">
        <v>11886</v>
      </c>
      <c r="J5335" s="12" t="str">
        <f>HYPERLINK("https://www.boe.es/gazeta/dias/1806/12/09/pdfs/GMD-1806-100.pdf#page=10","Abrir facsímil")</f>
        <v>Abrir facsímil</v>
      </c>
      <c r="K5335" s="15" t="s">
        <v>22</v>
      </c>
    </row>
    <row r="5336" spans="1:11" ht="42" customHeight="1">
      <c r="A5336" s="4" t="s">
        <v>11887</v>
      </c>
      <c r="B5336" s="5" t="s">
        <v>11888</v>
      </c>
      <c r="C5336" s="5" t="s">
        <v>36</v>
      </c>
      <c r="D5336" s="5" t="s">
        <v>37</v>
      </c>
      <c r="E5336" s="5" t="s">
        <v>79</v>
      </c>
      <c r="F5336" s="9">
        <v>68</v>
      </c>
      <c r="G5336" s="9">
        <v>711</v>
      </c>
      <c r="H5336" s="5" t="s">
        <v>20</v>
      </c>
      <c r="I5336" s="5" t="s">
        <v>11889</v>
      </c>
      <c r="J5336" s="12" t="str">
        <f>HYPERLINK("https://www.boe.es/gazeta/dias/1806/08/19/pdfs/GMD-1806-68.pdf#page=7","Abrir facsímil")</f>
        <v>Abrir facsímil</v>
      </c>
      <c r="K5336" s="15" t="s">
        <v>22</v>
      </c>
    </row>
    <row r="5337" spans="1:11" ht="42" customHeight="1">
      <c r="A5337" s="4" t="s">
        <v>11887</v>
      </c>
      <c r="B5337" s="5" t="s">
        <v>11888</v>
      </c>
      <c r="C5337" s="5" t="s">
        <v>36</v>
      </c>
      <c r="D5337" s="5" t="s">
        <v>37</v>
      </c>
      <c r="E5337" s="5" t="s">
        <v>148</v>
      </c>
      <c r="F5337" s="9">
        <v>78</v>
      </c>
      <c r="G5337" s="9">
        <v>805</v>
      </c>
      <c r="H5337" s="5" t="s">
        <v>20</v>
      </c>
      <c r="I5337" s="5" t="s">
        <v>11890</v>
      </c>
      <c r="J5337" s="12" t="str">
        <f>HYPERLINK("https://www.boe.es/gazeta/dias/1806/09/23/pdfs/GMD-1806-78.pdf#page=9","Abrir facsímil")</f>
        <v>Abrir facsímil</v>
      </c>
      <c r="K5337" s="15" t="s">
        <v>22</v>
      </c>
    </row>
    <row r="5338" spans="1:11" ht="42" customHeight="1">
      <c r="A5338" s="4" t="s">
        <v>11891</v>
      </c>
      <c r="B5338" s="5" t="s">
        <v>11892</v>
      </c>
      <c r="C5338" s="5" t="s">
        <v>17</v>
      </c>
      <c r="D5338" s="5" t="s">
        <v>18</v>
      </c>
      <c r="E5338" s="5" t="s">
        <v>181</v>
      </c>
      <c r="F5338" s="9">
        <v>99</v>
      </c>
      <c r="G5338" s="9">
        <v>1052</v>
      </c>
      <c r="H5338" s="5" t="s">
        <v>20</v>
      </c>
      <c r="I5338" s="5" t="s">
        <v>11893</v>
      </c>
      <c r="J5338" s="12" t="str">
        <f>HYPERLINK("https://www.boe.es/gazeta/dias/1806/12/05/pdfs/GMD-1806-99.pdf#page=8","Abrir facsímil")</f>
        <v>Abrir facsímil</v>
      </c>
      <c r="K5338" s="15" t="s">
        <v>22</v>
      </c>
    </row>
    <row r="5339" spans="1:11" ht="42" customHeight="1">
      <c r="A5339" s="4" t="s">
        <v>11894</v>
      </c>
      <c r="B5339" s="5" t="s">
        <v>11895</v>
      </c>
      <c r="C5339" s="5" t="s">
        <v>69</v>
      </c>
      <c r="D5339" s="5" t="s">
        <v>70</v>
      </c>
      <c r="E5339" s="5" t="s">
        <v>680</v>
      </c>
      <c r="F5339" s="9">
        <v>97</v>
      </c>
      <c r="G5339" s="9">
        <v>1022</v>
      </c>
      <c r="H5339" s="5" t="s">
        <v>20</v>
      </c>
      <c r="I5339" s="5" t="s">
        <v>11896</v>
      </c>
      <c r="J5339" s="12" t="str">
        <f>HYPERLINK("https://www.boe.es/gazeta/dias/1806/11/28/pdfs/GMD-1806-97.pdf#page=2","Abrir facsímil")</f>
        <v>Abrir facsímil</v>
      </c>
      <c r="K5339" s="15" t="s">
        <v>22</v>
      </c>
    </row>
    <row r="5340" spans="1:11" ht="42" customHeight="1">
      <c r="A5340" s="4" t="s">
        <v>11897</v>
      </c>
      <c r="B5340" s="5" t="s">
        <v>11898</v>
      </c>
      <c r="C5340" s="5" t="s">
        <v>17</v>
      </c>
      <c r="D5340" s="5" t="s">
        <v>18</v>
      </c>
      <c r="E5340" s="5" t="s">
        <v>55</v>
      </c>
      <c r="F5340" s="9">
        <v>20</v>
      </c>
      <c r="G5340" s="9">
        <v>183</v>
      </c>
      <c r="H5340" s="5" t="s">
        <v>20</v>
      </c>
      <c r="I5340" s="5" t="s">
        <v>11899</v>
      </c>
      <c r="J5340" s="12" t="str">
        <f>HYPERLINK("https://www.boe.es/gazeta/dias/1806/03/04/pdfs/GMD-1806-20.pdf#page=7","Abrir facsímil")</f>
        <v>Abrir facsímil</v>
      </c>
      <c r="K5340" s="15" t="s">
        <v>22</v>
      </c>
    </row>
    <row r="5341" spans="1:11" ht="42" customHeight="1">
      <c r="A5341" s="4" t="s">
        <v>11897</v>
      </c>
      <c r="B5341" s="5" t="s">
        <v>11898</v>
      </c>
      <c r="C5341" s="5" t="s">
        <v>17</v>
      </c>
      <c r="D5341" s="5" t="s">
        <v>18</v>
      </c>
      <c r="E5341" s="5" t="s">
        <v>213</v>
      </c>
      <c r="F5341" s="9">
        <v>73</v>
      </c>
      <c r="G5341" s="9">
        <v>757</v>
      </c>
      <c r="H5341" s="5" t="s">
        <v>20</v>
      </c>
      <c r="I5341" s="5" t="s">
        <v>11900</v>
      </c>
      <c r="J5341" s="12" t="str">
        <f>HYPERLINK("https://www.boe.es/gazeta/dias/1806/09/05/pdfs/GMD-1806-73.pdf#page=5","Abrir facsímil")</f>
        <v>Abrir facsímil</v>
      </c>
      <c r="K5341" s="15" t="s">
        <v>22</v>
      </c>
    </row>
    <row r="5342" spans="1:11" ht="42" customHeight="1">
      <c r="A5342" s="4" t="s">
        <v>11901</v>
      </c>
      <c r="B5342" s="5" t="s">
        <v>11902</v>
      </c>
      <c r="C5342" s="5" t="s">
        <v>36</v>
      </c>
      <c r="D5342" s="5" t="s">
        <v>37</v>
      </c>
      <c r="E5342" s="5" t="s">
        <v>48</v>
      </c>
      <c r="F5342" s="9">
        <v>67</v>
      </c>
      <c r="G5342" s="9">
        <v>703</v>
      </c>
      <c r="H5342" s="5" t="s">
        <v>20</v>
      </c>
      <c r="I5342" s="5" t="s">
        <v>11903</v>
      </c>
      <c r="J5342" s="12" t="str">
        <f>HYPERLINK("https://www.boe.es/gazeta/dias/1806/08/15/pdfs/GMD-1806-67.pdf#page=11","Abrir facsímil")</f>
        <v>Abrir facsímil</v>
      </c>
      <c r="K5342" s="15" t="s">
        <v>22</v>
      </c>
    </row>
    <row r="5343" spans="1:11" ht="42" customHeight="1">
      <c r="A5343" s="4" t="s">
        <v>11904</v>
      </c>
      <c r="B5343" s="5" t="s">
        <v>11904</v>
      </c>
      <c r="C5343" s="5" t="s">
        <v>69</v>
      </c>
      <c r="D5343" s="5" t="s">
        <v>70</v>
      </c>
      <c r="E5343" s="5" t="s">
        <v>716</v>
      </c>
      <c r="F5343" s="9">
        <v>56</v>
      </c>
      <c r="G5343" s="9">
        <v>578</v>
      </c>
      <c r="H5343" s="5" t="s">
        <v>20</v>
      </c>
      <c r="I5343" s="5" t="s">
        <v>11905</v>
      </c>
      <c r="J5343" s="12" t="str">
        <f>HYPERLINK("https://www.boe.es/gazeta/dias/1806/07/08/pdfs/GMD-1806-56.pdf#page=2","Abrir facsímil")</f>
        <v>Abrir facsímil</v>
      </c>
      <c r="K5343" s="15" t="s">
        <v>22</v>
      </c>
    </row>
    <row r="5344" spans="1:11" ht="42" customHeight="1">
      <c r="A5344" s="4" t="s">
        <v>11906</v>
      </c>
      <c r="B5344" s="5" t="s">
        <v>11907</v>
      </c>
      <c r="C5344" s="5" t="s">
        <v>42</v>
      </c>
      <c r="D5344" s="5" t="s">
        <v>43</v>
      </c>
      <c r="E5344" s="5" t="s">
        <v>438</v>
      </c>
      <c r="F5344" s="9">
        <v>70</v>
      </c>
      <c r="G5344" s="9">
        <v>730</v>
      </c>
      <c r="H5344" s="5" t="s">
        <v>20</v>
      </c>
      <c r="I5344" s="5" t="s">
        <v>11908</v>
      </c>
      <c r="J5344" s="12" t="str">
        <f>HYPERLINK("https://www.boe.es/gazeta/dias/1806/08/26/pdfs/GMD-1806-70.pdf#page=6","Abrir facsímil")</f>
        <v>Abrir facsímil</v>
      </c>
      <c r="K5344" s="15" t="s">
        <v>22</v>
      </c>
    </row>
    <row r="5345" spans="1:11" ht="42" customHeight="1">
      <c r="A5345" s="4" t="s">
        <v>11909</v>
      </c>
      <c r="B5345" s="5" t="s">
        <v>11909</v>
      </c>
      <c r="C5345" s="5" t="s">
        <v>31</v>
      </c>
      <c r="D5345" s="5" t="s">
        <v>32</v>
      </c>
      <c r="E5345" s="5" t="s">
        <v>911</v>
      </c>
      <c r="F5345" s="9">
        <v>64</v>
      </c>
      <c r="G5345" s="9">
        <v>671</v>
      </c>
      <c r="H5345" s="5" t="s">
        <v>20</v>
      </c>
      <c r="I5345" s="5" t="s">
        <v>11910</v>
      </c>
      <c r="J5345" s="12" t="str">
        <f>HYPERLINK("https://www.boe.es/gazeta/dias/1806/08/05/pdfs/GMD-1806-64.pdf#page=7","Abrir facsímil")</f>
        <v>Abrir facsímil</v>
      </c>
      <c r="K5345" s="15" t="s">
        <v>22</v>
      </c>
    </row>
    <row r="5346" spans="1:11" ht="42" customHeight="1">
      <c r="A5346" s="4" t="s">
        <v>11911</v>
      </c>
      <c r="B5346" s="5" t="s">
        <v>11912</v>
      </c>
      <c r="C5346" s="5" t="s">
        <v>31</v>
      </c>
      <c r="D5346" s="5" t="s">
        <v>32</v>
      </c>
      <c r="E5346" s="5" t="s">
        <v>1005</v>
      </c>
      <c r="F5346" s="9">
        <v>76</v>
      </c>
      <c r="G5346" s="9">
        <v>786</v>
      </c>
      <c r="H5346" s="5" t="s">
        <v>20</v>
      </c>
      <c r="I5346" s="5" t="s">
        <v>11913</v>
      </c>
      <c r="J5346" s="12" t="str">
        <f>HYPERLINK("https://www.boe.es/gazeta/dias/1806/09/16/pdfs/GMD-1806-76.pdf#page=6","Abrir facsímil")</f>
        <v>Abrir facsímil</v>
      </c>
      <c r="K5346" s="15" t="s">
        <v>22</v>
      </c>
    </row>
    <row r="5347" spans="1:11" ht="42" customHeight="1">
      <c r="A5347" s="4" t="s">
        <v>11914</v>
      </c>
      <c r="B5347" s="5" t="s">
        <v>11915</v>
      </c>
      <c r="C5347" s="5" t="s">
        <v>69</v>
      </c>
      <c r="D5347" s="5" t="s">
        <v>70</v>
      </c>
      <c r="E5347" s="5" t="s">
        <v>483</v>
      </c>
      <c r="F5347" s="9">
        <v>58</v>
      </c>
      <c r="G5347" s="9">
        <v>598</v>
      </c>
      <c r="H5347" s="5" t="s">
        <v>20</v>
      </c>
      <c r="I5347" s="5" t="s">
        <v>11916</v>
      </c>
      <c r="J5347" s="12" t="str">
        <f>HYPERLINK("https://www.boe.es/gazeta/dias/1806/07/15/pdfs/GMD-1806-58.pdf#page=2","Abrir facsímil")</f>
        <v>Abrir facsímil</v>
      </c>
      <c r="K5347" s="15" t="s">
        <v>22</v>
      </c>
    </row>
    <row r="5348" spans="1:11" ht="42" customHeight="1">
      <c r="A5348" s="4" t="s">
        <v>11917</v>
      </c>
      <c r="B5348" s="5" t="s">
        <v>11917</v>
      </c>
      <c r="C5348" s="5" t="s">
        <v>36</v>
      </c>
      <c r="D5348" s="5" t="s">
        <v>37</v>
      </c>
      <c r="E5348" s="5" t="s">
        <v>304</v>
      </c>
      <c r="F5348" s="9">
        <v>47</v>
      </c>
      <c r="G5348" s="9">
        <v>480</v>
      </c>
      <c r="H5348" s="5" t="s">
        <v>20</v>
      </c>
      <c r="I5348" s="5" t="s">
        <v>11918</v>
      </c>
      <c r="J5348" s="12" t="str">
        <f>HYPERLINK("https://www.boe.es/gazeta/dias/1806/06/06/pdfs/GMD-1806-47.pdf#page=8","Abrir facsímil")</f>
        <v>Abrir facsímil</v>
      </c>
      <c r="K5348" s="15" t="s">
        <v>22</v>
      </c>
    </row>
    <row r="5349" spans="1:11" ht="42" customHeight="1">
      <c r="A5349" s="4" t="s">
        <v>11919</v>
      </c>
      <c r="B5349" s="5" t="s">
        <v>11919</v>
      </c>
      <c r="C5349" s="5" t="s">
        <v>31</v>
      </c>
      <c r="D5349" s="5" t="s">
        <v>32</v>
      </c>
      <c r="E5349" s="5" t="s">
        <v>285</v>
      </c>
      <c r="F5349" s="9">
        <v>13</v>
      </c>
      <c r="G5349" s="9">
        <v>115</v>
      </c>
      <c r="H5349" s="5" t="s">
        <v>20</v>
      </c>
      <c r="I5349" s="5" t="s">
        <v>11920</v>
      </c>
      <c r="J5349" s="12" t="str">
        <f>HYPERLINK("https://www.boe.es/gazeta/dias/1806/02/07/pdfs/GMD-1806-13.pdf#page=7","Abrir facsímil")</f>
        <v>Abrir facsímil</v>
      </c>
      <c r="K5349" s="15" t="s">
        <v>22</v>
      </c>
    </row>
    <row r="5350" spans="1:11" ht="42" customHeight="1">
      <c r="A5350" s="4" t="s">
        <v>11921</v>
      </c>
      <c r="B5350" s="5" t="s">
        <v>11921</v>
      </c>
      <c r="C5350" s="5" t="s">
        <v>31</v>
      </c>
      <c r="D5350" s="5" t="s">
        <v>32</v>
      </c>
      <c r="E5350" s="5" t="s">
        <v>62</v>
      </c>
      <c r="F5350" s="9">
        <v>45</v>
      </c>
      <c r="G5350" s="9">
        <v>457</v>
      </c>
      <c r="H5350" s="5" t="s">
        <v>20</v>
      </c>
      <c r="I5350" s="5" t="s">
        <v>11922</v>
      </c>
      <c r="J5350" s="12" t="str">
        <f>HYPERLINK("https://www.boe.es/gazeta/dias/1806/05/30/pdfs/GMD-1806-45.pdf#page=9","Abrir facsímil")</f>
        <v>Abrir facsímil</v>
      </c>
      <c r="K5350" s="15" t="s">
        <v>22</v>
      </c>
    </row>
    <row r="5351" spans="1:11" ht="42" customHeight="1">
      <c r="A5351" s="4" t="s">
        <v>11923</v>
      </c>
      <c r="B5351" s="5" t="s">
        <v>11923</v>
      </c>
      <c r="C5351" s="5" t="s">
        <v>31</v>
      </c>
      <c r="D5351" s="5" t="s">
        <v>32</v>
      </c>
      <c r="E5351" s="5" t="s">
        <v>231</v>
      </c>
      <c r="F5351" s="9">
        <v>89</v>
      </c>
      <c r="G5351" s="9">
        <v>916</v>
      </c>
      <c r="H5351" s="5" t="s">
        <v>20</v>
      </c>
      <c r="I5351" s="5" t="s">
        <v>11924</v>
      </c>
      <c r="J5351" s="12" t="str">
        <f>HYPERLINK("https://www.boe.es/gazeta/dias/1806/10/31/pdfs/GMD-1806-89.pdf#page=4","Abrir facsímil")</f>
        <v>Abrir facsímil</v>
      </c>
      <c r="K5351" s="15" t="s">
        <v>22</v>
      </c>
    </row>
    <row r="5352" spans="1:11" ht="42" customHeight="1">
      <c r="A5352" s="4" t="s">
        <v>11925</v>
      </c>
      <c r="B5352" s="5" t="s">
        <v>11926</v>
      </c>
      <c r="C5352" s="5" t="s">
        <v>69</v>
      </c>
      <c r="D5352" s="5" t="s">
        <v>70</v>
      </c>
      <c r="E5352" s="5" t="s">
        <v>202</v>
      </c>
      <c r="F5352" s="9">
        <v>30</v>
      </c>
      <c r="G5352" s="9">
        <v>292</v>
      </c>
      <c r="H5352" s="5" t="s">
        <v>20</v>
      </c>
      <c r="I5352" s="5" t="s">
        <v>11927</v>
      </c>
      <c r="J5352" s="12" t="str">
        <f>HYPERLINK("https://www.boe.es/gazeta/dias/1806/04/08/pdfs/GMD-1806-30.pdf#page=4","Abrir facsímil")</f>
        <v>Abrir facsímil</v>
      </c>
      <c r="K5352" s="15" t="s">
        <v>22</v>
      </c>
    </row>
    <row r="5353" spans="1:11" ht="42" customHeight="1">
      <c r="A5353" s="4" t="s">
        <v>11925</v>
      </c>
      <c r="B5353" s="5" t="s">
        <v>11926</v>
      </c>
      <c r="C5353" s="5" t="s">
        <v>69</v>
      </c>
      <c r="D5353" s="5" t="s">
        <v>70</v>
      </c>
      <c r="E5353" s="5" t="s">
        <v>110</v>
      </c>
      <c r="F5353" s="9">
        <v>55</v>
      </c>
      <c r="G5353" s="9">
        <v>569</v>
      </c>
      <c r="H5353" s="5" t="s">
        <v>20</v>
      </c>
      <c r="I5353" s="5" t="s">
        <v>11928</v>
      </c>
      <c r="J5353" s="12" t="str">
        <f>HYPERLINK("https://www.boe.es/gazeta/dias/1806/07/04/pdfs/GMD-1806-55.pdf#page=5","Abrir facsímil")</f>
        <v>Abrir facsímil</v>
      </c>
      <c r="K5353" s="15" t="s">
        <v>22</v>
      </c>
    </row>
    <row r="5354" spans="1:11" ht="42" customHeight="1">
      <c r="A5354" s="4" t="s">
        <v>11929</v>
      </c>
      <c r="B5354" s="5" t="s">
        <v>11930</v>
      </c>
      <c r="C5354" s="5" t="s">
        <v>31</v>
      </c>
      <c r="D5354" s="5" t="s">
        <v>32</v>
      </c>
      <c r="E5354" s="5" t="s">
        <v>24</v>
      </c>
      <c r="F5354" s="9">
        <v>32</v>
      </c>
      <c r="G5354" s="9">
        <v>315</v>
      </c>
      <c r="H5354" s="5" t="s">
        <v>20</v>
      </c>
      <c r="I5354" s="5" t="s">
        <v>11931</v>
      </c>
      <c r="J5354" s="12" t="str">
        <f>HYPERLINK("https://www.boe.es/gazeta/dias/1806/04/15/pdfs/GMD-1806-32.pdf#page=7","Abrir facsímil")</f>
        <v>Abrir facsímil</v>
      </c>
      <c r="K5354" s="15" t="s">
        <v>22</v>
      </c>
    </row>
    <row r="5355" spans="1:11" ht="42" customHeight="1">
      <c r="A5355" s="4" t="s">
        <v>11932</v>
      </c>
      <c r="B5355" s="5" t="s">
        <v>11933</v>
      </c>
      <c r="C5355" s="5" t="s">
        <v>31</v>
      </c>
      <c r="D5355" s="5" t="s">
        <v>32</v>
      </c>
      <c r="E5355" s="5" t="s">
        <v>271</v>
      </c>
      <c r="F5355" s="9">
        <v>6</v>
      </c>
      <c r="G5355" s="9">
        <v>54</v>
      </c>
      <c r="H5355" s="5" t="s">
        <v>20</v>
      </c>
      <c r="I5355" s="5" t="s">
        <v>11934</v>
      </c>
      <c r="J5355" s="12" t="str">
        <f>HYPERLINK("https://www.boe.es/gazeta/dias/1806/01/17/pdfs/GMD-1806-6.pdf#page=10","Abrir facsímil")</f>
        <v>Abrir facsímil</v>
      </c>
      <c r="K5355" s="15" t="s">
        <v>22</v>
      </c>
    </row>
    <row r="5356" spans="1:11" ht="42" customHeight="1">
      <c r="A5356" s="4" t="s">
        <v>11935</v>
      </c>
      <c r="B5356" s="5" t="s">
        <v>11936</v>
      </c>
      <c r="C5356" s="5" t="s">
        <v>31</v>
      </c>
      <c r="D5356" s="5" t="s">
        <v>32</v>
      </c>
      <c r="E5356" s="5" t="s">
        <v>181</v>
      </c>
      <c r="F5356" s="9">
        <v>99</v>
      </c>
      <c r="G5356" s="9">
        <v>1053</v>
      </c>
      <c r="H5356" s="5" t="s">
        <v>20</v>
      </c>
      <c r="I5356" s="5" t="s">
        <v>11937</v>
      </c>
      <c r="J5356" s="12" t="str">
        <f>HYPERLINK("https://www.boe.es/gazeta/dias/1806/12/05/pdfs/GMD-1806-99.pdf#page=9","Abrir facsímil")</f>
        <v>Abrir facsímil</v>
      </c>
      <c r="K5356" s="15" t="s">
        <v>22</v>
      </c>
    </row>
    <row r="5357" spans="1:11" ht="42" customHeight="1">
      <c r="A5357" s="4" t="s">
        <v>11938</v>
      </c>
      <c r="B5357" s="5" t="s">
        <v>11939</v>
      </c>
      <c r="C5357" s="5" t="s">
        <v>31</v>
      </c>
      <c r="D5357" s="5" t="s">
        <v>32</v>
      </c>
      <c r="E5357" s="5" t="s">
        <v>859</v>
      </c>
      <c r="F5357" s="9">
        <v>63</v>
      </c>
      <c r="G5357" s="9">
        <v>658</v>
      </c>
      <c r="H5357" s="5" t="s">
        <v>20</v>
      </c>
      <c r="I5357" s="5" t="s">
        <v>11940</v>
      </c>
      <c r="J5357" s="12" t="str">
        <f>HYPERLINK("https://www.boe.es/gazeta/dias/1806/08/01/pdfs/GMD-1806-63.pdf#page=6","Abrir facsímil")</f>
        <v>Abrir facsímil</v>
      </c>
      <c r="K5357" s="15" t="s">
        <v>22</v>
      </c>
    </row>
    <row r="5358" spans="1:11" ht="42" customHeight="1">
      <c r="A5358" s="4" t="s">
        <v>11941</v>
      </c>
      <c r="B5358" s="5" t="s">
        <v>11942</v>
      </c>
      <c r="C5358" s="5" t="s">
        <v>69</v>
      </c>
      <c r="D5358" s="5" t="s">
        <v>70</v>
      </c>
      <c r="E5358" s="5" t="s">
        <v>580</v>
      </c>
      <c r="F5358" s="9">
        <v>23</v>
      </c>
      <c r="G5358" s="9">
        <v>213</v>
      </c>
      <c r="H5358" s="5" t="s">
        <v>20</v>
      </c>
      <c r="I5358" s="5" t="s">
        <v>11943</v>
      </c>
      <c r="J5358" s="12" t="str">
        <f>HYPERLINK("https://www.boe.es/gazeta/dias/1806/03/14/pdfs/GMD-1806-23.pdf#page=1","Abrir facsímil")</f>
        <v>Abrir facsímil</v>
      </c>
      <c r="K5358" s="15" t="s">
        <v>22</v>
      </c>
    </row>
    <row r="5359" spans="1:11" ht="42" customHeight="1">
      <c r="A5359" s="4" t="s">
        <v>11944</v>
      </c>
      <c r="B5359" s="5" t="s">
        <v>11944</v>
      </c>
      <c r="C5359" s="5" t="s">
        <v>36</v>
      </c>
      <c r="D5359" s="5" t="s">
        <v>37</v>
      </c>
      <c r="E5359" s="5" t="s">
        <v>702</v>
      </c>
      <c r="F5359" s="9">
        <v>43</v>
      </c>
      <c r="G5359" s="9">
        <v>435</v>
      </c>
      <c r="H5359" s="5" t="s">
        <v>20</v>
      </c>
      <c r="I5359" s="5" t="s">
        <v>11945</v>
      </c>
      <c r="J5359" s="12" t="str">
        <f>HYPERLINK("https://www.boe.es/gazeta/dias/1806/05/23/pdfs/GMD-1806-43.pdf#page=11","Abrir facsímil")</f>
        <v>Abrir facsímil</v>
      </c>
      <c r="K5359" s="15" t="s">
        <v>22</v>
      </c>
    </row>
    <row r="5360" spans="1:11" ht="42" customHeight="1">
      <c r="A5360" s="4" t="s">
        <v>11946</v>
      </c>
      <c r="B5360" s="5" t="s">
        <v>11946</v>
      </c>
      <c r="C5360" s="5" t="s">
        <v>17</v>
      </c>
      <c r="D5360" s="5" t="s">
        <v>18</v>
      </c>
      <c r="E5360" s="5" t="s">
        <v>191</v>
      </c>
      <c r="F5360" s="9">
        <v>103</v>
      </c>
      <c r="G5360" s="9">
        <v>1098</v>
      </c>
      <c r="H5360" s="5" t="s">
        <v>20</v>
      </c>
      <c r="I5360" s="5" t="s">
        <v>11947</v>
      </c>
      <c r="J5360" s="12" t="str">
        <f>HYPERLINK("https://www.boe.es/gazeta/dias/1806/12/19/pdfs/GMD-1806-103.pdf#page=10","Abrir facsímil")</f>
        <v>Abrir facsímil</v>
      </c>
      <c r="K5360" s="15" t="s">
        <v>22</v>
      </c>
    </row>
    <row r="5361" spans="1:11" ht="42" customHeight="1">
      <c r="A5361" s="4" t="s">
        <v>11948</v>
      </c>
      <c r="B5361" s="5" t="s">
        <v>11948</v>
      </c>
      <c r="C5361" s="5" t="s">
        <v>36</v>
      </c>
      <c r="D5361" s="5" t="s">
        <v>37</v>
      </c>
      <c r="E5361" s="5" t="s">
        <v>121</v>
      </c>
      <c r="F5361" s="9">
        <v>19</v>
      </c>
      <c r="G5361" s="9">
        <v>176</v>
      </c>
      <c r="H5361" s="5" t="s">
        <v>20</v>
      </c>
      <c r="I5361" s="5" t="s">
        <v>11949</v>
      </c>
      <c r="J5361" s="12" t="str">
        <f>HYPERLINK("https://www.boe.es/gazeta/dias/1806/02/28/pdfs/GMD-1806-19.pdf#page=12","Abrir facsímil")</f>
        <v>Abrir facsímil</v>
      </c>
      <c r="K5361" s="15" t="s">
        <v>22</v>
      </c>
    </row>
    <row r="5362" spans="1:11" ht="42" customHeight="1">
      <c r="A5362" s="4" t="s">
        <v>11948</v>
      </c>
      <c r="B5362" s="5" t="s">
        <v>11948</v>
      </c>
      <c r="C5362" s="5" t="s">
        <v>17</v>
      </c>
      <c r="D5362" s="5" t="s">
        <v>18</v>
      </c>
      <c r="E5362" s="5" t="s">
        <v>110</v>
      </c>
      <c r="F5362" s="9">
        <v>55</v>
      </c>
      <c r="G5362" s="9">
        <v>575</v>
      </c>
      <c r="H5362" s="5" t="s">
        <v>20</v>
      </c>
      <c r="I5362" s="5" t="s">
        <v>11950</v>
      </c>
      <c r="J5362" s="12" t="str">
        <f>HYPERLINK("https://www.boe.es/gazeta/dias/1806/07/04/pdfs/GMD-1806-55.pdf#page=11","Abrir facsímil")</f>
        <v>Abrir facsímil</v>
      </c>
      <c r="K5362" s="15" t="s">
        <v>22</v>
      </c>
    </row>
    <row r="5363" spans="1:11" ht="42" customHeight="1">
      <c r="A5363" s="4" t="s">
        <v>11951</v>
      </c>
      <c r="B5363" s="5" t="s">
        <v>11951</v>
      </c>
      <c r="C5363" s="5" t="s">
        <v>75</v>
      </c>
      <c r="D5363" s="5" t="s">
        <v>43</v>
      </c>
      <c r="E5363" s="5" t="s">
        <v>178</v>
      </c>
      <c r="F5363" s="9">
        <v>36</v>
      </c>
      <c r="G5363" s="9">
        <v>350</v>
      </c>
      <c r="H5363" s="5" t="s">
        <v>20</v>
      </c>
      <c r="I5363" s="5" t="s">
        <v>11952</v>
      </c>
      <c r="J5363" s="12" t="str">
        <f>HYPERLINK("https://www.boe.es/gazeta/dias/1806/04/29/pdfs/GMD-1806-36.pdf#page=6","Abrir facsímil")</f>
        <v>Abrir facsímil</v>
      </c>
      <c r="K5363" s="15" t="s">
        <v>22</v>
      </c>
    </row>
    <row r="5364" spans="1:11" ht="42" customHeight="1">
      <c r="A5364" s="4" t="s">
        <v>11953</v>
      </c>
      <c r="B5364" s="5" t="s">
        <v>11953</v>
      </c>
      <c r="C5364" s="5" t="s">
        <v>42</v>
      </c>
      <c r="D5364" s="5" t="s">
        <v>43</v>
      </c>
      <c r="E5364" s="5" t="s">
        <v>780</v>
      </c>
      <c r="F5364" s="9">
        <v>33</v>
      </c>
      <c r="G5364" s="9">
        <v>326</v>
      </c>
      <c r="H5364" s="5" t="s">
        <v>20</v>
      </c>
      <c r="I5364" s="5" t="s">
        <v>11954</v>
      </c>
      <c r="J5364" s="12" t="str">
        <f>HYPERLINK("https://www.boe.es/gazeta/dias/1806/04/18/pdfs/GMD-1806-33.pdf#page=6","Abrir facsímil")</f>
        <v>Abrir facsímil</v>
      </c>
      <c r="K5364" s="15" t="s">
        <v>22</v>
      </c>
    </row>
    <row r="5365" spans="1:11" ht="42" customHeight="1">
      <c r="A5365" s="4" t="s">
        <v>11955</v>
      </c>
      <c r="B5365" s="5" t="s">
        <v>11955</v>
      </c>
      <c r="C5365" s="5" t="s">
        <v>17</v>
      </c>
      <c r="D5365" s="5" t="s">
        <v>18</v>
      </c>
      <c r="E5365" s="5" t="s">
        <v>279</v>
      </c>
      <c r="F5365" s="9">
        <v>52</v>
      </c>
      <c r="G5365" s="9">
        <v>543</v>
      </c>
      <c r="H5365" s="5" t="s">
        <v>20</v>
      </c>
      <c r="I5365" s="5" t="s">
        <v>11956</v>
      </c>
      <c r="J5365" s="12" t="str">
        <f>HYPERLINK("https://www.boe.es/gazeta/dias/1806/06/24/pdfs/GMD-1806-52.pdf#page=11","Abrir facsímil")</f>
        <v>Abrir facsímil</v>
      </c>
      <c r="K5365" s="15" t="s">
        <v>22</v>
      </c>
    </row>
    <row r="5366" spans="1:11" ht="42" customHeight="1">
      <c r="A5366" s="4" t="s">
        <v>11957</v>
      </c>
      <c r="B5366" s="5" t="s">
        <v>11957</v>
      </c>
      <c r="C5366" s="5" t="s">
        <v>31</v>
      </c>
      <c r="D5366" s="5" t="s">
        <v>32</v>
      </c>
      <c r="E5366" s="5" t="s">
        <v>600</v>
      </c>
      <c r="F5366" s="9">
        <v>77</v>
      </c>
      <c r="G5366" s="9">
        <v>791</v>
      </c>
      <c r="H5366" s="5" t="s">
        <v>20</v>
      </c>
      <c r="I5366" s="5" t="s">
        <v>11958</v>
      </c>
      <c r="J5366" s="12" t="str">
        <f>HYPERLINK("https://www.boe.es/gazeta/dias/1806/09/19/pdfs/GMD-1806-77.pdf#page=3","Abrir facsímil")</f>
        <v>Abrir facsímil</v>
      </c>
      <c r="K5366" s="15" t="s">
        <v>22</v>
      </c>
    </row>
    <row r="5367" spans="1:11" ht="42" customHeight="1">
      <c r="A5367" s="4" t="s">
        <v>11959</v>
      </c>
      <c r="B5367" s="5" t="s">
        <v>11960</v>
      </c>
      <c r="C5367" s="5" t="s">
        <v>31</v>
      </c>
      <c r="D5367" s="5" t="s">
        <v>32</v>
      </c>
      <c r="E5367" s="5" t="s">
        <v>434</v>
      </c>
      <c r="F5367" s="9">
        <v>74</v>
      </c>
      <c r="G5367" s="9">
        <v>767</v>
      </c>
      <c r="H5367" s="5" t="s">
        <v>20</v>
      </c>
      <c r="I5367" s="5" t="s">
        <v>11961</v>
      </c>
      <c r="J5367" s="12" t="str">
        <f>HYPERLINK("https://www.boe.es/gazeta/dias/1806/09/09/pdfs/GMD-1806-74.pdf#page=7","Abrir facsímil")</f>
        <v>Abrir facsímil</v>
      </c>
      <c r="K5367" s="15" t="s">
        <v>22</v>
      </c>
    </row>
    <row r="5368" spans="1:11" ht="42" customHeight="1">
      <c r="A5368" s="4" t="s">
        <v>11962</v>
      </c>
      <c r="B5368" s="5" t="s">
        <v>11963</v>
      </c>
      <c r="C5368" s="5" t="s">
        <v>31</v>
      </c>
      <c r="D5368" s="5" t="s">
        <v>32</v>
      </c>
      <c r="E5368" s="5" t="s">
        <v>430</v>
      </c>
      <c r="F5368" s="9">
        <v>12</v>
      </c>
      <c r="G5368" s="9">
        <v>106</v>
      </c>
      <c r="H5368" s="5" t="s">
        <v>20</v>
      </c>
      <c r="I5368" s="5" t="s">
        <v>11964</v>
      </c>
      <c r="J5368" s="12" t="str">
        <f>HYPERLINK("https://www.boe.es/gazeta/dias/1806/02/04/pdfs/GMD-1806-12.pdf#page=6","Abrir facsímil")</f>
        <v>Abrir facsímil</v>
      </c>
      <c r="K5368" s="15" t="s">
        <v>22</v>
      </c>
    </row>
    <row r="5369" spans="1:11" ht="42" customHeight="1">
      <c r="A5369" s="4" t="s">
        <v>11965</v>
      </c>
      <c r="B5369" s="5" t="s">
        <v>11965</v>
      </c>
      <c r="C5369" s="5" t="s">
        <v>31</v>
      </c>
      <c r="D5369" s="5" t="s">
        <v>32</v>
      </c>
      <c r="E5369" s="5" t="s">
        <v>780</v>
      </c>
      <c r="F5369" s="9">
        <v>33</v>
      </c>
      <c r="G5369" s="9">
        <v>327</v>
      </c>
      <c r="H5369" s="5" t="s">
        <v>20</v>
      </c>
      <c r="I5369" s="5" t="s">
        <v>11966</v>
      </c>
      <c r="J5369" s="12" t="str">
        <f>HYPERLINK("https://www.boe.es/gazeta/dias/1806/04/18/pdfs/GMD-1806-33.pdf#page=7","Abrir facsímil")</f>
        <v>Abrir facsímil</v>
      </c>
      <c r="K5369" s="15" t="s">
        <v>22</v>
      </c>
    </row>
    <row r="5370" spans="1:11" ht="42" customHeight="1">
      <c r="A5370" s="4" t="s">
        <v>11967</v>
      </c>
      <c r="B5370" s="5" t="s">
        <v>11967</v>
      </c>
      <c r="C5370" s="5" t="s">
        <v>31</v>
      </c>
      <c r="D5370" s="5" t="s">
        <v>32</v>
      </c>
      <c r="E5370" s="5" t="s">
        <v>165</v>
      </c>
      <c r="F5370" s="9">
        <v>101</v>
      </c>
      <c r="G5370" s="9">
        <v>1070</v>
      </c>
      <c r="H5370" s="5" t="s">
        <v>20</v>
      </c>
      <c r="I5370" s="5" t="s">
        <v>11968</v>
      </c>
      <c r="J5370" s="12" t="str">
        <f>HYPERLINK("https://www.boe.es/gazeta/dias/1806/12/12/pdfs/GMD-1806-101.pdf#page=2","Abrir facsímil")</f>
        <v>Abrir facsímil</v>
      </c>
      <c r="K5370" s="15" t="s">
        <v>22</v>
      </c>
    </row>
    <row r="5371" spans="1:11" ht="42" customHeight="1">
      <c r="A5371" s="4" t="s">
        <v>11969</v>
      </c>
      <c r="B5371" s="5" t="s">
        <v>11970</v>
      </c>
      <c r="C5371" s="5" t="s">
        <v>17</v>
      </c>
      <c r="D5371" s="5" t="s">
        <v>18</v>
      </c>
      <c r="E5371" s="5" t="s">
        <v>19</v>
      </c>
      <c r="F5371" s="9">
        <v>3</v>
      </c>
      <c r="G5371" s="9">
        <v>25</v>
      </c>
      <c r="H5371" s="5" t="s">
        <v>20</v>
      </c>
      <c r="I5371" s="5" t="s">
        <v>11971</v>
      </c>
      <c r="J5371" s="12" t="str">
        <f>HYPERLINK("https://www.boe.es/gazeta/dias/1806/01/10/pdfs/GMD-1806-3.pdf#page=5","Abrir facsímil")</f>
        <v>Abrir facsímil</v>
      </c>
      <c r="K5371" s="15" t="s">
        <v>22</v>
      </c>
    </row>
    <row r="5372" spans="1:11" ht="42" customHeight="1">
      <c r="A5372" s="4" t="s">
        <v>11972</v>
      </c>
      <c r="B5372" s="5" t="s">
        <v>11973</v>
      </c>
      <c r="C5372" s="5" t="s">
        <v>69</v>
      </c>
      <c r="D5372" s="5" t="s">
        <v>70</v>
      </c>
      <c r="E5372" s="5" t="s">
        <v>501</v>
      </c>
      <c r="F5372" s="9">
        <v>39</v>
      </c>
      <c r="G5372" s="9">
        <v>380</v>
      </c>
      <c r="H5372" s="5" t="s">
        <v>20</v>
      </c>
      <c r="I5372" s="5" t="s">
        <v>11974</v>
      </c>
      <c r="J5372" s="12" t="str">
        <f>HYPERLINK("https://www.boe.es/gazeta/dias/1806/05/09/pdfs/GMD-1806-39.pdf#page=4","Abrir facsímil")</f>
        <v>Abrir facsímil</v>
      </c>
      <c r="K5372" s="15" t="s">
        <v>22</v>
      </c>
    </row>
    <row r="5373" spans="1:11" ht="42" customHeight="1">
      <c r="A5373" s="4" t="s">
        <v>11972</v>
      </c>
      <c r="B5373" s="5" t="s">
        <v>11973</v>
      </c>
      <c r="C5373" s="5" t="s">
        <v>69</v>
      </c>
      <c r="D5373" s="5" t="s">
        <v>70</v>
      </c>
      <c r="E5373" s="5" t="s">
        <v>304</v>
      </c>
      <c r="F5373" s="9">
        <v>47</v>
      </c>
      <c r="G5373" s="9">
        <v>474</v>
      </c>
      <c r="H5373" s="5" t="s">
        <v>20</v>
      </c>
      <c r="I5373" s="5" t="s">
        <v>11975</v>
      </c>
      <c r="J5373" s="12" t="str">
        <f>HYPERLINK("https://www.boe.es/gazeta/dias/1806/06/06/pdfs/GMD-1806-47.pdf#page=2","Abrir facsímil")</f>
        <v>Abrir facsímil</v>
      </c>
      <c r="K5373" s="15" t="s">
        <v>22</v>
      </c>
    </row>
    <row r="5374" spans="1:11" ht="42" customHeight="1">
      <c r="A5374" s="4" t="s">
        <v>11976</v>
      </c>
      <c r="B5374" s="5" t="s">
        <v>11977</v>
      </c>
      <c r="C5374" s="5" t="s">
        <v>69</v>
      </c>
      <c r="D5374" s="5" t="s">
        <v>70</v>
      </c>
      <c r="E5374" s="5" t="s">
        <v>306</v>
      </c>
      <c r="F5374" s="9">
        <v>59</v>
      </c>
      <c r="G5374" s="9">
        <v>609</v>
      </c>
      <c r="H5374" s="5" t="s">
        <v>20</v>
      </c>
      <c r="I5374" s="5" t="s">
        <v>11978</v>
      </c>
      <c r="J5374" s="12" t="str">
        <f>HYPERLINK("https://www.boe.es/gazeta/dias/1806/07/18/pdfs/GMD-1806-59.pdf#page=5","Abrir facsímil")</f>
        <v>Abrir facsímil</v>
      </c>
      <c r="K5374" s="15" t="s">
        <v>22</v>
      </c>
    </row>
    <row r="5375" spans="1:11" ht="42" customHeight="1">
      <c r="A5375" s="4" t="s">
        <v>11979</v>
      </c>
      <c r="B5375" s="5" t="s">
        <v>11979</v>
      </c>
      <c r="C5375" s="5" t="s">
        <v>31</v>
      </c>
      <c r="D5375" s="5" t="s">
        <v>32</v>
      </c>
      <c r="E5375" s="5" t="s">
        <v>231</v>
      </c>
      <c r="F5375" s="9">
        <v>89</v>
      </c>
      <c r="G5375" s="9">
        <v>915</v>
      </c>
      <c r="H5375" s="5" t="s">
        <v>20</v>
      </c>
      <c r="I5375" s="5" t="s">
        <v>11980</v>
      </c>
      <c r="J5375" s="12" t="str">
        <f>HYPERLINK("https://www.boe.es/gazeta/dias/1806/10/31/pdfs/GMD-1806-89.pdf#page=3","Abrir facsímil")</f>
        <v>Abrir facsímil</v>
      </c>
      <c r="K5375" s="15" t="s">
        <v>22</v>
      </c>
    </row>
    <row r="5376" spans="1:11" ht="42" customHeight="1">
      <c r="A5376" s="4" t="s">
        <v>11981</v>
      </c>
      <c r="B5376" s="5" t="s">
        <v>11982</v>
      </c>
      <c r="C5376" s="5" t="s">
        <v>69</v>
      </c>
      <c r="D5376" s="5" t="s">
        <v>70</v>
      </c>
      <c r="E5376" s="5" t="s">
        <v>33</v>
      </c>
      <c r="F5376" s="9">
        <v>82</v>
      </c>
      <c r="G5376" s="9">
        <v>846</v>
      </c>
      <c r="H5376" s="5" t="s">
        <v>20</v>
      </c>
      <c r="I5376" s="5" t="s">
        <v>11983</v>
      </c>
      <c r="J5376" s="12" t="str">
        <f>HYPERLINK("https://www.boe.es/gazeta/dias/1806/10/07/pdfs/GMD-1806-82.pdf#page=6","Abrir facsímil")</f>
        <v>Abrir facsímil</v>
      </c>
      <c r="K5376" s="15" t="s">
        <v>22</v>
      </c>
    </row>
    <row r="5377" spans="1:11" ht="42" customHeight="1">
      <c r="A5377" s="4" t="s">
        <v>11984</v>
      </c>
      <c r="B5377" s="5" t="s">
        <v>11985</v>
      </c>
      <c r="C5377" s="5" t="s">
        <v>42</v>
      </c>
      <c r="D5377" s="5" t="s">
        <v>43</v>
      </c>
      <c r="E5377" s="5" t="s">
        <v>1568</v>
      </c>
      <c r="F5377" s="9">
        <v>84</v>
      </c>
      <c r="G5377" s="9">
        <v>866</v>
      </c>
      <c r="H5377" s="5" t="s">
        <v>20</v>
      </c>
      <c r="I5377" s="5" t="s">
        <v>11986</v>
      </c>
      <c r="J5377" s="12" t="str">
        <f>HYPERLINK("https://www.boe.es/gazeta/dias/1806/10/14/pdfs/GMD-1806-84.pdf#page=2","Abrir facsímil")</f>
        <v>Abrir facsímil</v>
      </c>
      <c r="K5377" s="15" t="s">
        <v>22</v>
      </c>
    </row>
    <row r="5378" spans="1:11" ht="42" customHeight="1">
      <c r="A5378" s="4" t="s">
        <v>11987</v>
      </c>
      <c r="B5378" s="5" t="s">
        <v>11988</v>
      </c>
      <c r="C5378" s="5" t="s">
        <v>31</v>
      </c>
      <c r="D5378" s="5" t="s">
        <v>32</v>
      </c>
      <c r="E5378" s="5" t="s">
        <v>600</v>
      </c>
      <c r="F5378" s="9">
        <v>77</v>
      </c>
      <c r="G5378" s="9">
        <v>795</v>
      </c>
      <c r="H5378" s="5" t="s">
        <v>20</v>
      </c>
      <c r="I5378" s="5" t="s">
        <v>11989</v>
      </c>
      <c r="J5378" s="12" t="str">
        <f>HYPERLINK("https://www.boe.es/gazeta/dias/1806/09/19/pdfs/GMD-1806-77.pdf#page=7","Abrir facsímil")</f>
        <v>Abrir facsímil</v>
      </c>
      <c r="K5378" s="15" t="s">
        <v>22</v>
      </c>
    </row>
    <row r="5379" spans="1:11" ht="42" customHeight="1">
      <c r="A5379" s="4" t="s">
        <v>11990</v>
      </c>
      <c r="B5379" s="5" t="s">
        <v>11991</v>
      </c>
      <c r="C5379" s="5" t="s">
        <v>31</v>
      </c>
      <c r="D5379" s="5" t="s">
        <v>32</v>
      </c>
      <c r="E5379" s="5" t="s">
        <v>363</v>
      </c>
      <c r="F5379" s="9">
        <v>8</v>
      </c>
      <c r="G5379" s="9">
        <v>74</v>
      </c>
      <c r="H5379" s="5" t="s">
        <v>20</v>
      </c>
      <c r="I5379" s="5" t="s">
        <v>11992</v>
      </c>
      <c r="J5379" s="12" t="str">
        <f>HYPERLINK("https://www.boe.es/gazeta/dias/1806/01/24/pdfs/GMD-1806-8.pdf#page=6","Abrir facsímil")</f>
        <v>Abrir facsímil</v>
      </c>
      <c r="K5379" s="15" t="s">
        <v>22</v>
      </c>
    </row>
    <row r="5380" spans="1:11" ht="42" customHeight="1">
      <c r="A5380" s="4" t="s">
        <v>11993</v>
      </c>
      <c r="B5380" s="5" t="s">
        <v>11993</v>
      </c>
      <c r="C5380" s="5" t="s">
        <v>31</v>
      </c>
      <c r="D5380" s="5" t="s">
        <v>32</v>
      </c>
      <c r="E5380" s="5" t="s">
        <v>213</v>
      </c>
      <c r="F5380" s="9">
        <v>73</v>
      </c>
      <c r="G5380" s="9">
        <v>758</v>
      </c>
      <c r="H5380" s="5" t="s">
        <v>20</v>
      </c>
      <c r="I5380" s="5" t="s">
        <v>11994</v>
      </c>
      <c r="J5380" s="12" t="str">
        <f>HYPERLINK("https://www.boe.es/gazeta/dias/1806/09/05/pdfs/GMD-1806-73.pdf#page=6","Abrir facsímil")</f>
        <v>Abrir facsímil</v>
      </c>
      <c r="K5380" s="15" t="s">
        <v>22</v>
      </c>
    </row>
    <row r="5381" spans="1:11" ht="42" customHeight="1">
      <c r="A5381" s="4" t="s">
        <v>11995</v>
      </c>
      <c r="B5381" s="5" t="s">
        <v>11995</v>
      </c>
      <c r="C5381" s="5" t="s">
        <v>17</v>
      </c>
      <c r="D5381" s="5" t="s">
        <v>18</v>
      </c>
      <c r="E5381" s="5" t="s">
        <v>51</v>
      </c>
      <c r="F5381" s="9">
        <v>44</v>
      </c>
      <c r="G5381" s="9">
        <v>448</v>
      </c>
      <c r="H5381" s="5" t="s">
        <v>20</v>
      </c>
      <c r="I5381" s="5" t="s">
        <v>11996</v>
      </c>
      <c r="J5381" s="12" t="str">
        <f>HYPERLINK("https://www.boe.es/gazeta/dias/1806/05/27/pdfs/GMD-1806-44.pdf#page=12","Abrir facsímil")</f>
        <v>Abrir facsímil</v>
      </c>
      <c r="K5381" s="15" t="s">
        <v>22</v>
      </c>
    </row>
    <row r="5382" spans="1:11" ht="42" customHeight="1">
      <c r="A5382" s="4" t="s">
        <v>11997</v>
      </c>
      <c r="B5382" s="5" t="s">
        <v>11997</v>
      </c>
      <c r="C5382" s="5" t="s">
        <v>69</v>
      </c>
      <c r="D5382" s="5" t="s">
        <v>70</v>
      </c>
      <c r="E5382" s="5" t="s">
        <v>870</v>
      </c>
      <c r="F5382" s="9">
        <v>35</v>
      </c>
      <c r="G5382" s="9">
        <v>339</v>
      </c>
      <c r="H5382" s="5" t="s">
        <v>20</v>
      </c>
      <c r="I5382" s="5" t="s">
        <v>11998</v>
      </c>
      <c r="J5382" s="12" t="str">
        <f>HYPERLINK("https://www.boe.es/gazeta/dias/1806/04/25/pdfs/GMD-1806-35.pdf#page=3","Abrir facsímil")</f>
        <v>Abrir facsímil</v>
      </c>
      <c r="K5382" s="15" t="s">
        <v>22</v>
      </c>
    </row>
    <row r="5383" spans="1:11" ht="42" customHeight="1">
      <c r="A5383" s="4" t="s">
        <v>11997</v>
      </c>
      <c r="B5383" s="5" t="s">
        <v>11997</v>
      </c>
      <c r="C5383" s="5" t="s">
        <v>69</v>
      </c>
      <c r="D5383" s="5" t="s">
        <v>70</v>
      </c>
      <c r="E5383" s="5" t="s">
        <v>816</v>
      </c>
      <c r="F5383" s="9">
        <v>86</v>
      </c>
      <c r="G5383" s="9">
        <v>888</v>
      </c>
      <c r="H5383" s="5" t="s">
        <v>20</v>
      </c>
      <c r="I5383" s="5" t="s">
        <v>11999</v>
      </c>
      <c r="J5383" s="12" t="str">
        <f>HYPERLINK("https://www.boe.es/gazeta/dias/1806/10/21/pdfs/GMD-1806-86.pdf#page=4","Abrir facsímil")</f>
        <v>Abrir facsímil</v>
      </c>
      <c r="K5383" s="15" t="s">
        <v>22</v>
      </c>
    </row>
    <row r="5384" spans="1:11" ht="42" customHeight="1">
      <c r="A5384" s="4" t="s">
        <v>12000</v>
      </c>
      <c r="B5384" s="5" t="s">
        <v>12001</v>
      </c>
      <c r="C5384" s="5" t="s">
        <v>36</v>
      </c>
      <c r="D5384" s="5" t="s">
        <v>37</v>
      </c>
      <c r="E5384" s="5" t="s">
        <v>96</v>
      </c>
      <c r="F5384" s="9">
        <v>62</v>
      </c>
      <c r="G5384" s="9">
        <v>651</v>
      </c>
      <c r="H5384" s="5" t="s">
        <v>20</v>
      </c>
      <c r="I5384" s="5" t="s">
        <v>12002</v>
      </c>
      <c r="J5384" s="12" t="str">
        <f>HYPERLINK("https://www.boe.es/gazeta/dias/1806/07/29/pdfs/GMD-1806-62.pdf#page=11","Abrir facsímil")</f>
        <v>Abrir facsímil</v>
      </c>
      <c r="K5384" s="15" t="s">
        <v>22</v>
      </c>
    </row>
    <row r="5385" spans="1:11" ht="42" customHeight="1">
      <c r="A5385" s="4" t="s">
        <v>12003</v>
      </c>
      <c r="B5385" s="5" t="s">
        <v>12003</v>
      </c>
      <c r="C5385" s="5" t="s">
        <v>75</v>
      </c>
      <c r="D5385" s="5" t="s">
        <v>43</v>
      </c>
      <c r="E5385" s="5" t="s">
        <v>165</v>
      </c>
      <c r="F5385" s="9">
        <v>101</v>
      </c>
      <c r="G5385" s="9">
        <v>1070</v>
      </c>
      <c r="H5385" s="5" t="s">
        <v>20</v>
      </c>
      <c r="I5385" s="5" t="s">
        <v>12004</v>
      </c>
      <c r="J5385" s="12" t="str">
        <f>HYPERLINK("https://www.boe.es/gazeta/dias/1806/12/12/pdfs/GMD-1806-101.pdf#page=2","Abrir facsímil")</f>
        <v>Abrir facsímil</v>
      </c>
      <c r="K5385" s="15" t="s">
        <v>22</v>
      </c>
    </row>
    <row r="5386" spans="1:11" ht="42" customHeight="1">
      <c r="A5386" s="4" t="s">
        <v>12005</v>
      </c>
      <c r="B5386" s="5" t="s">
        <v>12006</v>
      </c>
      <c r="C5386" s="5" t="s">
        <v>69</v>
      </c>
      <c r="D5386" s="5" t="s">
        <v>70</v>
      </c>
      <c r="E5386" s="5" t="s">
        <v>540</v>
      </c>
      <c r="F5386" s="9">
        <v>51</v>
      </c>
      <c r="G5386" s="9">
        <v>523</v>
      </c>
      <c r="H5386" s="5" t="s">
        <v>20</v>
      </c>
      <c r="I5386" s="5" t="s">
        <v>12007</v>
      </c>
      <c r="J5386" s="12" t="str">
        <f>HYPERLINK("https://www.boe.es/gazeta/dias/1806/06/20/pdfs/GMD-1806-51.pdf#page=3","Abrir facsímil")</f>
        <v>Abrir facsímil</v>
      </c>
      <c r="K5386" s="15" t="s">
        <v>22</v>
      </c>
    </row>
    <row r="5387" spans="1:11" ht="42" customHeight="1">
      <c r="A5387" s="4" t="s">
        <v>12008</v>
      </c>
      <c r="B5387" s="5" t="s">
        <v>12009</v>
      </c>
      <c r="C5387" s="5" t="s">
        <v>31</v>
      </c>
      <c r="D5387" s="5" t="s">
        <v>32</v>
      </c>
      <c r="E5387" s="5" t="s">
        <v>127</v>
      </c>
      <c r="F5387" s="9">
        <v>81</v>
      </c>
      <c r="G5387" s="9">
        <v>837</v>
      </c>
      <c r="H5387" s="5" t="s">
        <v>20</v>
      </c>
      <c r="I5387" s="5" t="s">
        <v>12010</v>
      </c>
      <c r="J5387" s="12" t="str">
        <f>HYPERLINK("https://www.boe.es/gazeta/dias/1806/10/03/pdfs/GMD-1806-81.pdf#page=5","Abrir facsímil")</f>
        <v>Abrir facsímil</v>
      </c>
      <c r="K5387" s="15" t="s">
        <v>22</v>
      </c>
    </row>
    <row r="5388" spans="1:11" ht="42" customHeight="1">
      <c r="A5388" s="4" t="s">
        <v>12011</v>
      </c>
      <c r="B5388" s="5" t="s">
        <v>12012</v>
      </c>
      <c r="C5388" s="5" t="s">
        <v>31</v>
      </c>
      <c r="D5388" s="5" t="s">
        <v>32</v>
      </c>
      <c r="E5388" s="5" t="s">
        <v>383</v>
      </c>
      <c r="F5388" s="9">
        <v>54</v>
      </c>
      <c r="G5388" s="9">
        <v>562</v>
      </c>
      <c r="H5388" s="5" t="s">
        <v>20</v>
      </c>
      <c r="I5388" s="5" t="s">
        <v>12013</v>
      </c>
      <c r="J5388" s="12" t="str">
        <f>HYPERLINK("https://www.boe.es/gazeta/dias/1806/07/01/pdfs/GMD-1806-54.pdf#page=6","Abrir facsímil")</f>
        <v>Abrir facsímil</v>
      </c>
      <c r="K5388" s="15" t="s">
        <v>22</v>
      </c>
    </row>
    <row r="5389" spans="1:11" ht="42" customHeight="1">
      <c r="A5389" s="4" t="s">
        <v>12014</v>
      </c>
      <c r="B5389" s="5" t="s">
        <v>12015</v>
      </c>
      <c r="C5389" s="5" t="s">
        <v>75</v>
      </c>
      <c r="D5389" s="5" t="s">
        <v>43</v>
      </c>
      <c r="E5389" s="5" t="s">
        <v>127</v>
      </c>
      <c r="F5389" s="9">
        <v>81</v>
      </c>
      <c r="G5389" s="9">
        <v>839</v>
      </c>
      <c r="H5389" s="5" t="s">
        <v>20</v>
      </c>
      <c r="I5389" s="5" t="s">
        <v>12016</v>
      </c>
      <c r="J5389" s="12" t="str">
        <f>HYPERLINK("https://www.boe.es/gazeta/dias/1806/10/03/pdfs/GMD-1806-81.pdf#page=7","Abrir facsímil")</f>
        <v>Abrir facsímil</v>
      </c>
      <c r="K5389" s="15" t="s">
        <v>22</v>
      </c>
    </row>
    <row r="5390" spans="1:11" ht="42" customHeight="1">
      <c r="A5390" s="4" t="s">
        <v>12017</v>
      </c>
      <c r="B5390" s="5" t="s">
        <v>12018</v>
      </c>
      <c r="C5390" s="5" t="s">
        <v>69</v>
      </c>
      <c r="D5390" s="5" t="s">
        <v>70</v>
      </c>
      <c r="E5390" s="5" t="s">
        <v>434</v>
      </c>
      <c r="F5390" s="9">
        <v>74</v>
      </c>
      <c r="G5390" s="9">
        <v>764</v>
      </c>
      <c r="H5390" s="5" t="s">
        <v>20</v>
      </c>
      <c r="I5390" s="5" t="s">
        <v>12019</v>
      </c>
      <c r="J5390" s="12" t="str">
        <f>HYPERLINK("https://www.boe.es/gazeta/dias/1806/09/09/pdfs/GMD-1806-74.pdf#page=4","Abrir facsímil")</f>
        <v>Abrir facsímil</v>
      </c>
      <c r="K5390" s="15" t="s">
        <v>22</v>
      </c>
    </row>
    <row r="5391" spans="1:11" ht="42" customHeight="1">
      <c r="A5391" s="4" t="s">
        <v>12020</v>
      </c>
      <c r="B5391" s="5" t="s">
        <v>12021</v>
      </c>
      <c r="C5391" s="5" t="s">
        <v>17</v>
      </c>
      <c r="D5391" s="5" t="s">
        <v>18</v>
      </c>
      <c r="E5391" s="5" t="s">
        <v>689</v>
      </c>
      <c r="F5391" s="9">
        <v>37</v>
      </c>
      <c r="G5391" s="9">
        <v>357</v>
      </c>
      <c r="H5391" s="5" t="s">
        <v>20</v>
      </c>
      <c r="I5391" s="5" t="s">
        <v>12022</v>
      </c>
      <c r="J5391" s="12" t="str">
        <f>HYPERLINK("https://www.boe.es/gazeta/dias/1806/05/02/pdfs/GMD-1806-37.pdf#page=5","Abrir facsímil")</f>
        <v>Abrir facsímil</v>
      </c>
      <c r="K5391" s="15" t="s">
        <v>22</v>
      </c>
    </row>
    <row r="5392" spans="1:11" ht="42" customHeight="1">
      <c r="A5392" s="4" t="s">
        <v>12023</v>
      </c>
      <c r="B5392" s="5" t="s">
        <v>12024</v>
      </c>
      <c r="C5392" s="5" t="s">
        <v>31</v>
      </c>
      <c r="D5392" s="5" t="s">
        <v>32</v>
      </c>
      <c r="E5392" s="5" t="s">
        <v>28</v>
      </c>
      <c r="F5392" s="9">
        <v>102</v>
      </c>
      <c r="G5392" s="9">
        <v>1084</v>
      </c>
      <c r="H5392" s="5" t="s">
        <v>20</v>
      </c>
      <c r="I5392" s="5" t="s">
        <v>12025</v>
      </c>
      <c r="J5392" s="12" t="str">
        <f>HYPERLINK("https://www.boe.es/gazeta/dias/1806/12/16/pdfs/GMD-1806-102.pdf#page=8","Abrir facsímil")</f>
        <v>Abrir facsímil</v>
      </c>
      <c r="K5392" s="15" t="s">
        <v>22</v>
      </c>
    </row>
    <row r="5393" spans="1:11" ht="42" customHeight="1">
      <c r="A5393" s="4" t="s">
        <v>12026</v>
      </c>
      <c r="B5393" s="5" t="s">
        <v>12026</v>
      </c>
      <c r="C5393" s="5" t="s">
        <v>31</v>
      </c>
      <c r="D5393" s="5" t="s">
        <v>32</v>
      </c>
      <c r="E5393" s="5" t="s">
        <v>455</v>
      </c>
      <c r="F5393" s="9">
        <v>85</v>
      </c>
      <c r="G5393" s="9">
        <v>881</v>
      </c>
      <c r="H5393" s="5" t="s">
        <v>20</v>
      </c>
      <c r="I5393" s="5" t="s">
        <v>12027</v>
      </c>
      <c r="J5393" s="12" t="str">
        <f>HYPERLINK("https://www.boe.es/gazeta/dias/1806/10/17/pdfs/GMD-1806-85.pdf#page=9","Abrir facsímil")</f>
        <v>Abrir facsímil</v>
      </c>
      <c r="K5393" s="15" t="s">
        <v>22</v>
      </c>
    </row>
    <row r="5394" spans="1:11" ht="42" customHeight="1">
      <c r="A5394" s="4" t="s">
        <v>12028</v>
      </c>
      <c r="B5394" s="5" t="s">
        <v>12028</v>
      </c>
      <c r="C5394" s="5" t="s">
        <v>69</v>
      </c>
      <c r="D5394" s="5" t="s">
        <v>70</v>
      </c>
      <c r="E5394" s="5" t="s">
        <v>110</v>
      </c>
      <c r="F5394" s="9">
        <v>55</v>
      </c>
      <c r="G5394" s="9">
        <v>568</v>
      </c>
      <c r="H5394" s="5" t="s">
        <v>20</v>
      </c>
      <c r="I5394" s="5" t="s">
        <v>12029</v>
      </c>
      <c r="J5394" s="12" t="str">
        <f>HYPERLINK("https://www.boe.es/gazeta/dias/1806/07/04/pdfs/GMD-1806-55.pdf#page=4","Abrir facsímil")</f>
        <v>Abrir facsímil</v>
      </c>
      <c r="K5394" s="15" t="s">
        <v>22</v>
      </c>
    </row>
    <row r="5395" spans="1:11" ht="42" customHeight="1">
      <c r="A5395" s="4" t="s">
        <v>12030</v>
      </c>
      <c r="B5395" s="5" t="s">
        <v>12030</v>
      </c>
      <c r="C5395" s="5" t="s">
        <v>31</v>
      </c>
      <c r="D5395" s="5" t="s">
        <v>32</v>
      </c>
      <c r="E5395" s="5" t="s">
        <v>100</v>
      </c>
      <c r="F5395" s="9">
        <v>7</v>
      </c>
      <c r="G5395" s="9">
        <v>67</v>
      </c>
      <c r="H5395" s="5" t="s">
        <v>20</v>
      </c>
      <c r="I5395" s="5" t="s">
        <v>12031</v>
      </c>
      <c r="J5395" s="12" t="str">
        <f>HYPERLINK("https://www.boe.es/gazeta/dias/1806/01/21/pdfs/GMD-1806-7.pdf#page=11","Abrir facsímil")</f>
        <v>Abrir facsímil</v>
      </c>
      <c r="K5395" s="15" t="s">
        <v>22</v>
      </c>
    </row>
    <row r="5396" spans="1:11" ht="42" customHeight="1">
      <c r="A5396" s="4" t="s">
        <v>12032</v>
      </c>
      <c r="B5396" s="5" t="s">
        <v>12032</v>
      </c>
      <c r="C5396" s="5" t="s">
        <v>31</v>
      </c>
      <c r="D5396" s="5" t="s">
        <v>32</v>
      </c>
      <c r="E5396" s="5" t="s">
        <v>205</v>
      </c>
      <c r="F5396" s="9">
        <v>57</v>
      </c>
      <c r="G5396" s="9">
        <v>594</v>
      </c>
      <c r="H5396" s="5" t="s">
        <v>20</v>
      </c>
      <c r="I5396" s="5" t="s">
        <v>12033</v>
      </c>
      <c r="J5396" s="12" t="str">
        <f>HYPERLINK("https://www.boe.es/gazeta/dias/1806/07/11/pdfs/GMD-1806-57.pdf#page=6","Abrir facsímil")</f>
        <v>Abrir facsímil</v>
      </c>
      <c r="K5396" s="15" t="s">
        <v>22</v>
      </c>
    </row>
    <row r="5397" spans="1:11" ht="42" customHeight="1">
      <c r="A5397" s="4" t="s">
        <v>12034</v>
      </c>
      <c r="B5397" s="5" t="s">
        <v>12035</v>
      </c>
      <c r="C5397" s="5" t="s">
        <v>75</v>
      </c>
      <c r="D5397" s="5" t="s">
        <v>43</v>
      </c>
      <c r="E5397" s="5" t="s">
        <v>231</v>
      </c>
      <c r="F5397" s="9">
        <v>89</v>
      </c>
      <c r="G5397" s="9">
        <v>923</v>
      </c>
      <c r="H5397" s="5" t="s">
        <v>20</v>
      </c>
      <c r="I5397" s="5" t="s">
        <v>12036</v>
      </c>
      <c r="J5397" s="12" t="str">
        <f>HYPERLINK("https://www.boe.es/gazeta/dias/1806/10/31/pdfs/GMD-1806-89.pdf#page=11","Abrir facsímil")</f>
        <v>Abrir facsímil</v>
      </c>
      <c r="K5397" s="15" t="s">
        <v>22</v>
      </c>
    </row>
    <row r="5398" spans="1:11" ht="42" customHeight="1">
      <c r="A5398" s="4" t="s">
        <v>12037</v>
      </c>
      <c r="B5398" s="5" t="s">
        <v>12038</v>
      </c>
      <c r="C5398" s="5" t="s">
        <v>31</v>
      </c>
      <c r="D5398" s="5" t="s">
        <v>32</v>
      </c>
      <c r="E5398" s="5" t="s">
        <v>76</v>
      </c>
      <c r="F5398" s="9">
        <v>98</v>
      </c>
      <c r="G5398" s="9">
        <v>1043</v>
      </c>
      <c r="H5398" s="5" t="s">
        <v>20</v>
      </c>
      <c r="I5398" s="5" t="s">
        <v>12039</v>
      </c>
      <c r="J5398" s="12" t="str">
        <f>HYPERLINK("https://www.boe.es/gazeta/dias/1806/12/02/pdfs/GMD-1806-98.pdf#page=11","Abrir facsímil")</f>
        <v>Abrir facsímil</v>
      </c>
      <c r="K5398" s="15" t="s">
        <v>22</v>
      </c>
    </row>
    <row r="5399" spans="1:11" ht="42" customHeight="1">
      <c r="A5399" s="4" t="s">
        <v>12040</v>
      </c>
      <c r="B5399" s="5" t="s">
        <v>12041</v>
      </c>
      <c r="C5399" s="5" t="s">
        <v>31</v>
      </c>
      <c r="D5399" s="5" t="s">
        <v>32</v>
      </c>
      <c r="E5399" s="5" t="s">
        <v>144</v>
      </c>
      <c r="F5399" s="9">
        <v>79</v>
      </c>
      <c r="G5399" s="9">
        <v>818</v>
      </c>
      <c r="H5399" s="5" t="s">
        <v>20</v>
      </c>
      <c r="I5399" s="5" t="s">
        <v>12042</v>
      </c>
      <c r="J5399" s="12" t="str">
        <f>HYPERLINK("https://www.boe.es/gazeta/dias/1806/09/26/pdfs/GMD-1806-79.pdf#page=10","Abrir facsímil")</f>
        <v>Abrir facsímil</v>
      </c>
      <c r="K5399" s="15" t="s">
        <v>22</v>
      </c>
    </row>
    <row r="5400" spans="1:11" ht="42" customHeight="1">
      <c r="A5400" s="4" t="s">
        <v>12043</v>
      </c>
      <c r="B5400" s="5" t="s">
        <v>12044</v>
      </c>
      <c r="C5400" s="5" t="s">
        <v>31</v>
      </c>
      <c r="D5400" s="5" t="s">
        <v>32</v>
      </c>
      <c r="E5400" s="5" t="s">
        <v>90</v>
      </c>
      <c r="F5400" s="9">
        <v>60</v>
      </c>
      <c r="G5400" s="9">
        <v>618</v>
      </c>
      <c r="H5400" s="5" t="s">
        <v>20</v>
      </c>
      <c r="I5400" s="5" t="s">
        <v>12045</v>
      </c>
      <c r="J5400" s="12" t="str">
        <f>HYPERLINK("https://www.boe.es/gazeta/dias/1806/07/22/pdfs/GMD-1806-60.pdf#page=2","Abrir facsímil")</f>
        <v>Abrir facsímil</v>
      </c>
      <c r="K5400" s="15" t="s">
        <v>22</v>
      </c>
    </row>
    <row r="5401" spans="1:11" ht="42" customHeight="1">
      <c r="A5401" s="4" t="s">
        <v>12046</v>
      </c>
      <c r="B5401" s="5" t="s">
        <v>12047</v>
      </c>
      <c r="C5401" s="5" t="s">
        <v>69</v>
      </c>
      <c r="D5401" s="5" t="s">
        <v>70</v>
      </c>
      <c r="E5401" s="5" t="s">
        <v>340</v>
      </c>
      <c r="F5401" s="9">
        <v>31</v>
      </c>
      <c r="G5401" s="9">
        <v>302</v>
      </c>
      <c r="H5401" s="5" t="s">
        <v>20</v>
      </c>
      <c r="I5401" s="5" t="s">
        <v>12048</v>
      </c>
      <c r="J5401" s="12" t="str">
        <f>HYPERLINK("https://www.boe.es/gazeta/dias/1806/04/11/pdfs/GMD-1806-31.pdf#page=6","Abrir facsímil")</f>
        <v>Abrir facsímil</v>
      </c>
      <c r="K5401" s="15" t="s">
        <v>22</v>
      </c>
    </row>
    <row r="5402" spans="1:11" ht="42" customHeight="1">
      <c r="A5402" s="4" t="s">
        <v>12049</v>
      </c>
      <c r="B5402" s="5" t="s">
        <v>12050</v>
      </c>
      <c r="C5402" s="5" t="s">
        <v>69</v>
      </c>
      <c r="D5402" s="5" t="s">
        <v>70</v>
      </c>
      <c r="E5402" s="5" t="s">
        <v>44</v>
      </c>
      <c r="F5402" s="9">
        <v>42</v>
      </c>
      <c r="G5402" s="9">
        <v>416</v>
      </c>
      <c r="H5402" s="5" t="s">
        <v>20</v>
      </c>
      <c r="I5402" s="5" t="s">
        <v>12051</v>
      </c>
      <c r="J5402" s="12" t="str">
        <f>HYPERLINK("https://www.boe.es/gazeta/dias/1806/05/20/pdfs/GMD-1806-42.pdf#page=4","Abrir facsímil")</f>
        <v>Abrir facsímil</v>
      </c>
      <c r="K5402" s="15" t="s">
        <v>22</v>
      </c>
    </row>
    <row r="5403" spans="1:11" ht="42" customHeight="1">
      <c r="A5403" s="4" t="s">
        <v>12049</v>
      </c>
      <c r="B5403" s="5" t="s">
        <v>12050</v>
      </c>
      <c r="C5403" s="5" t="s">
        <v>31</v>
      </c>
      <c r="D5403" s="5" t="s">
        <v>32</v>
      </c>
      <c r="E5403" s="5" t="s">
        <v>312</v>
      </c>
      <c r="F5403" s="9">
        <v>100</v>
      </c>
      <c r="G5403" s="9">
        <v>1057</v>
      </c>
      <c r="H5403" s="5" t="s">
        <v>20</v>
      </c>
      <c r="I5403" s="5" t="s">
        <v>12052</v>
      </c>
      <c r="J5403" s="12" t="str">
        <f>HYPERLINK("https://www.boe.es/gazeta/dias/1806/12/09/pdfs/GMD-1806-100.pdf#page=1","Abrir facsímil")</f>
        <v>Abrir facsímil</v>
      </c>
      <c r="K5403" s="15" t="s">
        <v>22</v>
      </c>
    </row>
    <row r="5404" spans="1:11" ht="42" customHeight="1">
      <c r="A5404" s="4" t="s">
        <v>12053</v>
      </c>
      <c r="B5404" s="5" t="s">
        <v>12053</v>
      </c>
      <c r="C5404" s="5" t="s">
        <v>36</v>
      </c>
      <c r="D5404" s="5" t="s">
        <v>37</v>
      </c>
      <c r="E5404" s="5" t="s">
        <v>191</v>
      </c>
      <c r="F5404" s="9">
        <v>103</v>
      </c>
      <c r="G5404" s="9">
        <v>1100</v>
      </c>
      <c r="H5404" s="5" t="s">
        <v>20</v>
      </c>
      <c r="I5404" s="5" t="s">
        <v>12054</v>
      </c>
      <c r="J5404" s="12" t="str">
        <f>HYPERLINK("https://www.boe.es/gazeta/dias/1806/12/19/pdfs/GMD-1806-103.pdf#page=12","Abrir facsímil")</f>
        <v>Abrir facsímil</v>
      </c>
      <c r="K5404" s="15" t="s">
        <v>22</v>
      </c>
    </row>
    <row r="5405" spans="1:11" ht="42" customHeight="1">
      <c r="A5405" s="4" t="s">
        <v>12055</v>
      </c>
      <c r="B5405" s="5" t="s">
        <v>12055</v>
      </c>
      <c r="C5405" s="5" t="s">
        <v>447</v>
      </c>
      <c r="D5405" s="5" t="s">
        <v>448</v>
      </c>
      <c r="E5405" s="5" t="s">
        <v>810</v>
      </c>
      <c r="F5405" s="9">
        <v>71</v>
      </c>
      <c r="G5405" s="9" t="s">
        <v>12056</v>
      </c>
      <c r="H5405" s="5" t="s">
        <v>20</v>
      </c>
      <c r="I5405" s="5" t="s">
        <v>12057</v>
      </c>
      <c r="J5405" s="12" t="str">
        <f>HYPERLINK("https://www.boe.es/gazeta/dias/1806/08/29/pdfs/GMD-C-1806-71.pdf#page=5","Abrir facsímil")</f>
        <v>Abrir facsímil</v>
      </c>
      <c r="K5405" s="15" t="s">
        <v>22</v>
      </c>
    </row>
    <row r="5406" spans="1:11" ht="42" customHeight="1">
      <c r="A5406" s="4" t="s">
        <v>12058</v>
      </c>
      <c r="B5406" s="5" t="s">
        <v>12059</v>
      </c>
      <c r="C5406" s="5" t="s">
        <v>75</v>
      </c>
      <c r="D5406" s="5" t="s">
        <v>43</v>
      </c>
      <c r="E5406" s="5" t="s">
        <v>455</v>
      </c>
      <c r="F5406" s="9">
        <v>85</v>
      </c>
      <c r="G5406" s="9">
        <v>883</v>
      </c>
      <c r="H5406" s="5" t="s">
        <v>20</v>
      </c>
      <c r="I5406" s="5" t="s">
        <v>12060</v>
      </c>
      <c r="J5406" s="12" t="str">
        <f>HYPERLINK("https://www.boe.es/gazeta/dias/1806/10/17/pdfs/GMD-1806-85.pdf#page=11","Abrir facsímil")</f>
        <v>Abrir facsímil</v>
      </c>
      <c r="K5406" s="15" t="s">
        <v>22</v>
      </c>
    </row>
    <row r="5407" spans="1:11" ht="42" customHeight="1">
      <c r="A5407" s="4" t="s">
        <v>12061</v>
      </c>
      <c r="B5407" s="5" t="s">
        <v>12061</v>
      </c>
      <c r="C5407" s="5" t="s">
        <v>17</v>
      </c>
      <c r="D5407" s="5" t="s">
        <v>18</v>
      </c>
      <c r="E5407" s="5" t="s">
        <v>213</v>
      </c>
      <c r="F5407" s="9">
        <v>73</v>
      </c>
      <c r="G5407" s="9">
        <v>757</v>
      </c>
      <c r="H5407" s="5" t="s">
        <v>20</v>
      </c>
      <c r="I5407" s="5" t="s">
        <v>12062</v>
      </c>
      <c r="J5407" s="12" t="str">
        <f>HYPERLINK("https://www.boe.es/gazeta/dias/1806/09/05/pdfs/GMD-1806-73.pdf#page=5","Abrir facsímil")</f>
        <v>Abrir facsímil</v>
      </c>
      <c r="K5407" s="15" t="s">
        <v>22</v>
      </c>
    </row>
    <row r="5408" spans="1:11" ht="42" customHeight="1">
      <c r="A5408" s="4" t="s">
        <v>12063</v>
      </c>
      <c r="B5408" s="5" t="s">
        <v>12063</v>
      </c>
      <c r="C5408" s="5" t="s">
        <v>17</v>
      </c>
      <c r="D5408" s="5" t="s">
        <v>18</v>
      </c>
      <c r="E5408" s="5" t="s">
        <v>195</v>
      </c>
      <c r="F5408" s="9">
        <v>4</v>
      </c>
      <c r="G5408" s="9">
        <v>35</v>
      </c>
      <c r="H5408" s="5" t="s">
        <v>20</v>
      </c>
      <c r="I5408" s="5" t="s">
        <v>12064</v>
      </c>
      <c r="J5408" s="12" t="str">
        <f>HYPERLINK("https://www.boe.es/gazeta/dias/1806/01/14/pdfs/GMD-1806-4.pdf#page=7","Abrir facsímil")</f>
        <v>Abrir facsímil</v>
      </c>
      <c r="K5408" s="15" t="s">
        <v>22</v>
      </c>
    </row>
    <row r="5409" spans="1:11" ht="42" customHeight="1">
      <c r="A5409" s="4" t="s">
        <v>12065</v>
      </c>
      <c r="B5409" s="5" t="s">
        <v>12065</v>
      </c>
      <c r="C5409" s="5" t="s">
        <v>17</v>
      </c>
      <c r="D5409" s="5" t="s">
        <v>18</v>
      </c>
      <c r="E5409" s="5" t="s">
        <v>220</v>
      </c>
      <c r="F5409" s="9">
        <v>24</v>
      </c>
      <c r="G5409" s="9">
        <v>235</v>
      </c>
      <c r="H5409" s="5" t="s">
        <v>20</v>
      </c>
      <c r="I5409" s="5" t="s">
        <v>12066</v>
      </c>
      <c r="J5409" s="12" t="str">
        <f>HYPERLINK("https://www.boe.es/gazeta/dias/1806/03/18/pdfs/GMD-1806-24.pdf#page=11","Abrir facsímil")</f>
        <v>Abrir facsímil</v>
      </c>
      <c r="K5409" s="15" t="s">
        <v>22</v>
      </c>
    </row>
    <row r="5410" spans="1:11" ht="42" customHeight="1">
      <c r="A5410" s="4" t="s">
        <v>12067</v>
      </c>
      <c r="B5410" s="5" t="s">
        <v>12067</v>
      </c>
      <c r="C5410" s="5" t="s">
        <v>75</v>
      </c>
      <c r="D5410" s="5" t="s">
        <v>43</v>
      </c>
      <c r="E5410" s="5" t="s">
        <v>19</v>
      </c>
      <c r="F5410" s="9">
        <v>3</v>
      </c>
      <c r="G5410" s="9">
        <v>28</v>
      </c>
      <c r="H5410" s="5" t="s">
        <v>20</v>
      </c>
      <c r="I5410" s="5" t="s">
        <v>12068</v>
      </c>
      <c r="J5410" s="12" t="str">
        <f>HYPERLINK("https://www.boe.es/gazeta/dias/1806/01/10/pdfs/GMD-1806-3.pdf#page=8","Abrir facsímil")</f>
        <v>Abrir facsímil</v>
      </c>
      <c r="K5410" s="15" t="s">
        <v>22</v>
      </c>
    </row>
    <row r="5411" spans="1:11" ht="42" customHeight="1">
      <c r="A5411" s="4" t="s">
        <v>12069</v>
      </c>
      <c r="B5411" s="5" t="s">
        <v>12070</v>
      </c>
      <c r="C5411" s="5" t="s">
        <v>17</v>
      </c>
      <c r="D5411" s="5" t="s">
        <v>18</v>
      </c>
      <c r="E5411" s="5" t="s">
        <v>494</v>
      </c>
      <c r="F5411" s="9">
        <v>69</v>
      </c>
      <c r="G5411" s="9">
        <v>721</v>
      </c>
      <c r="H5411" s="5" t="s">
        <v>20</v>
      </c>
      <c r="I5411" s="5" t="s">
        <v>12071</v>
      </c>
      <c r="J5411" s="12" t="str">
        <f>HYPERLINK("https://www.boe.es/gazeta/dias/1806/08/22/pdfs/GMD-1806-69.pdf#page=9","Abrir facsímil")</f>
        <v>Abrir facsímil</v>
      </c>
      <c r="K5411" s="15" t="s">
        <v>22</v>
      </c>
    </row>
    <row r="5412" spans="1:11" ht="42" customHeight="1">
      <c r="A5412" s="4" t="s">
        <v>12072</v>
      </c>
      <c r="B5412" s="5" t="s">
        <v>12072</v>
      </c>
      <c r="C5412" s="5" t="s">
        <v>31</v>
      </c>
      <c r="D5412" s="5" t="s">
        <v>32</v>
      </c>
      <c r="E5412" s="5" t="s">
        <v>238</v>
      </c>
      <c r="F5412" s="9">
        <v>18</v>
      </c>
      <c r="G5412" s="9">
        <v>161</v>
      </c>
      <c r="H5412" s="5" t="s">
        <v>20</v>
      </c>
      <c r="I5412" s="5" t="s">
        <v>12073</v>
      </c>
      <c r="J5412" s="12" t="str">
        <f>HYPERLINK("https://www.boe.es/gazeta/dias/1806/02/25/pdfs/GMD-1806-18.pdf#page=9","Abrir facsímil")</f>
        <v>Abrir facsímil</v>
      </c>
      <c r="K5412" s="15" t="s">
        <v>22</v>
      </c>
    </row>
    <row r="5413" spans="1:11" ht="42" customHeight="1">
      <c r="A5413" s="4" t="s">
        <v>12074</v>
      </c>
      <c r="B5413" s="5" t="s">
        <v>12074</v>
      </c>
      <c r="C5413" s="5" t="s">
        <v>31</v>
      </c>
      <c r="D5413" s="5" t="s">
        <v>32</v>
      </c>
      <c r="E5413" s="5" t="s">
        <v>136</v>
      </c>
      <c r="F5413" s="9">
        <v>50</v>
      </c>
      <c r="G5413" s="9">
        <v>519</v>
      </c>
      <c r="H5413" s="5" t="s">
        <v>20</v>
      </c>
      <c r="I5413" s="5" t="s">
        <v>12075</v>
      </c>
      <c r="J5413" s="12" t="str">
        <f>HYPERLINK("https://www.boe.es/gazeta/dias/1806/06/17/pdfs/GMD-1806-50.pdf#page=11","Abrir facsímil")</f>
        <v>Abrir facsímil</v>
      </c>
      <c r="K5413" s="15" t="s">
        <v>22</v>
      </c>
    </row>
    <row r="5414" spans="1:11" ht="42" customHeight="1">
      <c r="A5414" s="4" t="s">
        <v>12076</v>
      </c>
      <c r="B5414" s="5" t="s">
        <v>12076</v>
      </c>
      <c r="C5414" s="5" t="s">
        <v>75</v>
      </c>
      <c r="D5414" s="5" t="s">
        <v>43</v>
      </c>
      <c r="E5414" s="5" t="s">
        <v>870</v>
      </c>
      <c r="F5414" s="9">
        <v>35</v>
      </c>
      <c r="G5414" s="9">
        <v>343</v>
      </c>
      <c r="H5414" s="5" t="s">
        <v>20</v>
      </c>
      <c r="I5414" s="5" t="s">
        <v>12077</v>
      </c>
      <c r="J5414" s="12" t="str">
        <f>HYPERLINK("https://www.boe.es/gazeta/dias/1806/04/25/pdfs/GMD-1806-35.pdf#page=7","Abrir facsímil")</f>
        <v>Abrir facsímil</v>
      </c>
      <c r="K5414" s="15" t="s">
        <v>22</v>
      </c>
    </row>
    <row r="5415" spans="1:11" ht="42" customHeight="1">
      <c r="A5415" s="4" t="s">
        <v>12078</v>
      </c>
      <c r="B5415" s="5" t="s">
        <v>12078</v>
      </c>
      <c r="C5415" s="5" t="s">
        <v>31</v>
      </c>
      <c r="D5415" s="5" t="s">
        <v>32</v>
      </c>
      <c r="E5415" s="5" t="s">
        <v>837</v>
      </c>
      <c r="F5415" s="9">
        <v>26</v>
      </c>
      <c r="G5415" s="9">
        <v>258</v>
      </c>
      <c r="H5415" s="5" t="s">
        <v>20</v>
      </c>
      <c r="I5415" s="5" t="s">
        <v>12079</v>
      </c>
      <c r="J5415" s="12" t="str">
        <f>HYPERLINK("https://www.boe.es/gazeta/dias/1806/03/25/pdfs/GMD-1806-26.pdf#page=10","Abrir facsímil")</f>
        <v>Abrir facsímil</v>
      </c>
      <c r="K5415" s="15" t="s">
        <v>22</v>
      </c>
    </row>
    <row r="5416" spans="1:11" ht="42" customHeight="1">
      <c r="A5416" s="4" t="s">
        <v>12078</v>
      </c>
      <c r="B5416" s="5" t="s">
        <v>12078</v>
      </c>
      <c r="C5416" s="5" t="s">
        <v>31</v>
      </c>
      <c r="D5416" s="5" t="s">
        <v>32</v>
      </c>
      <c r="E5416" s="5" t="s">
        <v>205</v>
      </c>
      <c r="F5416" s="9">
        <v>57</v>
      </c>
      <c r="G5416" s="9">
        <v>596</v>
      </c>
      <c r="H5416" s="5" t="s">
        <v>20</v>
      </c>
      <c r="I5416" s="5" t="s">
        <v>12080</v>
      </c>
      <c r="J5416" s="12" t="str">
        <f>HYPERLINK("https://www.boe.es/gazeta/dias/1806/07/11/pdfs/GMD-1806-57.pdf#page=8","Abrir facsímil")</f>
        <v>Abrir facsímil</v>
      </c>
      <c r="K5416" s="15" t="s">
        <v>22</v>
      </c>
    </row>
    <row r="5417" spans="1:11" ht="42" customHeight="1">
      <c r="A5417" s="4" t="s">
        <v>12081</v>
      </c>
      <c r="B5417" s="5" t="s">
        <v>12081</v>
      </c>
      <c r="C5417" s="5" t="s">
        <v>31</v>
      </c>
      <c r="D5417" s="5" t="s">
        <v>32</v>
      </c>
      <c r="E5417" s="5" t="s">
        <v>306</v>
      </c>
      <c r="F5417" s="9">
        <v>59</v>
      </c>
      <c r="G5417" s="9">
        <v>615</v>
      </c>
      <c r="H5417" s="5" t="s">
        <v>20</v>
      </c>
      <c r="I5417" s="5" t="s">
        <v>12082</v>
      </c>
      <c r="J5417" s="12" t="str">
        <f>HYPERLINK("https://www.boe.es/gazeta/dias/1806/07/18/pdfs/GMD-1806-59.pdf#page=11","Abrir facsímil")</f>
        <v>Abrir facsímil</v>
      </c>
      <c r="K5417" s="15" t="s">
        <v>22</v>
      </c>
    </row>
    <row r="5418" spans="1:11" ht="42" customHeight="1">
      <c r="A5418" s="4" t="s">
        <v>12083</v>
      </c>
      <c r="B5418" s="5" t="s">
        <v>12083</v>
      </c>
      <c r="C5418" s="5" t="s">
        <v>31</v>
      </c>
      <c r="D5418" s="5" t="s">
        <v>32</v>
      </c>
      <c r="E5418" s="5" t="s">
        <v>580</v>
      </c>
      <c r="F5418" s="9">
        <v>23</v>
      </c>
      <c r="G5418" s="9">
        <v>222</v>
      </c>
      <c r="H5418" s="5" t="s">
        <v>20</v>
      </c>
      <c r="I5418" s="5" t="s">
        <v>12084</v>
      </c>
      <c r="J5418" s="12" t="str">
        <f>HYPERLINK("https://www.boe.es/gazeta/dias/1806/03/14/pdfs/GMD-1806-23.pdf#page=10","Abrir facsímil")</f>
        <v>Abrir facsímil</v>
      </c>
      <c r="K5418" s="15" t="s">
        <v>22</v>
      </c>
    </row>
    <row r="5419" spans="1:11" ht="42" customHeight="1">
      <c r="A5419" s="4" t="s">
        <v>12083</v>
      </c>
      <c r="B5419" s="5" t="s">
        <v>12083</v>
      </c>
      <c r="C5419" s="5" t="s">
        <v>31</v>
      </c>
      <c r="D5419" s="5" t="s">
        <v>32</v>
      </c>
      <c r="E5419" s="5" t="s">
        <v>205</v>
      </c>
      <c r="F5419" s="9">
        <v>57</v>
      </c>
      <c r="G5419" s="9">
        <v>596</v>
      </c>
      <c r="H5419" s="5" t="s">
        <v>20</v>
      </c>
      <c r="I5419" s="5" t="s">
        <v>12085</v>
      </c>
      <c r="J5419" s="12" t="str">
        <f>HYPERLINK("https://www.boe.es/gazeta/dias/1806/07/11/pdfs/GMD-1806-57.pdf#page=8","Abrir facsímil")</f>
        <v>Abrir facsímil</v>
      </c>
      <c r="K5419" s="15" t="s">
        <v>22</v>
      </c>
    </row>
    <row r="5420" spans="1:11" ht="42" customHeight="1">
      <c r="A5420" s="4" t="s">
        <v>12086</v>
      </c>
      <c r="B5420" s="5" t="s">
        <v>12086</v>
      </c>
      <c r="C5420" s="5" t="s">
        <v>31</v>
      </c>
      <c r="D5420" s="5" t="s">
        <v>32</v>
      </c>
      <c r="E5420" s="5" t="s">
        <v>148</v>
      </c>
      <c r="F5420" s="9">
        <v>78</v>
      </c>
      <c r="G5420" s="9">
        <v>805</v>
      </c>
      <c r="H5420" s="5" t="s">
        <v>20</v>
      </c>
      <c r="I5420" s="5" t="s">
        <v>12087</v>
      </c>
      <c r="J5420" s="12" t="str">
        <f>HYPERLINK("https://www.boe.es/gazeta/dias/1806/09/23/pdfs/GMD-1806-78.pdf#page=9","Abrir facsímil")</f>
        <v>Abrir facsímil</v>
      </c>
      <c r="K5420" s="15" t="s">
        <v>22</v>
      </c>
    </row>
    <row r="5421" spans="1:11" ht="42" customHeight="1">
      <c r="A5421" s="4" t="s">
        <v>12088</v>
      </c>
      <c r="B5421" s="5" t="s">
        <v>12088</v>
      </c>
      <c r="C5421" s="5" t="s">
        <v>75</v>
      </c>
      <c r="D5421" s="5" t="s">
        <v>43</v>
      </c>
      <c r="E5421" s="5" t="s">
        <v>870</v>
      </c>
      <c r="F5421" s="9">
        <v>35</v>
      </c>
      <c r="G5421" s="9">
        <v>343</v>
      </c>
      <c r="H5421" s="5" t="s">
        <v>20</v>
      </c>
      <c r="I5421" s="5" t="s">
        <v>12089</v>
      </c>
      <c r="J5421" s="12" t="str">
        <f>HYPERLINK("https://www.boe.es/gazeta/dias/1806/04/25/pdfs/GMD-1806-35.pdf#page=7","Abrir facsímil")</f>
        <v>Abrir facsímil</v>
      </c>
      <c r="K5421" s="15" t="s">
        <v>22</v>
      </c>
    </row>
    <row r="5422" spans="1:11" ht="42" customHeight="1">
      <c r="A5422" s="4" t="s">
        <v>12090</v>
      </c>
      <c r="B5422" s="5" t="s">
        <v>12090</v>
      </c>
      <c r="C5422" s="5" t="s">
        <v>31</v>
      </c>
      <c r="D5422" s="5" t="s">
        <v>32</v>
      </c>
      <c r="E5422" s="5" t="s">
        <v>19</v>
      </c>
      <c r="F5422" s="9">
        <v>3</v>
      </c>
      <c r="G5422" s="9">
        <v>28</v>
      </c>
      <c r="H5422" s="5" t="s">
        <v>20</v>
      </c>
      <c r="I5422" s="5" t="s">
        <v>12091</v>
      </c>
      <c r="J5422" s="12" t="str">
        <f>HYPERLINK("https://www.boe.es/gazeta/dias/1806/01/10/pdfs/GMD-1806-3.pdf#page=8","Abrir facsímil")</f>
        <v>Abrir facsímil</v>
      </c>
      <c r="K5422" s="15" t="s">
        <v>22</v>
      </c>
    </row>
    <row r="5423" spans="1:11" ht="42" customHeight="1">
      <c r="A5423" s="4" t="s">
        <v>12090</v>
      </c>
      <c r="B5423" s="5" t="s">
        <v>12090</v>
      </c>
      <c r="C5423" s="5" t="s">
        <v>31</v>
      </c>
      <c r="D5423" s="5" t="s">
        <v>32</v>
      </c>
      <c r="E5423" s="5" t="s">
        <v>195</v>
      </c>
      <c r="F5423" s="9">
        <v>4</v>
      </c>
      <c r="G5423" s="9">
        <v>37</v>
      </c>
      <c r="H5423" s="5" t="s">
        <v>20</v>
      </c>
      <c r="I5423" s="5" t="s">
        <v>12092</v>
      </c>
      <c r="J5423" s="12" t="str">
        <f>HYPERLINK("https://www.boe.es/gazeta/dias/1806/01/14/pdfs/GMD-1806-4.pdf#page=9","Abrir facsímil")</f>
        <v>Abrir facsímil</v>
      </c>
      <c r="K5423" s="15" t="s">
        <v>22</v>
      </c>
    </row>
    <row r="5424" spans="1:11" ht="42" customHeight="1">
      <c r="A5424" s="4" t="s">
        <v>12090</v>
      </c>
      <c r="B5424" s="5" t="s">
        <v>12090</v>
      </c>
      <c r="C5424" s="5" t="s">
        <v>31</v>
      </c>
      <c r="D5424" s="5" t="s">
        <v>32</v>
      </c>
      <c r="E5424" s="5" t="s">
        <v>271</v>
      </c>
      <c r="F5424" s="9">
        <v>6</v>
      </c>
      <c r="G5424" s="9">
        <v>55</v>
      </c>
      <c r="H5424" s="5" t="s">
        <v>20</v>
      </c>
      <c r="I5424" s="5" t="s">
        <v>12093</v>
      </c>
      <c r="J5424" s="12" t="str">
        <f>HYPERLINK("https://www.boe.es/gazeta/dias/1806/01/17/pdfs/GMD-1806-6.pdf#page=11","Abrir facsímil")</f>
        <v>Abrir facsímil</v>
      </c>
      <c r="K5424" s="15" t="s">
        <v>22</v>
      </c>
    </row>
    <row r="5425" spans="1:11" ht="42" customHeight="1">
      <c r="A5425" s="4" t="s">
        <v>12090</v>
      </c>
      <c r="B5425" s="5" t="s">
        <v>12090</v>
      </c>
      <c r="C5425" s="5" t="s">
        <v>31</v>
      </c>
      <c r="D5425" s="5" t="s">
        <v>32</v>
      </c>
      <c r="E5425" s="5" t="s">
        <v>100</v>
      </c>
      <c r="F5425" s="9">
        <v>7</v>
      </c>
      <c r="G5425" s="9">
        <v>67</v>
      </c>
      <c r="H5425" s="5" t="s">
        <v>20</v>
      </c>
      <c r="I5425" s="5" t="s">
        <v>12094</v>
      </c>
      <c r="J5425" s="12" t="str">
        <f>HYPERLINK("https://www.boe.es/gazeta/dias/1806/01/21/pdfs/GMD-1806-7.pdf#page=11","Abrir facsímil")</f>
        <v>Abrir facsímil</v>
      </c>
      <c r="K5425" s="15" t="s">
        <v>22</v>
      </c>
    </row>
    <row r="5426" spans="1:11" ht="42" customHeight="1">
      <c r="A5426" s="4" t="s">
        <v>12090</v>
      </c>
      <c r="B5426" s="5" t="s">
        <v>12090</v>
      </c>
      <c r="C5426" s="5" t="s">
        <v>31</v>
      </c>
      <c r="D5426" s="5" t="s">
        <v>32</v>
      </c>
      <c r="E5426" s="5" t="s">
        <v>363</v>
      </c>
      <c r="F5426" s="9">
        <v>8</v>
      </c>
      <c r="G5426" s="9">
        <v>74</v>
      </c>
      <c r="H5426" s="5" t="s">
        <v>20</v>
      </c>
      <c r="I5426" s="5" t="s">
        <v>12095</v>
      </c>
      <c r="J5426" s="12" t="str">
        <f>HYPERLINK("https://www.boe.es/gazeta/dias/1806/01/24/pdfs/GMD-1806-8.pdf#page=6","Abrir facsímil")</f>
        <v>Abrir facsímil</v>
      </c>
      <c r="K5426" s="15" t="s">
        <v>22</v>
      </c>
    </row>
    <row r="5427" spans="1:11" ht="42" customHeight="1">
      <c r="A5427" s="4" t="s">
        <v>12090</v>
      </c>
      <c r="B5427" s="5" t="s">
        <v>12090</v>
      </c>
      <c r="C5427" s="5" t="s">
        <v>31</v>
      </c>
      <c r="D5427" s="5" t="s">
        <v>32</v>
      </c>
      <c r="E5427" s="5" t="s">
        <v>474</v>
      </c>
      <c r="F5427" s="9">
        <v>10</v>
      </c>
      <c r="G5427" s="9">
        <v>91</v>
      </c>
      <c r="H5427" s="5" t="s">
        <v>20</v>
      </c>
      <c r="I5427" s="5" t="s">
        <v>12096</v>
      </c>
      <c r="J5427" s="12" t="str">
        <f>HYPERLINK("https://www.boe.es/gazeta/dias/1806/01/28/pdfs/GMD-1806-10.pdf#page=7","Abrir facsímil")</f>
        <v>Abrir facsímil</v>
      </c>
      <c r="K5427" s="15" t="s">
        <v>22</v>
      </c>
    </row>
    <row r="5428" spans="1:11" ht="42" customHeight="1">
      <c r="A5428" s="4" t="s">
        <v>12090</v>
      </c>
      <c r="B5428" s="5" t="s">
        <v>12090</v>
      </c>
      <c r="C5428" s="5" t="s">
        <v>31</v>
      </c>
      <c r="D5428" s="5" t="s">
        <v>32</v>
      </c>
      <c r="E5428" s="5" t="s">
        <v>285</v>
      </c>
      <c r="F5428" s="9">
        <v>13</v>
      </c>
      <c r="G5428" s="9">
        <v>115</v>
      </c>
      <c r="H5428" s="5" t="s">
        <v>20</v>
      </c>
      <c r="I5428" s="5" t="s">
        <v>12097</v>
      </c>
      <c r="J5428" s="12" t="str">
        <f>HYPERLINK("https://www.boe.es/gazeta/dias/1806/02/07/pdfs/GMD-1806-13.pdf#page=7","Abrir facsímil")</f>
        <v>Abrir facsímil</v>
      </c>
      <c r="K5428" s="15" t="s">
        <v>22</v>
      </c>
    </row>
    <row r="5429" spans="1:11" ht="42" customHeight="1">
      <c r="A5429" s="4" t="s">
        <v>12090</v>
      </c>
      <c r="B5429" s="5" t="s">
        <v>12090</v>
      </c>
      <c r="C5429" s="5" t="s">
        <v>31</v>
      </c>
      <c r="D5429" s="5" t="s">
        <v>32</v>
      </c>
      <c r="E5429" s="5" t="s">
        <v>238</v>
      </c>
      <c r="F5429" s="9">
        <v>18</v>
      </c>
      <c r="G5429" s="9">
        <v>161</v>
      </c>
      <c r="H5429" s="5" t="s">
        <v>20</v>
      </c>
      <c r="I5429" s="5" t="s">
        <v>12098</v>
      </c>
      <c r="J5429" s="12" t="str">
        <f>HYPERLINK("https://www.boe.es/gazeta/dias/1806/02/25/pdfs/GMD-1806-18.pdf#page=9","Abrir facsímil")</f>
        <v>Abrir facsímil</v>
      </c>
      <c r="K5429" s="15" t="s">
        <v>22</v>
      </c>
    </row>
    <row r="5430" spans="1:11" ht="42" customHeight="1">
      <c r="A5430" s="4" t="s">
        <v>12090</v>
      </c>
      <c r="B5430" s="5" t="s">
        <v>12090</v>
      </c>
      <c r="C5430" s="5" t="s">
        <v>31</v>
      </c>
      <c r="D5430" s="5" t="s">
        <v>32</v>
      </c>
      <c r="E5430" s="5" t="s">
        <v>55</v>
      </c>
      <c r="F5430" s="9">
        <v>20</v>
      </c>
      <c r="G5430" s="9">
        <v>186</v>
      </c>
      <c r="H5430" s="5" t="s">
        <v>20</v>
      </c>
      <c r="I5430" s="5" t="s">
        <v>12099</v>
      </c>
      <c r="J5430" s="12" t="str">
        <f>HYPERLINK("https://www.boe.es/gazeta/dias/1806/03/04/pdfs/GMD-1806-20.pdf#page=10","Abrir facsímil")</f>
        <v>Abrir facsímil</v>
      </c>
      <c r="K5430" s="15" t="s">
        <v>22</v>
      </c>
    </row>
    <row r="5431" spans="1:11" ht="42" customHeight="1">
      <c r="A5431" s="4" t="s">
        <v>12100</v>
      </c>
      <c r="B5431" s="5" t="s">
        <v>12100</v>
      </c>
      <c r="C5431" s="5" t="s">
        <v>31</v>
      </c>
      <c r="D5431" s="5" t="s">
        <v>32</v>
      </c>
      <c r="E5431" s="5" t="s">
        <v>59</v>
      </c>
      <c r="F5431" s="9">
        <v>21</v>
      </c>
      <c r="G5431" s="9">
        <v>199</v>
      </c>
      <c r="H5431" s="5" t="s">
        <v>20</v>
      </c>
      <c r="I5431" s="5" t="s">
        <v>12101</v>
      </c>
      <c r="J5431" s="12" t="str">
        <f>HYPERLINK("https://www.boe.es/gazeta/dias/1806/03/07/pdfs/GMD-1806-21.pdf#page=11","Abrir facsímil")</f>
        <v>Abrir facsímil</v>
      </c>
      <c r="K5431" s="15" t="s">
        <v>22</v>
      </c>
    </row>
    <row r="5432" spans="1:11" ht="42" customHeight="1">
      <c r="A5432" s="4" t="s">
        <v>12090</v>
      </c>
      <c r="B5432" s="5" t="s">
        <v>12090</v>
      </c>
      <c r="C5432" s="5" t="s">
        <v>31</v>
      </c>
      <c r="D5432" s="5" t="s">
        <v>32</v>
      </c>
      <c r="E5432" s="5" t="s">
        <v>220</v>
      </c>
      <c r="F5432" s="9">
        <v>24</v>
      </c>
      <c r="G5432" s="9">
        <v>235</v>
      </c>
      <c r="H5432" s="5" t="s">
        <v>20</v>
      </c>
      <c r="I5432" s="5" t="s">
        <v>12102</v>
      </c>
      <c r="J5432" s="12" t="str">
        <f>HYPERLINK("https://www.boe.es/gazeta/dias/1806/03/18/pdfs/GMD-1806-24.pdf#page=11","Abrir facsímil")</f>
        <v>Abrir facsímil</v>
      </c>
      <c r="K5432" s="15" t="s">
        <v>22</v>
      </c>
    </row>
    <row r="5433" spans="1:11" ht="42" customHeight="1">
      <c r="A5433" s="4" t="s">
        <v>12090</v>
      </c>
      <c r="B5433" s="5" t="s">
        <v>12090</v>
      </c>
      <c r="C5433" s="5" t="s">
        <v>31</v>
      </c>
      <c r="D5433" s="5" t="s">
        <v>32</v>
      </c>
      <c r="E5433" s="5" t="s">
        <v>124</v>
      </c>
      <c r="F5433" s="9">
        <v>25</v>
      </c>
      <c r="G5433" s="9">
        <v>247</v>
      </c>
      <c r="H5433" s="5" t="s">
        <v>20</v>
      </c>
      <c r="I5433" s="5" t="s">
        <v>12103</v>
      </c>
      <c r="J5433" s="12" t="str">
        <f>HYPERLINK("https://www.boe.es/gazeta/dias/1806/03/21/pdfs/GMD-1806-25.pdf#page=11","Abrir facsímil")</f>
        <v>Abrir facsímil</v>
      </c>
      <c r="K5433" s="15" t="s">
        <v>22</v>
      </c>
    </row>
    <row r="5434" spans="1:11" ht="42" customHeight="1">
      <c r="A5434" s="4" t="s">
        <v>12090</v>
      </c>
      <c r="B5434" s="5" t="s">
        <v>12090</v>
      </c>
      <c r="C5434" s="5" t="s">
        <v>31</v>
      </c>
      <c r="D5434" s="5" t="s">
        <v>32</v>
      </c>
      <c r="E5434" s="5" t="s">
        <v>837</v>
      </c>
      <c r="F5434" s="9">
        <v>26</v>
      </c>
      <c r="G5434" s="9">
        <v>258</v>
      </c>
      <c r="H5434" s="5" t="s">
        <v>20</v>
      </c>
      <c r="I5434" s="5" t="s">
        <v>12104</v>
      </c>
      <c r="J5434" s="12" t="str">
        <f>HYPERLINK("https://www.boe.es/gazeta/dias/1806/03/25/pdfs/GMD-1806-26.pdf#page=10","Abrir facsímil")</f>
        <v>Abrir facsímil</v>
      </c>
      <c r="K5434" s="15" t="s">
        <v>22</v>
      </c>
    </row>
    <row r="5435" spans="1:11" ht="42" customHeight="1">
      <c r="A5435" s="4" t="s">
        <v>12090</v>
      </c>
      <c r="B5435" s="5" t="s">
        <v>12090</v>
      </c>
      <c r="C5435" s="5" t="s">
        <v>31</v>
      </c>
      <c r="D5435" s="5" t="s">
        <v>32</v>
      </c>
      <c r="E5435" s="5" t="s">
        <v>227</v>
      </c>
      <c r="F5435" s="9">
        <v>27</v>
      </c>
      <c r="G5435" s="9">
        <v>270</v>
      </c>
      <c r="H5435" s="5" t="s">
        <v>20</v>
      </c>
      <c r="I5435" s="5" t="s">
        <v>12105</v>
      </c>
      <c r="J5435" s="12" t="str">
        <f>HYPERLINK("https://www.boe.es/gazeta/dias/1806/03/28/pdfs/GMD-1806-27.pdf#page=10","Abrir facsímil")</f>
        <v>Abrir facsímil</v>
      </c>
      <c r="K5435" s="15" t="s">
        <v>22</v>
      </c>
    </row>
    <row r="5436" spans="1:11" ht="42" customHeight="1">
      <c r="A5436" s="4" t="s">
        <v>12090</v>
      </c>
      <c r="B5436" s="5" t="s">
        <v>12090</v>
      </c>
      <c r="C5436" s="5" t="s">
        <v>31</v>
      </c>
      <c r="D5436" s="5" t="s">
        <v>32</v>
      </c>
      <c r="E5436" s="5" t="s">
        <v>113</v>
      </c>
      <c r="F5436" s="9">
        <v>28</v>
      </c>
      <c r="G5436" s="9">
        <v>279</v>
      </c>
      <c r="H5436" s="5" t="s">
        <v>20</v>
      </c>
      <c r="I5436" s="5" t="s">
        <v>12106</v>
      </c>
      <c r="J5436" s="12" t="str">
        <f>HYPERLINK("https://www.boe.es/gazeta/dias/1806/04/01/pdfs/GMD-1806-28.pdf#page=7","Abrir facsímil")</f>
        <v>Abrir facsímil</v>
      </c>
      <c r="K5436" s="15" t="s">
        <v>22</v>
      </c>
    </row>
    <row r="5437" spans="1:11" ht="42" customHeight="1">
      <c r="A5437" s="4" t="s">
        <v>12090</v>
      </c>
      <c r="B5437" s="5" t="s">
        <v>12090</v>
      </c>
      <c r="C5437" s="5" t="s">
        <v>31</v>
      </c>
      <c r="D5437" s="5" t="s">
        <v>32</v>
      </c>
      <c r="E5437" s="5" t="s">
        <v>71</v>
      </c>
      <c r="F5437" s="9">
        <v>29</v>
      </c>
      <c r="G5437" s="9">
        <v>288</v>
      </c>
      <c r="H5437" s="5" t="s">
        <v>20</v>
      </c>
      <c r="I5437" s="5" t="s">
        <v>12107</v>
      </c>
      <c r="J5437" s="12" t="str">
        <f>HYPERLINK("https://www.boe.es/gazeta/dias/1806/04/04/pdfs/GMD-1806-29.pdf#page=8","Abrir facsímil")</f>
        <v>Abrir facsímil</v>
      </c>
      <c r="K5437" s="15" t="s">
        <v>22</v>
      </c>
    </row>
    <row r="5438" spans="1:11" ht="42" customHeight="1">
      <c r="A5438" s="4" t="s">
        <v>12090</v>
      </c>
      <c r="B5438" s="5" t="s">
        <v>12090</v>
      </c>
      <c r="C5438" s="5" t="s">
        <v>31</v>
      </c>
      <c r="D5438" s="5" t="s">
        <v>32</v>
      </c>
      <c r="E5438" s="5" t="s">
        <v>202</v>
      </c>
      <c r="F5438" s="9">
        <v>30</v>
      </c>
      <c r="G5438" s="9">
        <v>296</v>
      </c>
      <c r="H5438" s="5" t="s">
        <v>20</v>
      </c>
      <c r="I5438" s="5" t="s">
        <v>12108</v>
      </c>
      <c r="J5438" s="12" t="str">
        <f>HYPERLINK("https://www.boe.es/gazeta/dias/1806/04/08/pdfs/GMD-1806-30.pdf#page=8","Abrir facsímil")</f>
        <v>Abrir facsímil</v>
      </c>
      <c r="K5438" s="15" t="s">
        <v>22</v>
      </c>
    </row>
    <row r="5439" spans="1:11" ht="42" customHeight="1">
      <c r="A5439" s="4" t="s">
        <v>12090</v>
      </c>
      <c r="B5439" s="5" t="s">
        <v>12090</v>
      </c>
      <c r="C5439" s="5" t="s">
        <v>31</v>
      </c>
      <c r="D5439" s="5" t="s">
        <v>32</v>
      </c>
      <c r="E5439" s="5" t="s">
        <v>24</v>
      </c>
      <c r="F5439" s="9">
        <v>32</v>
      </c>
      <c r="G5439" s="9">
        <v>317</v>
      </c>
      <c r="H5439" s="5" t="s">
        <v>20</v>
      </c>
      <c r="I5439" s="5" t="s">
        <v>12109</v>
      </c>
      <c r="J5439" s="12" t="str">
        <f>HYPERLINK("https://www.boe.es/gazeta/dias/1806/04/15/pdfs/GMD-1806-32.pdf#page=9","Abrir facsímil")</f>
        <v>Abrir facsímil</v>
      </c>
      <c r="K5439" s="15" t="s">
        <v>22</v>
      </c>
    </row>
    <row r="5440" spans="1:11" ht="42" customHeight="1">
      <c r="A5440" s="4" t="s">
        <v>12090</v>
      </c>
      <c r="B5440" s="5" t="s">
        <v>12090</v>
      </c>
      <c r="C5440" s="5" t="s">
        <v>31</v>
      </c>
      <c r="D5440" s="5" t="s">
        <v>32</v>
      </c>
      <c r="E5440" s="5" t="s">
        <v>780</v>
      </c>
      <c r="F5440" s="9">
        <v>33</v>
      </c>
      <c r="G5440" s="9">
        <v>327</v>
      </c>
      <c r="H5440" s="5" t="s">
        <v>20</v>
      </c>
      <c r="I5440" s="5" t="s">
        <v>12110</v>
      </c>
      <c r="J5440" s="12" t="str">
        <f>HYPERLINK("https://www.boe.es/gazeta/dias/1806/04/18/pdfs/GMD-1806-33.pdf#page=7","Abrir facsímil")</f>
        <v>Abrir facsímil</v>
      </c>
      <c r="K5440" s="15" t="s">
        <v>22</v>
      </c>
    </row>
    <row r="5441" spans="1:11" ht="42" customHeight="1">
      <c r="A5441" s="4" t="s">
        <v>12090</v>
      </c>
      <c r="B5441" s="5" t="s">
        <v>12090</v>
      </c>
      <c r="C5441" s="5" t="s">
        <v>31</v>
      </c>
      <c r="D5441" s="5" t="s">
        <v>32</v>
      </c>
      <c r="E5441" s="5" t="s">
        <v>259</v>
      </c>
      <c r="F5441" s="9">
        <v>34</v>
      </c>
      <c r="G5441" s="9">
        <v>335</v>
      </c>
      <c r="H5441" s="5" t="s">
        <v>20</v>
      </c>
      <c r="I5441" s="5" t="s">
        <v>12111</v>
      </c>
      <c r="J5441" s="12" t="str">
        <f>HYPERLINK("https://www.boe.es/gazeta/dias/1806/04/22/pdfs/GMD-1806-34.pdf#page=7","Abrir facsímil")</f>
        <v>Abrir facsímil</v>
      </c>
      <c r="K5441" s="15" t="s">
        <v>22</v>
      </c>
    </row>
    <row r="5442" spans="1:11" ht="42" customHeight="1">
      <c r="A5442" s="4" t="s">
        <v>12090</v>
      </c>
      <c r="B5442" s="5" t="s">
        <v>12090</v>
      </c>
      <c r="C5442" s="5" t="s">
        <v>31</v>
      </c>
      <c r="D5442" s="5" t="s">
        <v>32</v>
      </c>
      <c r="E5442" s="5" t="s">
        <v>870</v>
      </c>
      <c r="F5442" s="9">
        <v>35</v>
      </c>
      <c r="G5442" s="9">
        <v>344</v>
      </c>
      <c r="H5442" s="5" t="s">
        <v>20</v>
      </c>
      <c r="I5442" s="5" t="s">
        <v>12112</v>
      </c>
      <c r="J5442" s="12" t="str">
        <f>HYPERLINK("https://www.boe.es/gazeta/dias/1806/04/25/pdfs/GMD-1806-35.pdf#page=8","Abrir facsímil")</f>
        <v>Abrir facsímil</v>
      </c>
      <c r="K5442" s="15" t="s">
        <v>22</v>
      </c>
    </row>
    <row r="5443" spans="1:11" ht="42" customHeight="1">
      <c r="A5443" s="4" t="s">
        <v>12090</v>
      </c>
      <c r="B5443" s="5" t="s">
        <v>12090</v>
      </c>
      <c r="C5443" s="5" t="s">
        <v>31</v>
      </c>
      <c r="D5443" s="5" t="s">
        <v>32</v>
      </c>
      <c r="E5443" s="5" t="s">
        <v>689</v>
      </c>
      <c r="F5443" s="9">
        <v>37</v>
      </c>
      <c r="G5443" s="9">
        <v>362</v>
      </c>
      <c r="H5443" s="5" t="s">
        <v>20</v>
      </c>
      <c r="I5443" s="5" t="s">
        <v>12113</v>
      </c>
      <c r="J5443" s="12" t="str">
        <f>HYPERLINK("https://www.boe.es/gazeta/dias/1806/05/02/pdfs/GMD-1806-37.pdf#page=10","Abrir facsímil")</f>
        <v>Abrir facsímil</v>
      </c>
      <c r="K5443" s="15" t="s">
        <v>22</v>
      </c>
    </row>
    <row r="5444" spans="1:11" ht="42" customHeight="1">
      <c r="A5444" s="4" t="s">
        <v>12090</v>
      </c>
      <c r="B5444" s="5" t="s">
        <v>12090</v>
      </c>
      <c r="C5444" s="5" t="s">
        <v>31</v>
      </c>
      <c r="D5444" s="5" t="s">
        <v>32</v>
      </c>
      <c r="E5444" s="5" t="s">
        <v>689</v>
      </c>
      <c r="F5444" s="9">
        <v>37</v>
      </c>
      <c r="G5444" s="9">
        <v>363</v>
      </c>
      <c r="H5444" s="5" t="s">
        <v>20</v>
      </c>
      <c r="I5444" s="5" t="s">
        <v>12114</v>
      </c>
      <c r="J5444" s="12" t="str">
        <f>HYPERLINK("https://www.boe.es/gazeta/dias/1806/05/02/pdfs/GMD-1806-37.pdf#page=11","Abrir facsímil")</f>
        <v>Abrir facsímil</v>
      </c>
      <c r="K5444" s="15" t="s">
        <v>22</v>
      </c>
    </row>
    <row r="5445" spans="1:11" ht="42" customHeight="1">
      <c r="A5445" s="4" t="s">
        <v>12090</v>
      </c>
      <c r="B5445" s="5" t="s">
        <v>12090</v>
      </c>
      <c r="C5445" s="5" t="s">
        <v>31</v>
      </c>
      <c r="D5445" s="5" t="s">
        <v>32</v>
      </c>
      <c r="E5445" s="5" t="s">
        <v>661</v>
      </c>
      <c r="F5445" s="9">
        <v>38</v>
      </c>
      <c r="G5445" s="9">
        <v>374</v>
      </c>
      <c r="H5445" s="5" t="s">
        <v>20</v>
      </c>
      <c r="I5445" s="5" t="s">
        <v>12115</v>
      </c>
      <c r="J5445" s="12" t="str">
        <f>HYPERLINK("https://www.boe.es/gazeta/dias/1806/05/06/pdfs/GMD-1806-38.pdf#page=10","Abrir facsímil")</f>
        <v>Abrir facsímil</v>
      </c>
      <c r="K5445" s="15" t="s">
        <v>22</v>
      </c>
    </row>
    <row r="5446" spans="1:11" ht="42" customHeight="1">
      <c r="A5446" s="4" t="s">
        <v>12090</v>
      </c>
      <c r="B5446" s="5" t="s">
        <v>12090</v>
      </c>
      <c r="C5446" s="5" t="s">
        <v>31</v>
      </c>
      <c r="D5446" s="5" t="s">
        <v>32</v>
      </c>
      <c r="E5446" s="5" t="s">
        <v>501</v>
      </c>
      <c r="F5446" s="9">
        <v>39</v>
      </c>
      <c r="G5446" s="9">
        <v>386</v>
      </c>
      <c r="H5446" s="5" t="s">
        <v>20</v>
      </c>
      <c r="I5446" s="5" t="s">
        <v>12116</v>
      </c>
      <c r="J5446" s="12" t="str">
        <f>HYPERLINK("https://www.boe.es/gazeta/dias/1806/05/09/pdfs/GMD-1806-39.pdf#page=10","Abrir facsímil")</f>
        <v>Abrir facsímil</v>
      </c>
      <c r="K5446" s="15" t="s">
        <v>22</v>
      </c>
    </row>
    <row r="5447" spans="1:11" ht="42" customHeight="1">
      <c r="A5447" s="4" t="s">
        <v>12090</v>
      </c>
      <c r="B5447" s="5" t="s">
        <v>12090</v>
      </c>
      <c r="C5447" s="5" t="s">
        <v>31</v>
      </c>
      <c r="D5447" s="5" t="s">
        <v>32</v>
      </c>
      <c r="E5447" s="5" t="s">
        <v>175</v>
      </c>
      <c r="F5447" s="9">
        <v>40</v>
      </c>
      <c r="G5447" s="9">
        <v>398</v>
      </c>
      <c r="H5447" s="5" t="s">
        <v>20</v>
      </c>
      <c r="I5447" s="5" t="s">
        <v>12117</v>
      </c>
      <c r="J5447" s="12" t="str">
        <f>HYPERLINK("https://www.boe.es/gazeta/dias/1806/05/13/pdfs/GMD-1806-40.pdf#page=10","Abrir facsímil")</f>
        <v>Abrir facsímil</v>
      </c>
      <c r="K5447" s="15" t="s">
        <v>22</v>
      </c>
    </row>
    <row r="5448" spans="1:11" ht="42" customHeight="1">
      <c r="A5448" s="4" t="s">
        <v>12090</v>
      </c>
      <c r="B5448" s="5" t="s">
        <v>12090</v>
      </c>
      <c r="C5448" s="5" t="s">
        <v>31</v>
      </c>
      <c r="D5448" s="5" t="s">
        <v>32</v>
      </c>
      <c r="E5448" s="5" t="s">
        <v>309</v>
      </c>
      <c r="F5448" s="9">
        <v>41</v>
      </c>
      <c r="G5448" s="9">
        <v>410</v>
      </c>
      <c r="H5448" s="5" t="s">
        <v>20</v>
      </c>
      <c r="I5448" s="5" t="s">
        <v>12118</v>
      </c>
      <c r="J5448" s="12" t="str">
        <f>HYPERLINK("https://www.boe.es/gazeta/dias/1806/05/16/pdfs/GMD-1806-41.pdf#page=10","Abrir facsímil")</f>
        <v>Abrir facsímil</v>
      </c>
      <c r="K5448" s="15" t="s">
        <v>22</v>
      </c>
    </row>
    <row r="5449" spans="1:11" ht="42" customHeight="1">
      <c r="A5449" s="4" t="s">
        <v>12090</v>
      </c>
      <c r="B5449" s="5" t="s">
        <v>12090</v>
      </c>
      <c r="C5449" s="5" t="s">
        <v>31</v>
      </c>
      <c r="D5449" s="5" t="s">
        <v>32</v>
      </c>
      <c r="E5449" s="5" t="s">
        <v>62</v>
      </c>
      <c r="F5449" s="9">
        <v>45</v>
      </c>
      <c r="G5449" s="9">
        <v>458</v>
      </c>
      <c r="H5449" s="5" t="s">
        <v>20</v>
      </c>
      <c r="I5449" s="5" t="s">
        <v>12119</v>
      </c>
      <c r="J5449" s="12" t="str">
        <f>HYPERLINK("https://www.boe.es/gazeta/dias/1806/05/30/pdfs/GMD-1806-45.pdf#page=10","Abrir facsímil")</f>
        <v>Abrir facsímil</v>
      </c>
      <c r="K5449" s="15" t="s">
        <v>22</v>
      </c>
    </row>
    <row r="5450" spans="1:11" ht="42" customHeight="1">
      <c r="A5450" s="4" t="s">
        <v>12090</v>
      </c>
      <c r="B5450" s="5" t="s">
        <v>12090</v>
      </c>
      <c r="C5450" s="5" t="s">
        <v>31</v>
      </c>
      <c r="D5450" s="5" t="s">
        <v>32</v>
      </c>
      <c r="E5450" s="5" t="s">
        <v>185</v>
      </c>
      <c r="F5450" s="9">
        <v>46</v>
      </c>
      <c r="G5450" s="9">
        <v>470</v>
      </c>
      <c r="H5450" s="5" t="s">
        <v>20</v>
      </c>
      <c r="I5450" s="5" t="s">
        <v>12120</v>
      </c>
      <c r="J5450" s="12" t="str">
        <f>HYPERLINK("https://www.boe.es/gazeta/dias/1806/06/03/pdfs/GMD-1806-46.pdf#page=10","Abrir facsímil")</f>
        <v>Abrir facsímil</v>
      </c>
      <c r="K5450" s="15" t="s">
        <v>22</v>
      </c>
    </row>
    <row r="5451" spans="1:11" ht="42" customHeight="1">
      <c r="A5451" s="4" t="s">
        <v>12090</v>
      </c>
      <c r="B5451" s="5" t="s">
        <v>12090</v>
      </c>
      <c r="C5451" s="5" t="s">
        <v>31</v>
      </c>
      <c r="D5451" s="5" t="s">
        <v>32</v>
      </c>
      <c r="E5451" s="5" t="s">
        <v>304</v>
      </c>
      <c r="F5451" s="9">
        <v>47</v>
      </c>
      <c r="G5451" s="9">
        <v>478</v>
      </c>
      <c r="H5451" s="5" t="s">
        <v>20</v>
      </c>
      <c r="I5451" s="5" t="s">
        <v>12121</v>
      </c>
      <c r="J5451" s="12" t="str">
        <f>HYPERLINK("https://www.boe.es/gazeta/dias/1806/06/06/pdfs/GMD-1806-47.pdf#page=6","Abrir facsímil")</f>
        <v>Abrir facsímil</v>
      </c>
      <c r="K5451" s="15" t="s">
        <v>22</v>
      </c>
    </row>
    <row r="5452" spans="1:11" ht="42" customHeight="1">
      <c r="A5452" s="4" t="s">
        <v>12090</v>
      </c>
      <c r="B5452" s="5" t="s">
        <v>12090</v>
      </c>
      <c r="C5452" s="5" t="s">
        <v>31</v>
      </c>
      <c r="D5452" s="5" t="s">
        <v>32</v>
      </c>
      <c r="E5452" s="5" t="s">
        <v>1080</v>
      </c>
      <c r="F5452" s="9">
        <v>49</v>
      </c>
      <c r="G5452" s="9">
        <v>507</v>
      </c>
      <c r="H5452" s="5" t="s">
        <v>20</v>
      </c>
      <c r="I5452" s="5" t="s">
        <v>12122</v>
      </c>
      <c r="J5452" s="12" t="str">
        <f>HYPERLINK("https://www.boe.es/gazeta/dias/1806/06/13/pdfs/GMD-1806-49.pdf#page=7","Abrir facsímil")</f>
        <v>Abrir facsímil</v>
      </c>
      <c r="K5452" s="15" t="s">
        <v>22</v>
      </c>
    </row>
    <row r="5453" spans="1:11" ht="42" customHeight="1">
      <c r="A5453" s="4" t="s">
        <v>12090</v>
      </c>
      <c r="B5453" s="5" t="s">
        <v>12090</v>
      </c>
      <c r="C5453" s="5" t="s">
        <v>31</v>
      </c>
      <c r="D5453" s="5" t="s">
        <v>32</v>
      </c>
      <c r="E5453" s="5" t="s">
        <v>540</v>
      </c>
      <c r="F5453" s="9">
        <v>51</v>
      </c>
      <c r="G5453" s="9">
        <v>530</v>
      </c>
      <c r="H5453" s="5" t="s">
        <v>20</v>
      </c>
      <c r="I5453" s="5" t="s">
        <v>12123</v>
      </c>
      <c r="J5453" s="12" t="str">
        <f>HYPERLINK("https://www.boe.es/gazeta/dias/1806/06/20/pdfs/GMD-1806-51.pdf#page=10","Abrir facsímil")</f>
        <v>Abrir facsímil</v>
      </c>
      <c r="K5453" s="15" t="s">
        <v>22</v>
      </c>
    </row>
    <row r="5454" spans="1:11" ht="42" customHeight="1">
      <c r="A5454" s="4" t="s">
        <v>12090</v>
      </c>
      <c r="B5454" s="5" t="s">
        <v>12090</v>
      </c>
      <c r="C5454" s="5" t="s">
        <v>31</v>
      </c>
      <c r="D5454" s="5" t="s">
        <v>32</v>
      </c>
      <c r="E5454" s="5" t="s">
        <v>279</v>
      </c>
      <c r="F5454" s="9">
        <v>52</v>
      </c>
      <c r="G5454" s="9">
        <v>542</v>
      </c>
      <c r="H5454" s="5" t="s">
        <v>20</v>
      </c>
      <c r="I5454" s="5" t="s">
        <v>12124</v>
      </c>
      <c r="J5454" s="12" t="str">
        <f>HYPERLINK("https://www.boe.es/gazeta/dias/1806/06/24/pdfs/GMD-1806-52.pdf#page=10","Abrir facsímil")</f>
        <v>Abrir facsímil</v>
      </c>
      <c r="K5454" s="15" t="s">
        <v>22</v>
      </c>
    </row>
    <row r="5455" spans="1:11" ht="42" customHeight="1">
      <c r="A5455" s="4" t="s">
        <v>12090</v>
      </c>
      <c r="B5455" s="5" t="s">
        <v>12090</v>
      </c>
      <c r="C5455" s="5" t="s">
        <v>31</v>
      </c>
      <c r="D5455" s="5" t="s">
        <v>32</v>
      </c>
      <c r="E5455" s="5" t="s">
        <v>110</v>
      </c>
      <c r="F5455" s="9">
        <v>55</v>
      </c>
      <c r="G5455" s="9">
        <v>574</v>
      </c>
      <c r="H5455" s="5" t="s">
        <v>20</v>
      </c>
      <c r="I5455" s="5" t="s">
        <v>12125</v>
      </c>
      <c r="J5455" s="12" t="str">
        <f>HYPERLINK("https://www.boe.es/gazeta/dias/1806/07/04/pdfs/GMD-1806-55.pdf#page=10","Abrir facsímil")</f>
        <v>Abrir facsímil</v>
      </c>
      <c r="K5455" s="15" t="s">
        <v>22</v>
      </c>
    </row>
    <row r="5456" spans="1:11" ht="42" customHeight="1">
      <c r="A5456" s="4" t="s">
        <v>12090</v>
      </c>
      <c r="B5456" s="5" t="s">
        <v>12090</v>
      </c>
      <c r="C5456" s="5" t="s">
        <v>31</v>
      </c>
      <c r="D5456" s="5" t="s">
        <v>32</v>
      </c>
      <c r="E5456" s="5" t="s">
        <v>716</v>
      </c>
      <c r="F5456" s="9">
        <v>56</v>
      </c>
      <c r="G5456" s="9">
        <v>587</v>
      </c>
      <c r="H5456" s="5" t="s">
        <v>20</v>
      </c>
      <c r="I5456" s="5" t="s">
        <v>12126</v>
      </c>
      <c r="J5456" s="12" t="str">
        <f>HYPERLINK("https://www.boe.es/gazeta/dias/1806/07/08/pdfs/GMD-1806-56.pdf#page=11","Abrir facsímil")</f>
        <v>Abrir facsímil</v>
      </c>
      <c r="K5456" s="15" t="s">
        <v>22</v>
      </c>
    </row>
    <row r="5457" spans="1:11" ht="42" customHeight="1">
      <c r="A5457" s="4" t="s">
        <v>12090</v>
      </c>
      <c r="B5457" s="5" t="s">
        <v>12090</v>
      </c>
      <c r="C5457" s="5" t="s">
        <v>31</v>
      </c>
      <c r="D5457" s="5" t="s">
        <v>32</v>
      </c>
      <c r="E5457" s="5" t="s">
        <v>205</v>
      </c>
      <c r="F5457" s="9">
        <v>57</v>
      </c>
      <c r="G5457" s="9">
        <v>596</v>
      </c>
      <c r="H5457" s="5" t="s">
        <v>20</v>
      </c>
      <c r="I5457" s="5" t="s">
        <v>12127</v>
      </c>
      <c r="J5457" s="12" t="str">
        <f>HYPERLINK("https://www.boe.es/gazeta/dias/1806/07/11/pdfs/GMD-1806-57.pdf#page=8","Abrir facsímil")</f>
        <v>Abrir facsímil</v>
      </c>
      <c r="K5457" s="15" t="s">
        <v>22</v>
      </c>
    </row>
    <row r="5458" spans="1:11" ht="42" customHeight="1">
      <c r="A5458" s="4" t="s">
        <v>12090</v>
      </c>
      <c r="B5458" s="5" t="s">
        <v>12090</v>
      </c>
      <c r="C5458" s="5" t="s">
        <v>31</v>
      </c>
      <c r="D5458" s="5" t="s">
        <v>32</v>
      </c>
      <c r="E5458" s="5" t="s">
        <v>483</v>
      </c>
      <c r="F5458" s="9">
        <v>58</v>
      </c>
      <c r="G5458" s="9">
        <v>603</v>
      </c>
      <c r="H5458" s="5" t="s">
        <v>20</v>
      </c>
      <c r="I5458" s="5" t="s">
        <v>12128</v>
      </c>
      <c r="J5458" s="12" t="str">
        <f>HYPERLINK("https://www.boe.es/gazeta/dias/1806/07/15/pdfs/GMD-1806-58.pdf#page=7","Abrir facsímil")</f>
        <v>Abrir facsímil</v>
      </c>
      <c r="K5458" s="15" t="s">
        <v>22</v>
      </c>
    </row>
    <row r="5459" spans="1:11" ht="42" customHeight="1">
      <c r="A5459" s="4" t="s">
        <v>12090</v>
      </c>
      <c r="B5459" s="5" t="s">
        <v>12090</v>
      </c>
      <c r="C5459" s="5" t="s">
        <v>31</v>
      </c>
      <c r="D5459" s="5" t="s">
        <v>32</v>
      </c>
      <c r="E5459" s="5" t="s">
        <v>306</v>
      </c>
      <c r="F5459" s="9">
        <v>59</v>
      </c>
      <c r="G5459" s="9">
        <v>615</v>
      </c>
      <c r="H5459" s="5" t="s">
        <v>20</v>
      </c>
      <c r="I5459" s="5" t="s">
        <v>12129</v>
      </c>
      <c r="J5459" s="12" t="str">
        <f>HYPERLINK("https://www.boe.es/gazeta/dias/1806/07/18/pdfs/GMD-1806-59.pdf#page=11","Abrir facsímil")</f>
        <v>Abrir facsímil</v>
      </c>
      <c r="K5459" s="15" t="s">
        <v>22</v>
      </c>
    </row>
    <row r="5460" spans="1:11" ht="42" customHeight="1">
      <c r="A5460" s="4" t="s">
        <v>12090</v>
      </c>
      <c r="B5460" s="5" t="s">
        <v>12090</v>
      </c>
      <c r="C5460" s="5" t="s">
        <v>31</v>
      </c>
      <c r="D5460" s="5" t="s">
        <v>32</v>
      </c>
      <c r="E5460" s="5" t="s">
        <v>90</v>
      </c>
      <c r="F5460" s="9">
        <v>60</v>
      </c>
      <c r="G5460" s="9">
        <v>626</v>
      </c>
      <c r="H5460" s="5" t="s">
        <v>20</v>
      </c>
      <c r="I5460" s="5" t="s">
        <v>12130</v>
      </c>
      <c r="J5460" s="12" t="str">
        <f>HYPERLINK("https://www.boe.es/gazeta/dias/1806/07/22/pdfs/GMD-1806-60.pdf#page=10","Abrir facsímil")</f>
        <v>Abrir facsímil</v>
      </c>
      <c r="K5460" s="15" t="s">
        <v>22</v>
      </c>
    </row>
    <row r="5461" spans="1:11" ht="42" customHeight="1">
      <c r="A5461" s="4" t="s">
        <v>12090</v>
      </c>
      <c r="B5461" s="5" t="s">
        <v>12090</v>
      </c>
      <c r="C5461" s="5" t="s">
        <v>31</v>
      </c>
      <c r="D5461" s="5" t="s">
        <v>32</v>
      </c>
      <c r="E5461" s="5" t="s">
        <v>103</v>
      </c>
      <c r="F5461" s="9">
        <v>61</v>
      </c>
      <c r="G5461" s="9">
        <v>639</v>
      </c>
      <c r="H5461" s="5" t="s">
        <v>20</v>
      </c>
      <c r="I5461" s="5" t="s">
        <v>12131</v>
      </c>
      <c r="J5461" s="12" t="str">
        <f>HYPERLINK("https://www.boe.es/gazeta/dias/1806/07/25/pdfs/GMD-1806-61.pdf#page=11","Abrir facsímil")</f>
        <v>Abrir facsímil</v>
      </c>
      <c r="K5461" s="15" t="s">
        <v>22</v>
      </c>
    </row>
    <row r="5462" spans="1:11" ht="42" customHeight="1">
      <c r="A5462" s="4" t="s">
        <v>12090</v>
      </c>
      <c r="B5462" s="5" t="s">
        <v>12090</v>
      </c>
      <c r="C5462" s="5" t="s">
        <v>31</v>
      </c>
      <c r="D5462" s="5" t="s">
        <v>32</v>
      </c>
      <c r="E5462" s="5" t="s">
        <v>96</v>
      </c>
      <c r="F5462" s="9">
        <v>62</v>
      </c>
      <c r="G5462" s="9">
        <v>650</v>
      </c>
      <c r="H5462" s="5" t="s">
        <v>20</v>
      </c>
      <c r="I5462" s="5" t="s">
        <v>12132</v>
      </c>
      <c r="J5462" s="12" t="str">
        <f>HYPERLINK("https://www.boe.es/gazeta/dias/1806/07/29/pdfs/GMD-1806-62.pdf#page=10","Abrir facsímil")</f>
        <v>Abrir facsímil</v>
      </c>
      <c r="K5462" s="15" t="s">
        <v>22</v>
      </c>
    </row>
    <row r="5463" spans="1:11" ht="42" customHeight="1">
      <c r="A5463" s="4" t="s">
        <v>12090</v>
      </c>
      <c r="B5463" s="5" t="s">
        <v>12090</v>
      </c>
      <c r="C5463" s="5" t="s">
        <v>31</v>
      </c>
      <c r="D5463" s="5" t="s">
        <v>32</v>
      </c>
      <c r="E5463" s="5" t="s">
        <v>96</v>
      </c>
      <c r="F5463" s="9">
        <v>62</v>
      </c>
      <c r="G5463" s="9">
        <v>651</v>
      </c>
      <c r="H5463" s="5" t="s">
        <v>20</v>
      </c>
      <c r="I5463" s="5" t="s">
        <v>12133</v>
      </c>
      <c r="J5463" s="12" t="str">
        <f>HYPERLINK("https://www.boe.es/gazeta/dias/1806/07/29/pdfs/GMD-1806-62.pdf#page=11","Abrir facsímil")</f>
        <v>Abrir facsímil</v>
      </c>
      <c r="K5463" s="15" t="s">
        <v>22</v>
      </c>
    </row>
    <row r="5464" spans="1:11" ht="42" customHeight="1">
      <c r="A5464" s="4" t="s">
        <v>12090</v>
      </c>
      <c r="B5464" s="5" t="s">
        <v>12090</v>
      </c>
      <c r="C5464" s="5" t="s">
        <v>31</v>
      </c>
      <c r="D5464" s="5" t="s">
        <v>32</v>
      </c>
      <c r="E5464" s="5" t="s">
        <v>130</v>
      </c>
      <c r="F5464" s="9">
        <v>66</v>
      </c>
      <c r="G5464" s="9">
        <v>691</v>
      </c>
      <c r="H5464" s="5" t="s">
        <v>20</v>
      </c>
      <c r="I5464" s="5" t="s">
        <v>12134</v>
      </c>
      <c r="J5464" s="12" t="str">
        <f>HYPERLINK("https://www.boe.es/gazeta/dias/1806/08/12/pdfs/GMD-1806-66.pdf#page=7","Abrir facsímil")</f>
        <v>Abrir facsímil</v>
      </c>
      <c r="K5464" s="15" t="s">
        <v>22</v>
      </c>
    </row>
    <row r="5465" spans="1:11" ht="42" customHeight="1">
      <c r="A5465" s="4" t="s">
        <v>12090</v>
      </c>
      <c r="B5465" s="5" t="s">
        <v>12090</v>
      </c>
      <c r="C5465" s="5" t="s">
        <v>31</v>
      </c>
      <c r="D5465" s="5" t="s">
        <v>32</v>
      </c>
      <c r="E5465" s="5" t="s">
        <v>48</v>
      </c>
      <c r="F5465" s="9">
        <v>67</v>
      </c>
      <c r="G5465" s="9">
        <v>702</v>
      </c>
      <c r="H5465" s="5" t="s">
        <v>20</v>
      </c>
      <c r="I5465" s="5" t="s">
        <v>12135</v>
      </c>
      <c r="J5465" s="12" t="str">
        <f>HYPERLINK("https://www.boe.es/gazeta/dias/1806/08/15/pdfs/GMD-1806-67.pdf#page=10","Abrir facsímil")</f>
        <v>Abrir facsímil</v>
      </c>
      <c r="K5465" s="15" t="s">
        <v>22</v>
      </c>
    </row>
    <row r="5466" spans="1:11" ht="42" customHeight="1">
      <c r="A5466" s="4" t="s">
        <v>12090</v>
      </c>
      <c r="B5466" s="5" t="s">
        <v>12090</v>
      </c>
      <c r="C5466" s="5" t="s">
        <v>31</v>
      </c>
      <c r="D5466" s="5" t="s">
        <v>32</v>
      </c>
      <c r="E5466" s="5" t="s">
        <v>79</v>
      </c>
      <c r="F5466" s="9">
        <v>68</v>
      </c>
      <c r="G5466" s="9">
        <v>711</v>
      </c>
      <c r="H5466" s="5" t="s">
        <v>20</v>
      </c>
      <c r="I5466" s="5" t="s">
        <v>12136</v>
      </c>
      <c r="J5466" s="12" t="str">
        <f>HYPERLINK("https://www.boe.es/gazeta/dias/1806/08/19/pdfs/GMD-1806-68.pdf#page=7","Abrir facsímil")</f>
        <v>Abrir facsímil</v>
      </c>
      <c r="K5466" s="15" t="s">
        <v>22</v>
      </c>
    </row>
    <row r="5467" spans="1:11" ht="42" customHeight="1">
      <c r="A5467" s="4" t="s">
        <v>12090</v>
      </c>
      <c r="B5467" s="5" t="s">
        <v>12090</v>
      </c>
      <c r="C5467" s="5" t="s">
        <v>31</v>
      </c>
      <c r="D5467" s="5" t="s">
        <v>32</v>
      </c>
      <c r="E5467" s="5" t="s">
        <v>494</v>
      </c>
      <c r="F5467" s="9">
        <v>69</v>
      </c>
      <c r="G5467" s="9">
        <v>722</v>
      </c>
      <c r="H5467" s="5" t="s">
        <v>20</v>
      </c>
      <c r="I5467" s="5" t="s">
        <v>12137</v>
      </c>
      <c r="J5467" s="12" t="str">
        <f>HYPERLINK("https://www.boe.es/gazeta/dias/1806/08/22/pdfs/GMD-1806-69.pdf#page=10","Abrir facsímil")</f>
        <v>Abrir facsímil</v>
      </c>
      <c r="K5467" s="15" t="s">
        <v>22</v>
      </c>
    </row>
    <row r="5468" spans="1:11" ht="42" customHeight="1">
      <c r="A5468" s="4" t="s">
        <v>12090</v>
      </c>
      <c r="B5468" s="5" t="s">
        <v>12090</v>
      </c>
      <c r="C5468" s="5" t="s">
        <v>31</v>
      </c>
      <c r="D5468" s="5" t="s">
        <v>32</v>
      </c>
      <c r="E5468" s="5" t="s">
        <v>93</v>
      </c>
      <c r="F5468" s="9">
        <v>72</v>
      </c>
      <c r="G5468" s="9">
        <v>750</v>
      </c>
      <c r="H5468" s="5" t="s">
        <v>20</v>
      </c>
      <c r="I5468" s="5" t="s">
        <v>12138</v>
      </c>
      <c r="J5468" s="12" t="str">
        <f>HYPERLINK("https://www.boe.es/gazeta/dias/1806/09/02/pdfs/GMD-1806-72.pdf#page=10","Abrir facsímil")</f>
        <v>Abrir facsímil</v>
      </c>
      <c r="K5468" s="15" t="s">
        <v>22</v>
      </c>
    </row>
    <row r="5469" spans="1:11" ht="42" customHeight="1">
      <c r="A5469" s="4" t="s">
        <v>12090</v>
      </c>
      <c r="B5469" s="5" t="s">
        <v>12090</v>
      </c>
      <c r="C5469" s="5" t="s">
        <v>31</v>
      </c>
      <c r="D5469" s="5" t="s">
        <v>32</v>
      </c>
      <c r="E5469" s="5" t="s">
        <v>213</v>
      </c>
      <c r="F5469" s="9">
        <v>73</v>
      </c>
      <c r="G5469" s="9">
        <v>760</v>
      </c>
      <c r="H5469" s="5" t="s">
        <v>20</v>
      </c>
      <c r="I5469" s="5" t="s">
        <v>12139</v>
      </c>
      <c r="J5469" s="12" t="str">
        <f>HYPERLINK("https://www.boe.es/gazeta/dias/1806/09/05/pdfs/GMD-1806-73.pdf#page=8","Abrir facsímil")</f>
        <v>Abrir facsímil</v>
      </c>
      <c r="K5469" s="15" t="s">
        <v>22</v>
      </c>
    </row>
    <row r="5470" spans="1:11" ht="42" customHeight="1">
      <c r="A5470" s="4" t="s">
        <v>12090</v>
      </c>
      <c r="B5470" s="5" t="s">
        <v>12090</v>
      </c>
      <c r="C5470" s="5" t="s">
        <v>31</v>
      </c>
      <c r="D5470" s="5" t="s">
        <v>32</v>
      </c>
      <c r="E5470" s="5" t="s">
        <v>434</v>
      </c>
      <c r="F5470" s="9">
        <v>74</v>
      </c>
      <c r="G5470" s="9">
        <v>768</v>
      </c>
      <c r="H5470" s="5" t="s">
        <v>20</v>
      </c>
      <c r="I5470" s="5" t="s">
        <v>12140</v>
      </c>
      <c r="J5470" s="12" t="str">
        <f>HYPERLINK("https://www.boe.es/gazeta/dias/1806/09/09/pdfs/GMD-1806-74.pdf#page=8","Abrir facsímil")</f>
        <v>Abrir facsímil</v>
      </c>
      <c r="K5470" s="15" t="s">
        <v>22</v>
      </c>
    </row>
    <row r="5471" spans="1:11" ht="42" customHeight="1">
      <c r="A5471" s="4" t="s">
        <v>12090</v>
      </c>
      <c r="B5471" s="5" t="s">
        <v>12090</v>
      </c>
      <c r="C5471" s="5" t="s">
        <v>31</v>
      </c>
      <c r="D5471" s="5" t="s">
        <v>32</v>
      </c>
      <c r="E5471" s="5" t="s">
        <v>301</v>
      </c>
      <c r="F5471" s="9">
        <v>75</v>
      </c>
      <c r="G5471" s="9">
        <v>778</v>
      </c>
      <c r="H5471" s="5" t="s">
        <v>20</v>
      </c>
      <c r="I5471" s="5" t="s">
        <v>12141</v>
      </c>
      <c r="J5471" s="12" t="str">
        <f>HYPERLINK("https://www.boe.es/gazeta/dias/1806/09/12/pdfs/GMD-1806-75.pdf#page=10","Abrir facsímil")</f>
        <v>Abrir facsímil</v>
      </c>
      <c r="K5471" s="15" t="s">
        <v>22</v>
      </c>
    </row>
    <row r="5472" spans="1:11" ht="42" customHeight="1">
      <c r="A5472" s="4" t="s">
        <v>12090</v>
      </c>
      <c r="B5472" s="5" t="s">
        <v>12090</v>
      </c>
      <c r="C5472" s="5" t="s">
        <v>31</v>
      </c>
      <c r="D5472" s="5" t="s">
        <v>32</v>
      </c>
      <c r="E5472" s="5" t="s">
        <v>301</v>
      </c>
      <c r="F5472" s="9">
        <v>75</v>
      </c>
      <c r="G5472" s="9">
        <v>779</v>
      </c>
      <c r="H5472" s="5" t="s">
        <v>20</v>
      </c>
      <c r="I5472" s="5" t="s">
        <v>12142</v>
      </c>
      <c r="J5472" s="12" t="str">
        <f>HYPERLINK("https://www.boe.es/gazeta/dias/1806/09/12/pdfs/GMD-1806-75.pdf#page=11","Abrir facsímil")</f>
        <v>Abrir facsímil</v>
      </c>
      <c r="K5472" s="15" t="s">
        <v>22</v>
      </c>
    </row>
    <row r="5473" spans="1:11" ht="42" customHeight="1">
      <c r="A5473" s="4" t="s">
        <v>12090</v>
      </c>
      <c r="B5473" s="5" t="s">
        <v>12090</v>
      </c>
      <c r="C5473" s="5" t="s">
        <v>31</v>
      </c>
      <c r="D5473" s="5" t="s">
        <v>32</v>
      </c>
      <c r="E5473" s="5" t="s">
        <v>144</v>
      </c>
      <c r="F5473" s="9">
        <v>79</v>
      </c>
      <c r="G5473" s="9">
        <v>819</v>
      </c>
      <c r="H5473" s="5" t="s">
        <v>20</v>
      </c>
      <c r="I5473" s="5" t="s">
        <v>12143</v>
      </c>
      <c r="J5473" s="12" t="str">
        <f>HYPERLINK("https://www.boe.es/gazeta/dias/1806/09/26/pdfs/GMD-1806-79.pdf#page=11","Abrir facsímil")</f>
        <v>Abrir facsímil</v>
      </c>
      <c r="K5473" s="15" t="s">
        <v>22</v>
      </c>
    </row>
    <row r="5474" spans="1:11" ht="42" customHeight="1">
      <c r="A5474" s="4" t="s">
        <v>12090</v>
      </c>
      <c r="B5474" s="5" t="s">
        <v>12090</v>
      </c>
      <c r="C5474" s="5" t="s">
        <v>31</v>
      </c>
      <c r="D5474" s="5" t="s">
        <v>32</v>
      </c>
      <c r="E5474" s="5" t="s">
        <v>140</v>
      </c>
      <c r="F5474" s="9">
        <v>83</v>
      </c>
      <c r="G5474" s="9">
        <v>862</v>
      </c>
      <c r="H5474" s="5" t="s">
        <v>20</v>
      </c>
      <c r="I5474" s="5" t="s">
        <v>12144</v>
      </c>
      <c r="J5474" s="12" t="str">
        <f>HYPERLINK("https://www.boe.es/gazeta/dias/1806/10/10/pdfs/GMD-1806-83.pdf#page=10","Abrir facsímil")</f>
        <v>Abrir facsímil</v>
      </c>
      <c r="K5474" s="15" t="s">
        <v>22</v>
      </c>
    </row>
    <row r="5475" spans="1:11" ht="42" customHeight="1">
      <c r="A5475" s="4" t="s">
        <v>12090</v>
      </c>
      <c r="B5475" s="5" t="s">
        <v>12090</v>
      </c>
      <c r="C5475" s="5" t="s">
        <v>31</v>
      </c>
      <c r="D5475" s="5" t="s">
        <v>32</v>
      </c>
      <c r="E5475" s="5" t="s">
        <v>455</v>
      </c>
      <c r="F5475" s="9">
        <v>85</v>
      </c>
      <c r="G5475" s="9">
        <v>883</v>
      </c>
      <c r="H5475" s="5" t="s">
        <v>20</v>
      </c>
      <c r="I5475" s="5" t="s">
        <v>12145</v>
      </c>
      <c r="J5475" s="12" t="str">
        <f>HYPERLINK("https://www.boe.es/gazeta/dias/1806/10/17/pdfs/GMD-1806-85.pdf#page=11","Abrir facsímil")</f>
        <v>Abrir facsímil</v>
      </c>
      <c r="K5475" s="15" t="s">
        <v>22</v>
      </c>
    </row>
    <row r="5476" spans="1:11" ht="42" customHeight="1">
      <c r="A5476" s="4" t="s">
        <v>12090</v>
      </c>
      <c r="B5476" s="5" t="s">
        <v>12090</v>
      </c>
      <c r="C5476" s="5" t="s">
        <v>31</v>
      </c>
      <c r="D5476" s="5" t="s">
        <v>32</v>
      </c>
      <c r="E5476" s="5" t="s">
        <v>367</v>
      </c>
      <c r="F5476" s="9">
        <v>87</v>
      </c>
      <c r="G5476" s="9">
        <v>902</v>
      </c>
      <c r="H5476" s="5" t="s">
        <v>20</v>
      </c>
      <c r="I5476" s="5" t="s">
        <v>12146</v>
      </c>
      <c r="J5476" s="12" t="str">
        <f>HYPERLINK("https://www.boe.es/gazeta/dias/1806/10/24/pdfs/GMD-1806-87.pdf#page=10","Abrir facsímil")</f>
        <v>Abrir facsímil</v>
      </c>
      <c r="K5476" s="15" t="s">
        <v>22</v>
      </c>
    </row>
    <row r="5477" spans="1:11" ht="42" customHeight="1">
      <c r="A5477" s="4" t="s">
        <v>12090</v>
      </c>
      <c r="B5477" s="5" t="s">
        <v>12090</v>
      </c>
      <c r="C5477" s="5" t="s">
        <v>31</v>
      </c>
      <c r="D5477" s="5" t="s">
        <v>32</v>
      </c>
      <c r="E5477" s="5" t="s">
        <v>348</v>
      </c>
      <c r="F5477" s="9">
        <v>88</v>
      </c>
      <c r="G5477" s="9">
        <v>911</v>
      </c>
      <c r="H5477" s="5" t="s">
        <v>20</v>
      </c>
      <c r="I5477" s="5" t="s">
        <v>12147</v>
      </c>
      <c r="J5477" s="12" t="str">
        <f>HYPERLINK("https://www.boe.es/gazeta/dias/1806/10/28/pdfs/GMD-1806-88.pdf#page=7","Abrir facsímil")</f>
        <v>Abrir facsímil</v>
      </c>
      <c r="K5477" s="15" t="s">
        <v>22</v>
      </c>
    </row>
    <row r="5478" spans="1:11" ht="42" customHeight="1">
      <c r="A5478" s="4" t="s">
        <v>12090</v>
      </c>
      <c r="B5478" s="5" t="s">
        <v>12090</v>
      </c>
      <c r="C5478" s="5" t="s">
        <v>31</v>
      </c>
      <c r="D5478" s="5" t="s">
        <v>32</v>
      </c>
      <c r="E5478" s="5" t="s">
        <v>570</v>
      </c>
      <c r="F5478" s="9">
        <v>93</v>
      </c>
      <c r="G5478" s="9">
        <v>980</v>
      </c>
      <c r="H5478" s="5" t="s">
        <v>20</v>
      </c>
      <c r="I5478" s="5" t="s">
        <v>12148</v>
      </c>
      <c r="J5478" s="12" t="str">
        <f>HYPERLINK("https://www.boe.es/gazeta/dias/1806/11/14/pdfs/GMD-1806-93.pdf#page=16","Abrir facsímil")</f>
        <v>Abrir facsímil</v>
      </c>
      <c r="K5478" s="15" t="s">
        <v>22</v>
      </c>
    </row>
    <row r="5479" spans="1:11" ht="42" customHeight="1">
      <c r="A5479" s="4" t="s">
        <v>12090</v>
      </c>
      <c r="B5479" s="5" t="s">
        <v>12090</v>
      </c>
      <c r="C5479" s="5" t="s">
        <v>31</v>
      </c>
      <c r="D5479" s="5" t="s">
        <v>32</v>
      </c>
      <c r="E5479" s="5" t="s">
        <v>680</v>
      </c>
      <c r="F5479" s="9">
        <v>97</v>
      </c>
      <c r="G5479" s="9">
        <v>1032</v>
      </c>
      <c r="H5479" s="5" t="s">
        <v>20</v>
      </c>
      <c r="I5479" s="5" t="s">
        <v>12149</v>
      </c>
      <c r="J5479" s="12" t="str">
        <f>HYPERLINK("https://www.boe.es/gazeta/dias/1806/11/28/pdfs/GMD-1806-97.pdf#page=12","Abrir facsímil")</f>
        <v>Abrir facsímil</v>
      </c>
      <c r="K5479" s="15" t="s">
        <v>22</v>
      </c>
    </row>
    <row r="5480" spans="1:11" ht="42" customHeight="1">
      <c r="A5480" s="4" t="s">
        <v>12090</v>
      </c>
      <c r="B5480" s="5" t="s">
        <v>12090</v>
      </c>
      <c r="C5480" s="5" t="s">
        <v>31</v>
      </c>
      <c r="D5480" s="5" t="s">
        <v>32</v>
      </c>
      <c r="E5480" s="5" t="s">
        <v>28</v>
      </c>
      <c r="F5480" s="9">
        <v>102</v>
      </c>
      <c r="G5480" s="9">
        <v>1086</v>
      </c>
      <c r="H5480" s="5" t="s">
        <v>20</v>
      </c>
      <c r="I5480" s="5" t="s">
        <v>12150</v>
      </c>
      <c r="J5480" s="12" t="str">
        <f>HYPERLINK("https://www.boe.es/gazeta/dias/1806/12/16/pdfs/GMD-1806-102.pdf#page=10","Abrir facsímil")</f>
        <v>Abrir facsímil</v>
      </c>
      <c r="K5480" s="15" t="s">
        <v>22</v>
      </c>
    </row>
    <row r="5481" spans="1:11" ht="42" customHeight="1">
      <c r="A5481" s="4" t="s">
        <v>12090</v>
      </c>
      <c r="B5481" s="5" t="s">
        <v>12090</v>
      </c>
      <c r="C5481" s="5" t="s">
        <v>31</v>
      </c>
      <c r="D5481" s="5" t="s">
        <v>32</v>
      </c>
      <c r="E5481" s="5" t="s">
        <v>245</v>
      </c>
      <c r="F5481" s="9">
        <v>106</v>
      </c>
      <c r="G5481" s="9">
        <v>1123</v>
      </c>
      <c r="H5481" s="5" t="s">
        <v>20</v>
      </c>
      <c r="I5481" s="5" t="s">
        <v>12151</v>
      </c>
      <c r="J5481" s="12" t="str">
        <f>HYPERLINK("https://www.boe.es/gazeta/dias/1806/12/26/pdfs/GMD-1806-106.pdf#page=7","Abrir facsímil")</f>
        <v>Abrir facsímil</v>
      </c>
      <c r="K5481" s="15" t="s">
        <v>22</v>
      </c>
    </row>
    <row r="5482" spans="1:11" ht="42" customHeight="1">
      <c r="A5482" s="4" t="s">
        <v>12152</v>
      </c>
      <c r="B5482" s="5" t="s">
        <v>12152</v>
      </c>
      <c r="C5482" s="5" t="s">
        <v>31</v>
      </c>
      <c r="D5482" s="5" t="s">
        <v>32</v>
      </c>
      <c r="E5482" s="5" t="s">
        <v>702</v>
      </c>
      <c r="F5482" s="9">
        <v>43</v>
      </c>
      <c r="G5482" s="9">
        <v>435</v>
      </c>
      <c r="H5482" s="5" t="s">
        <v>20</v>
      </c>
      <c r="I5482" s="5" t="s">
        <v>12153</v>
      </c>
      <c r="J5482" s="12" t="str">
        <f>HYPERLINK("https://www.boe.es/gazeta/dias/1806/05/23/pdfs/GMD-1806-43.pdf#page=11","Abrir facsímil")</f>
        <v>Abrir facsímil</v>
      </c>
      <c r="K5482" s="15" t="s">
        <v>22</v>
      </c>
    </row>
    <row r="5483" spans="1:11" ht="42" customHeight="1">
      <c r="A5483" s="4" t="s">
        <v>12154</v>
      </c>
      <c r="B5483" s="5" t="s">
        <v>12154</v>
      </c>
      <c r="C5483" s="5" t="s">
        <v>36</v>
      </c>
      <c r="D5483" s="5" t="s">
        <v>37</v>
      </c>
      <c r="E5483" s="5" t="s">
        <v>172</v>
      </c>
      <c r="F5483" s="9">
        <v>17</v>
      </c>
      <c r="G5483" s="9">
        <v>152</v>
      </c>
      <c r="H5483" s="5" t="s">
        <v>20</v>
      </c>
      <c r="I5483" s="5" t="s">
        <v>12155</v>
      </c>
      <c r="J5483" s="12" t="str">
        <f>HYPERLINK("https://www.boe.es/gazeta/dias/1806/02/21/pdfs/GMD-1806-17.pdf#page=8","Abrir facsímil")</f>
        <v>Abrir facsímil</v>
      </c>
      <c r="K5483" s="15" t="s">
        <v>22</v>
      </c>
    </row>
    <row r="5484" spans="1:11" ht="42" customHeight="1">
      <c r="A5484" s="4" t="s">
        <v>12156</v>
      </c>
      <c r="B5484" s="5" t="s">
        <v>12156</v>
      </c>
      <c r="C5484" s="5" t="s">
        <v>17</v>
      </c>
      <c r="D5484" s="5" t="s">
        <v>18</v>
      </c>
      <c r="E5484" s="5" t="s">
        <v>340</v>
      </c>
      <c r="F5484" s="9">
        <v>31</v>
      </c>
      <c r="G5484" s="9">
        <v>308</v>
      </c>
      <c r="H5484" s="5" t="s">
        <v>20</v>
      </c>
      <c r="I5484" s="5" t="s">
        <v>12157</v>
      </c>
      <c r="J5484" s="12" t="str">
        <f>HYPERLINK("https://www.boe.es/gazeta/dias/1806/04/11/pdfs/GMD-1806-31.pdf#page=12","Abrir facsímil")</f>
        <v>Abrir facsímil</v>
      </c>
      <c r="K5484" s="15" t="s">
        <v>22</v>
      </c>
    </row>
    <row r="5485" spans="1:11" ht="42" customHeight="1">
      <c r="A5485" s="4" t="s">
        <v>12156</v>
      </c>
      <c r="B5485" s="5" t="s">
        <v>12156</v>
      </c>
      <c r="C5485" s="5" t="s">
        <v>17</v>
      </c>
      <c r="D5485" s="5" t="s">
        <v>18</v>
      </c>
      <c r="E5485" s="5" t="s">
        <v>312</v>
      </c>
      <c r="F5485" s="9">
        <v>100</v>
      </c>
      <c r="G5485" s="9">
        <v>1064</v>
      </c>
      <c r="H5485" s="5" t="s">
        <v>20</v>
      </c>
      <c r="I5485" s="5" t="s">
        <v>12158</v>
      </c>
      <c r="J5485" s="12" t="str">
        <f>HYPERLINK("https://www.boe.es/gazeta/dias/1806/12/09/pdfs/GMD-1806-100.pdf#page=8","Abrir facsímil")</f>
        <v>Abrir facsímil</v>
      </c>
      <c r="K5485" s="15" t="s">
        <v>22</v>
      </c>
    </row>
    <row r="5486" spans="1:11" ht="42" customHeight="1">
      <c r="A5486" s="4" t="s">
        <v>12159</v>
      </c>
      <c r="B5486" s="5" t="s">
        <v>12159</v>
      </c>
      <c r="C5486" s="5" t="s">
        <v>31</v>
      </c>
      <c r="D5486" s="5" t="s">
        <v>32</v>
      </c>
      <c r="E5486" s="5" t="s">
        <v>870</v>
      </c>
      <c r="F5486" s="9">
        <v>35</v>
      </c>
      <c r="G5486" s="9">
        <v>344</v>
      </c>
      <c r="H5486" s="5" t="s">
        <v>20</v>
      </c>
      <c r="I5486" s="5" t="s">
        <v>12160</v>
      </c>
      <c r="J5486" s="12" t="str">
        <f>HYPERLINK("https://www.boe.es/gazeta/dias/1806/04/25/pdfs/GMD-1806-35.pdf#page=8","Abrir facsímil")</f>
        <v>Abrir facsímil</v>
      </c>
      <c r="K5486" s="15" t="s">
        <v>22</v>
      </c>
    </row>
    <row r="5487" spans="1:11" ht="42" customHeight="1">
      <c r="A5487" s="4" t="s">
        <v>12161</v>
      </c>
      <c r="B5487" s="5" t="s">
        <v>12162</v>
      </c>
      <c r="C5487" s="5" t="s">
        <v>75</v>
      </c>
      <c r="D5487" s="5" t="s">
        <v>43</v>
      </c>
      <c r="E5487" s="5" t="s">
        <v>231</v>
      </c>
      <c r="F5487" s="9">
        <v>89</v>
      </c>
      <c r="G5487" s="9">
        <v>922</v>
      </c>
      <c r="H5487" s="5" t="s">
        <v>20</v>
      </c>
      <c r="I5487" s="5" t="s">
        <v>12163</v>
      </c>
      <c r="J5487" s="12" t="str">
        <f>HYPERLINK("https://www.boe.es/gazeta/dias/1806/10/31/pdfs/GMD-1806-89.pdf#page=10","Abrir facsímil")</f>
        <v>Abrir facsímil</v>
      </c>
      <c r="K5487" s="15" t="s">
        <v>22</v>
      </c>
    </row>
    <row r="5488" spans="1:11" ht="42" customHeight="1">
      <c r="A5488" s="4" t="s">
        <v>12164</v>
      </c>
      <c r="B5488" s="5" t="s">
        <v>12165</v>
      </c>
      <c r="C5488" s="5" t="s">
        <v>31</v>
      </c>
      <c r="D5488" s="5" t="s">
        <v>32</v>
      </c>
      <c r="E5488" s="5" t="s">
        <v>657</v>
      </c>
      <c r="F5488" s="9">
        <v>96</v>
      </c>
      <c r="G5488" s="9">
        <v>1018</v>
      </c>
      <c r="H5488" s="5" t="s">
        <v>20</v>
      </c>
      <c r="I5488" s="5" t="s">
        <v>12166</v>
      </c>
      <c r="J5488" s="12" t="str">
        <f>HYPERLINK("https://www.boe.es/gazeta/dias/1806/11/25/pdfs/GMD-1806-96.pdf#page=10","Abrir facsímil")</f>
        <v>Abrir facsímil</v>
      </c>
      <c r="K5488" s="15" t="s">
        <v>22</v>
      </c>
    </row>
    <row r="5489" spans="1:11" ht="42" customHeight="1">
      <c r="A5489" s="4" t="s">
        <v>12167</v>
      </c>
      <c r="B5489" s="5" t="s">
        <v>12168</v>
      </c>
      <c r="C5489" s="5" t="s">
        <v>31</v>
      </c>
      <c r="D5489" s="5" t="s">
        <v>32</v>
      </c>
      <c r="E5489" s="5" t="s">
        <v>220</v>
      </c>
      <c r="F5489" s="9">
        <v>24</v>
      </c>
      <c r="G5489" s="9">
        <v>232</v>
      </c>
      <c r="H5489" s="5" t="s">
        <v>20</v>
      </c>
      <c r="I5489" s="5" t="s">
        <v>12169</v>
      </c>
      <c r="J5489" s="12" t="str">
        <f>HYPERLINK("https://www.boe.es/gazeta/dias/1806/03/18/pdfs/GMD-1806-24.pdf#page=8","Abrir facsímil")</f>
        <v>Abrir facsímil</v>
      </c>
      <c r="K5489" s="15" t="s">
        <v>22</v>
      </c>
    </row>
    <row r="5490" spans="1:11" ht="42" customHeight="1">
      <c r="A5490" s="4" t="s">
        <v>12167</v>
      </c>
      <c r="B5490" s="5" t="s">
        <v>12168</v>
      </c>
      <c r="C5490" s="5" t="s">
        <v>42</v>
      </c>
      <c r="D5490" s="5" t="s">
        <v>43</v>
      </c>
      <c r="E5490" s="5" t="s">
        <v>178</v>
      </c>
      <c r="F5490" s="9">
        <v>36</v>
      </c>
      <c r="G5490" s="9">
        <v>349</v>
      </c>
      <c r="H5490" s="5" t="s">
        <v>20</v>
      </c>
      <c r="I5490" s="5" t="s">
        <v>12170</v>
      </c>
      <c r="J5490" s="12" t="str">
        <f>HYPERLINK("https://www.boe.es/gazeta/dias/1806/04/29/pdfs/GMD-1806-36.pdf#page=5","Abrir facsímil")</f>
        <v>Abrir facsímil</v>
      </c>
      <c r="K5490" s="15" t="s">
        <v>22</v>
      </c>
    </row>
    <row r="5491" spans="1:11" ht="42" customHeight="1">
      <c r="A5491" s="4" t="s">
        <v>12171</v>
      </c>
      <c r="B5491" s="5" t="s">
        <v>12171</v>
      </c>
      <c r="C5491" s="5" t="s">
        <v>42</v>
      </c>
      <c r="D5491" s="5" t="s">
        <v>43</v>
      </c>
      <c r="E5491" s="5" t="s">
        <v>71</v>
      </c>
      <c r="F5491" s="9">
        <v>29</v>
      </c>
      <c r="G5491" s="9">
        <v>287</v>
      </c>
      <c r="H5491" s="5" t="s">
        <v>20</v>
      </c>
      <c r="I5491" s="5" t="s">
        <v>12172</v>
      </c>
      <c r="J5491" s="12" t="str">
        <f>HYPERLINK("https://www.boe.es/gazeta/dias/1806/04/04/pdfs/GMD-1806-29.pdf#page=7","Abrir facsímil")</f>
        <v>Abrir facsímil</v>
      </c>
      <c r="K5491" s="15" t="s">
        <v>22</v>
      </c>
    </row>
    <row r="5492" spans="1:11" ht="42" customHeight="1">
      <c r="A5492" s="4" t="s">
        <v>12173</v>
      </c>
      <c r="B5492" s="5" t="s">
        <v>12174</v>
      </c>
      <c r="C5492" s="5" t="s">
        <v>36</v>
      </c>
      <c r="D5492" s="5" t="s">
        <v>37</v>
      </c>
      <c r="E5492" s="5" t="s">
        <v>28</v>
      </c>
      <c r="F5492" s="9">
        <v>102</v>
      </c>
      <c r="G5492" s="9">
        <v>1087</v>
      </c>
      <c r="H5492" s="5" t="s">
        <v>20</v>
      </c>
      <c r="I5492" s="5" t="s">
        <v>12175</v>
      </c>
      <c r="J5492" s="12" t="str">
        <f>HYPERLINK("https://www.boe.es/gazeta/dias/1806/12/16/pdfs/GMD-1806-102.pdf#page=11","Abrir facsímil")</f>
        <v>Abrir facsímil</v>
      </c>
      <c r="K5492" s="15" t="s">
        <v>22</v>
      </c>
    </row>
    <row r="5493" spans="1:11" ht="42" customHeight="1">
      <c r="A5493" s="4" t="s">
        <v>12176</v>
      </c>
      <c r="B5493" s="5" t="s">
        <v>12177</v>
      </c>
      <c r="C5493" s="5" t="s">
        <v>17</v>
      </c>
      <c r="D5493" s="5" t="s">
        <v>18</v>
      </c>
      <c r="E5493" s="5" t="s">
        <v>455</v>
      </c>
      <c r="F5493" s="9">
        <v>85</v>
      </c>
      <c r="G5493" s="9">
        <v>884</v>
      </c>
      <c r="H5493" s="5" t="s">
        <v>20</v>
      </c>
      <c r="I5493" s="5" t="s">
        <v>12178</v>
      </c>
      <c r="J5493" s="12" t="str">
        <f>HYPERLINK("https://www.boe.es/gazeta/dias/1806/10/17/pdfs/GMD-1806-85.pdf#page=12","Abrir facsímil")</f>
        <v>Abrir facsímil</v>
      </c>
      <c r="K5493" s="15" t="s">
        <v>22</v>
      </c>
    </row>
    <row r="5494" spans="1:11" ht="42" customHeight="1">
      <c r="A5494" s="4" t="s">
        <v>12179</v>
      </c>
      <c r="B5494" s="5" t="s">
        <v>12180</v>
      </c>
      <c r="C5494" s="5" t="s">
        <v>31</v>
      </c>
      <c r="D5494" s="5" t="s">
        <v>32</v>
      </c>
      <c r="E5494" s="5" t="s">
        <v>297</v>
      </c>
      <c r="F5494" s="9">
        <v>94</v>
      </c>
      <c r="G5494" s="9">
        <v>989</v>
      </c>
      <c r="H5494" s="5" t="s">
        <v>20</v>
      </c>
      <c r="I5494" s="5" t="s">
        <v>12181</v>
      </c>
      <c r="J5494" s="12" t="str">
        <f>HYPERLINK("https://www.boe.es/gazeta/dias/1806/11/18/pdfs/GMD-1806-94.pdf#page=9","Abrir facsímil")</f>
        <v>Abrir facsímil</v>
      </c>
      <c r="K5494" s="15" t="s">
        <v>22</v>
      </c>
    </row>
    <row r="5495" spans="1:11" ht="42" customHeight="1">
      <c r="A5495" s="4" t="s">
        <v>12182</v>
      </c>
      <c r="B5495" s="5" t="s">
        <v>12183</v>
      </c>
      <c r="C5495" s="5" t="s">
        <v>31</v>
      </c>
      <c r="D5495" s="5" t="s">
        <v>32</v>
      </c>
      <c r="E5495" s="5" t="s">
        <v>716</v>
      </c>
      <c r="F5495" s="9">
        <v>56</v>
      </c>
      <c r="G5495" s="9">
        <v>586</v>
      </c>
      <c r="H5495" s="5" t="s">
        <v>20</v>
      </c>
      <c r="I5495" s="5" t="s">
        <v>12184</v>
      </c>
      <c r="J5495" s="12" t="str">
        <f>HYPERLINK("https://www.boe.es/gazeta/dias/1806/07/08/pdfs/GMD-1806-56.pdf#page=10","Abrir facsímil")</f>
        <v>Abrir facsímil</v>
      </c>
      <c r="K5495" s="15" t="s">
        <v>22</v>
      </c>
    </row>
    <row r="5496" spans="1:11" ht="42" customHeight="1">
      <c r="A5496" s="4" t="s">
        <v>12185</v>
      </c>
      <c r="B5496" s="5" t="s">
        <v>12186</v>
      </c>
      <c r="C5496" s="5" t="s">
        <v>31</v>
      </c>
      <c r="D5496" s="5" t="s">
        <v>32</v>
      </c>
      <c r="E5496" s="5" t="s">
        <v>130</v>
      </c>
      <c r="F5496" s="9">
        <v>66</v>
      </c>
      <c r="G5496" s="9">
        <v>691</v>
      </c>
      <c r="H5496" s="5" t="s">
        <v>20</v>
      </c>
      <c r="I5496" s="5" t="s">
        <v>12187</v>
      </c>
      <c r="J5496" s="12" t="str">
        <f>HYPERLINK("https://www.boe.es/gazeta/dias/1806/08/12/pdfs/GMD-1806-66.pdf#page=7","Abrir facsímil")</f>
        <v>Abrir facsímil</v>
      </c>
      <c r="K5496" s="15" t="s">
        <v>22</v>
      </c>
    </row>
    <row r="5497" spans="1:11" ht="42" customHeight="1">
      <c r="A5497" s="4" t="s">
        <v>12188</v>
      </c>
      <c r="B5497" s="5" t="s">
        <v>12189</v>
      </c>
      <c r="C5497" s="5" t="s">
        <v>31</v>
      </c>
      <c r="D5497" s="5" t="s">
        <v>32</v>
      </c>
      <c r="E5497" s="5" t="s">
        <v>48</v>
      </c>
      <c r="F5497" s="9">
        <v>67</v>
      </c>
      <c r="G5497" s="9">
        <v>700</v>
      </c>
      <c r="H5497" s="5" t="s">
        <v>20</v>
      </c>
      <c r="I5497" s="5" t="s">
        <v>12190</v>
      </c>
      <c r="J5497" s="12" t="str">
        <f>HYPERLINK("https://www.boe.es/gazeta/dias/1806/08/15/pdfs/GMD-1806-67.pdf#page=8","Abrir facsímil")</f>
        <v>Abrir facsímil</v>
      </c>
      <c r="K5497" s="15" t="s">
        <v>22</v>
      </c>
    </row>
    <row r="5498" spans="1:11" ht="42" customHeight="1">
      <c r="A5498" s="4" t="s">
        <v>12191</v>
      </c>
      <c r="B5498" s="5" t="s">
        <v>12192</v>
      </c>
      <c r="C5498" s="5" t="s">
        <v>31</v>
      </c>
      <c r="D5498" s="5" t="s">
        <v>32</v>
      </c>
      <c r="E5498" s="5" t="s">
        <v>48</v>
      </c>
      <c r="F5498" s="9">
        <v>67</v>
      </c>
      <c r="G5498" s="9">
        <v>700</v>
      </c>
      <c r="H5498" s="5" t="s">
        <v>20</v>
      </c>
      <c r="I5498" s="5" t="s">
        <v>12193</v>
      </c>
      <c r="J5498" s="12" t="str">
        <f>HYPERLINK("https://www.boe.es/gazeta/dias/1806/08/15/pdfs/GMD-1806-67.pdf#page=8","Abrir facsímil")</f>
        <v>Abrir facsímil</v>
      </c>
      <c r="K5498" s="15" t="s">
        <v>22</v>
      </c>
    </row>
    <row r="5499" spans="1:11" ht="42" customHeight="1">
      <c r="A5499" s="4" t="s">
        <v>12194</v>
      </c>
      <c r="B5499" s="5" t="s">
        <v>12195</v>
      </c>
      <c r="C5499" s="5" t="s">
        <v>36</v>
      </c>
      <c r="D5499" s="5" t="s">
        <v>37</v>
      </c>
      <c r="E5499" s="5" t="s">
        <v>121</v>
      </c>
      <c r="F5499" s="9">
        <v>19</v>
      </c>
      <c r="G5499" s="9">
        <v>175</v>
      </c>
      <c r="H5499" s="5" t="s">
        <v>20</v>
      </c>
      <c r="I5499" s="5" t="s">
        <v>12196</v>
      </c>
      <c r="J5499" s="12" t="str">
        <f>HYPERLINK("https://www.boe.es/gazeta/dias/1806/02/28/pdfs/GMD-1806-19.pdf#page=11","Abrir facsímil")</f>
        <v>Abrir facsímil</v>
      </c>
      <c r="K5499" s="15" t="s">
        <v>22</v>
      </c>
    </row>
    <row r="5500" spans="1:11" ht="42" customHeight="1">
      <c r="A5500" s="4" t="s">
        <v>12197</v>
      </c>
      <c r="B5500" s="5" t="s">
        <v>12198</v>
      </c>
      <c r="C5500" s="5" t="s">
        <v>31</v>
      </c>
      <c r="D5500" s="5" t="s">
        <v>32</v>
      </c>
      <c r="E5500" s="5" t="s">
        <v>434</v>
      </c>
      <c r="F5500" s="9">
        <v>74</v>
      </c>
      <c r="G5500" s="9">
        <v>766</v>
      </c>
      <c r="H5500" s="5" t="s">
        <v>20</v>
      </c>
      <c r="I5500" s="5" t="s">
        <v>12199</v>
      </c>
      <c r="J5500" s="12" t="str">
        <f>HYPERLINK("https://www.boe.es/gazeta/dias/1806/09/09/pdfs/GMD-1806-74.pdf#page=6","Abrir facsímil")</f>
        <v>Abrir facsímil</v>
      </c>
      <c r="K5500" s="15" t="s">
        <v>22</v>
      </c>
    </row>
    <row r="5501" spans="1:11" ht="42" customHeight="1">
      <c r="A5501" s="4" t="s">
        <v>12200</v>
      </c>
      <c r="B5501" s="5" t="s">
        <v>12201</v>
      </c>
      <c r="C5501" s="5" t="s">
        <v>31</v>
      </c>
      <c r="D5501" s="5" t="s">
        <v>32</v>
      </c>
      <c r="E5501" s="5" t="s">
        <v>188</v>
      </c>
      <c r="F5501" s="9">
        <v>2</v>
      </c>
      <c r="G5501" s="9">
        <v>15</v>
      </c>
      <c r="H5501" s="5" t="s">
        <v>20</v>
      </c>
      <c r="I5501" s="5" t="s">
        <v>12202</v>
      </c>
      <c r="J5501" s="12" t="str">
        <f>HYPERLINK("https://www.boe.es/gazeta/dias/1806/01/07/pdfs/GMD-1806-2.pdf#page=3","Abrir facsímil")</f>
        <v>Abrir facsímil</v>
      </c>
      <c r="K5501" s="15" t="s">
        <v>22</v>
      </c>
    </row>
    <row r="5502" spans="1:11" ht="42" customHeight="1">
      <c r="A5502" s="4" t="s">
        <v>12203</v>
      </c>
      <c r="B5502" s="5" t="s">
        <v>12203</v>
      </c>
      <c r="C5502" s="5" t="s">
        <v>75</v>
      </c>
      <c r="D5502" s="5" t="s">
        <v>43</v>
      </c>
      <c r="E5502" s="5" t="s">
        <v>51</v>
      </c>
      <c r="F5502" s="9">
        <v>44</v>
      </c>
      <c r="G5502" s="9">
        <v>445</v>
      </c>
      <c r="H5502" s="5" t="s">
        <v>20</v>
      </c>
      <c r="I5502" s="5" t="s">
        <v>12204</v>
      </c>
      <c r="J5502" s="12" t="str">
        <f>HYPERLINK("https://www.boe.es/gazeta/dias/1806/05/27/pdfs/GMD-1806-44.pdf#page=9","Abrir facsímil")</f>
        <v>Abrir facsímil</v>
      </c>
      <c r="K5502" s="15" t="s">
        <v>22</v>
      </c>
    </row>
    <row r="5503" spans="1:11" ht="42" customHeight="1">
      <c r="A5503" s="4" t="s">
        <v>12205</v>
      </c>
      <c r="B5503" s="5" t="s">
        <v>12206</v>
      </c>
      <c r="C5503" s="5" t="s">
        <v>69</v>
      </c>
      <c r="D5503" s="5" t="s">
        <v>70</v>
      </c>
      <c r="E5503" s="5" t="s">
        <v>304</v>
      </c>
      <c r="F5503" s="9">
        <v>47</v>
      </c>
      <c r="G5503" s="9">
        <v>475</v>
      </c>
      <c r="H5503" s="5" t="s">
        <v>20</v>
      </c>
      <c r="I5503" s="5" t="s">
        <v>12207</v>
      </c>
      <c r="J5503" s="12" t="str">
        <f>HYPERLINK("https://www.boe.es/gazeta/dias/1806/06/06/pdfs/GMD-1806-47.pdf#page=3","Abrir facsímil")</f>
        <v>Abrir facsímil</v>
      </c>
      <c r="K5503" s="15" t="s">
        <v>22</v>
      </c>
    </row>
    <row r="5504" spans="1:11" ht="42" customHeight="1">
      <c r="A5504" s="4" t="s">
        <v>12208</v>
      </c>
      <c r="B5504" s="5" t="s">
        <v>12209</v>
      </c>
      <c r="C5504" s="5" t="s">
        <v>69</v>
      </c>
      <c r="D5504" s="5" t="s">
        <v>70</v>
      </c>
      <c r="E5504" s="5" t="s">
        <v>304</v>
      </c>
      <c r="F5504" s="9">
        <v>47</v>
      </c>
      <c r="G5504" s="9">
        <v>474</v>
      </c>
      <c r="H5504" s="5" t="s">
        <v>20</v>
      </c>
      <c r="I5504" s="5" t="s">
        <v>12210</v>
      </c>
      <c r="J5504" s="12" t="str">
        <f>HYPERLINK("https://www.boe.es/gazeta/dias/1806/06/06/pdfs/GMD-1806-47.pdf#page=2","Abrir facsímil")</f>
        <v>Abrir facsímil</v>
      </c>
      <c r="K5504" s="15" t="s">
        <v>22</v>
      </c>
    </row>
    <row r="5505" spans="1:11" ht="42" customHeight="1">
      <c r="A5505" s="4" t="s">
        <v>12208</v>
      </c>
      <c r="B5505" s="5" t="s">
        <v>12209</v>
      </c>
      <c r="C5505" s="5" t="s">
        <v>69</v>
      </c>
      <c r="D5505" s="5" t="s">
        <v>70</v>
      </c>
      <c r="E5505" s="5" t="s">
        <v>140</v>
      </c>
      <c r="F5505" s="9">
        <v>83</v>
      </c>
      <c r="G5505" s="9">
        <v>856</v>
      </c>
      <c r="H5505" s="5" t="s">
        <v>20</v>
      </c>
      <c r="I5505" s="5" t="s">
        <v>12211</v>
      </c>
      <c r="J5505" s="12" t="str">
        <f>HYPERLINK("https://www.boe.es/gazeta/dias/1806/10/10/pdfs/GMD-1806-83.pdf#page=4","Abrir facsímil")</f>
        <v>Abrir facsímil</v>
      </c>
      <c r="K5505" s="15" t="s">
        <v>22</v>
      </c>
    </row>
    <row r="5506" spans="1:11" ht="42" customHeight="1">
      <c r="A5506" s="4" t="s">
        <v>12212</v>
      </c>
      <c r="B5506" s="5" t="s">
        <v>12213</v>
      </c>
      <c r="C5506" s="5" t="s">
        <v>31</v>
      </c>
      <c r="D5506" s="5" t="s">
        <v>32</v>
      </c>
      <c r="E5506" s="5" t="s">
        <v>55</v>
      </c>
      <c r="F5506" s="9">
        <v>20</v>
      </c>
      <c r="G5506" s="9">
        <v>184</v>
      </c>
      <c r="H5506" s="5" t="s">
        <v>20</v>
      </c>
      <c r="I5506" s="5" t="s">
        <v>12214</v>
      </c>
      <c r="J5506" s="12" t="str">
        <f>HYPERLINK("https://www.boe.es/gazeta/dias/1806/03/04/pdfs/GMD-1806-20.pdf#page=8","Abrir facsímil")</f>
        <v>Abrir facsímil</v>
      </c>
      <c r="K5506" s="15" t="s">
        <v>22</v>
      </c>
    </row>
    <row r="5507" spans="1:11" ht="42" customHeight="1">
      <c r="A5507" s="4" t="s">
        <v>12215</v>
      </c>
      <c r="B5507" s="5" t="s">
        <v>12216</v>
      </c>
      <c r="C5507" s="5" t="s">
        <v>31</v>
      </c>
      <c r="D5507" s="5" t="s">
        <v>32</v>
      </c>
      <c r="E5507" s="5" t="s">
        <v>55</v>
      </c>
      <c r="F5507" s="9">
        <v>20</v>
      </c>
      <c r="G5507" s="9">
        <v>186</v>
      </c>
      <c r="H5507" s="5" t="s">
        <v>20</v>
      </c>
      <c r="I5507" s="5" t="s">
        <v>12217</v>
      </c>
      <c r="J5507" s="12" t="str">
        <f>HYPERLINK("https://www.boe.es/gazeta/dias/1806/03/04/pdfs/GMD-1806-20.pdf#page=10","Abrir facsímil")</f>
        <v>Abrir facsímil</v>
      </c>
      <c r="K5507" s="15" t="s">
        <v>22</v>
      </c>
    </row>
    <row r="5508" spans="1:11" ht="42" customHeight="1">
      <c r="A5508" s="4" t="s">
        <v>12218</v>
      </c>
      <c r="B5508" s="5" t="s">
        <v>12219</v>
      </c>
      <c r="C5508" s="5" t="s">
        <v>75</v>
      </c>
      <c r="D5508" s="5" t="s">
        <v>43</v>
      </c>
      <c r="E5508" s="5" t="s">
        <v>62</v>
      </c>
      <c r="F5508" s="9">
        <v>45</v>
      </c>
      <c r="G5508" s="9">
        <v>459</v>
      </c>
      <c r="H5508" s="5" t="s">
        <v>20</v>
      </c>
      <c r="I5508" s="5" t="s">
        <v>12220</v>
      </c>
      <c r="J5508" s="12" t="str">
        <f>HYPERLINK("https://www.boe.es/gazeta/dias/1806/05/30/pdfs/GMD-1806-45.pdf#page=11","Abrir facsímil")</f>
        <v>Abrir facsímil</v>
      </c>
      <c r="K5508" s="15" t="s">
        <v>22</v>
      </c>
    </row>
    <row r="5509" spans="1:11" ht="42" customHeight="1">
      <c r="A5509" s="4" t="s">
        <v>12221</v>
      </c>
      <c r="B5509" s="5" t="s">
        <v>12222</v>
      </c>
      <c r="C5509" s="5" t="s">
        <v>31</v>
      </c>
      <c r="D5509" s="5" t="s">
        <v>32</v>
      </c>
      <c r="E5509" s="5" t="s">
        <v>340</v>
      </c>
      <c r="F5509" s="9">
        <v>31</v>
      </c>
      <c r="G5509" s="9">
        <v>305</v>
      </c>
      <c r="H5509" s="5" t="s">
        <v>20</v>
      </c>
      <c r="I5509" s="5" t="s">
        <v>12223</v>
      </c>
      <c r="J5509" s="12" t="str">
        <f>HYPERLINK("https://www.boe.es/gazeta/dias/1806/04/11/pdfs/GMD-1806-31.pdf#page=9","Abrir facsímil")</f>
        <v>Abrir facsímil</v>
      </c>
      <c r="K5509" s="15" t="s">
        <v>22</v>
      </c>
    </row>
    <row r="5510" spans="1:11" ht="42" customHeight="1">
      <c r="A5510" s="4" t="s">
        <v>12221</v>
      </c>
      <c r="B5510" s="5" t="s">
        <v>12222</v>
      </c>
      <c r="C5510" s="5" t="s">
        <v>31</v>
      </c>
      <c r="D5510" s="5" t="s">
        <v>32</v>
      </c>
      <c r="E5510" s="5" t="s">
        <v>127</v>
      </c>
      <c r="F5510" s="9">
        <v>81</v>
      </c>
      <c r="G5510" s="9">
        <v>837</v>
      </c>
      <c r="H5510" s="5" t="s">
        <v>20</v>
      </c>
      <c r="I5510" s="5" t="s">
        <v>12224</v>
      </c>
      <c r="J5510" s="12" t="str">
        <f>HYPERLINK("https://www.boe.es/gazeta/dias/1806/10/03/pdfs/GMD-1806-81.pdf#page=5","Abrir facsímil")</f>
        <v>Abrir facsímil</v>
      </c>
      <c r="K5510" s="15" t="s">
        <v>22</v>
      </c>
    </row>
    <row r="5511" spans="1:11" ht="42" customHeight="1">
      <c r="A5511" s="4" t="s">
        <v>12225</v>
      </c>
      <c r="B5511" s="5" t="s">
        <v>12226</v>
      </c>
      <c r="C5511" s="5" t="s">
        <v>75</v>
      </c>
      <c r="D5511" s="5" t="s">
        <v>43</v>
      </c>
      <c r="E5511" s="5" t="s">
        <v>93</v>
      </c>
      <c r="F5511" s="9">
        <v>72</v>
      </c>
      <c r="G5511" s="9">
        <v>750</v>
      </c>
      <c r="H5511" s="5" t="s">
        <v>20</v>
      </c>
      <c r="I5511" s="5" t="s">
        <v>12227</v>
      </c>
      <c r="J5511" s="12" t="str">
        <f>HYPERLINK("https://www.boe.es/gazeta/dias/1806/09/02/pdfs/GMD-1806-72.pdf#page=10","Abrir facsímil")</f>
        <v>Abrir facsímil</v>
      </c>
      <c r="K5511" s="15" t="s">
        <v>22</v>
      </c>
    </row>
    <row r="5512" spans="1:11" ht="42" customHeight="1">
      <c r="A5512" s="4" t="s">
        <v>12228</v>
      </c>
      <c r="B5512" s="5" t="s">
        <v>12228</v>
      </c>
      <c r="C5512" s="5" t="s">
        <v>69</v>
      </c>
      <c r="D5512" s="5" t="s">
        <v>70</v>
      </c>
      <c r="E5512" s="5" t="s">
        <v>62</v>
      </c>
      <c r="F5512" s="9">
        <v>45</v>
      </c>
      <c r="G5512" s="9">
        <v>455</v>
      </c>
      <c r="H5512" s="5" t="s">
        <v>20</v>
      </c>
      <c r="I5512" s="5" t="s">
        <v>12229</v>
      </c>
      <c r="J5512" s="12" t="str">
        <f>HYPERLINK("https://www.boe.es/gazeta/dias/1806/05/30/pdfs/GMD-1806-45.pdf#page=7","Abrir facsímil")</f>
        <v>Abrir facsímil</v>
      </c>
      <c r="K5512" s="15" t="s">
        <v>22</v>
      </c>
    </row>
    <row r="5513" spans="1:11" ht="42" customHeight="1">
      <c r="A5513" s="4" t="s">
        <v>12230</v>
      </c>
      <c r="B5513" s="5" t="s">
        <v>12230</v>
      </c>
      <c r="C5513" s="5" t="s">
        <v>31</v>
      </c>
      <c r="D5513" s="5" t="s">
        <v>32</v>
      </c>
      <c r="E5513" s="5" t="s">
        <v>554</v>
      </c>
      <c r="F5513" s="9">
        <v>90</v>
      </c>
      <c r="G5513" s="9">
        <v>934</v>
      </c>
      <c r="H5513" s="5" t="s">
        <v>20</v>
      </c>
      <c r="I5513" s="5" t="s">
        <v>12231</v>
      </c>
      <c r="J5513" s="12" t="str">
        <f>HYPERLINK("https://www.boe.es/gazeta/dias/1806/11/04/pdfs/GMD-1806-90.pdf#page=10","Abrir facsímil")</f>
        <v>Abrir facsímil</v>
      </c>
      <c r="K5513" s="15" t="s">
        <v>22</v>
      </c>
    </row>
    <row r="5514" spans="1:11" ht="42" customHeight="1">
      <c r="A5514" s="4" t="s">
        <v>12232</v>
      </c>
      <c r="B5514" s="5" t="s">
        <v>12233</v>
      </c>
      <c r="C5514" s="5" t="s">
        <v>31</v>
      </c>
      <c r="D5514" s="5" t="s">
        <v>32</v>
      </c>
      <c r="E5514" s="5" t="s">
        <v>309</v>
      </c>
      <c r="F5514" s="9">
        <v>41</v>
      </c>
      <c r="G5514" s="9">
        <v>407</v>
      </c>
      <c r="H5514" s="5" t="s">
        <v>20</v>
      </c>
      <c r="I5514" s="5" t="s">
        <v>12234</v>
      </c>
      <c r="J5514" s="12" t="str">
        <f>HYPERLINK("https://www.boe.es/gazeta/dias/1806/05/16/pdfs/GMD-1806-41.pdf#page=7","Abrir facsímil")</f>
        <v>Abrir facsímil</v>
      </c>
      <c r="K5514" s="15" t="s">
        <v>22</v>
      </c>
    </row>
    <row r="5515" spans="1:11" ht="42" customHeight="1">
      <c r="A5515" s="4" t="s">
        <v>12235</v>
      </c>
      <c r="B5515" s="5" t="s">
        <v>12236</v>
      </c>
      <c r="C5515" s="5" t="s">
        <v>69</v>
      </c>
      <c r="D5515" s="5" t="s">
        <v>70</v>
      </c>
      <c r="E5515" s="5" t="s">
        <v>227</v>
      </c>
      <c r="F5515" s="9">
        <v>27</v>
      </c>
      <c r="G5515" s="9">
        <v>261</v>
      </c>
      <c r="H5515" s="5" t="s">
        <v>20</v>
      </c>
      <c r="I5515" s="5" t="s">
        <v>12237</v>
      </c>
      <c r="J5515" s="12" t="str">
        <f>HYPERLINK("https://www.boe.es/gazeta/dias/1806/03/28/pdfs/GMD-1806-27.pdf#page=1","Abrir facsímil")</f>
        <v>Abrir facsímil</v>
      </c>
      <c r="K5515" s="15" t="s">
        <v>22</v>
      </c>
    </row>
    <row r="5516" spans="1:11" ht="42" customHeight="1">
      <c r="A5516" s="4" t="s">
        <v>12238</v>
      </c>
      <c r="B5516" s="5" t="s">
        <v>12239</v>
      </c>
      <c r="C5516" s="5" t="s">
        <v>17</v>
      </c>
      <c r="D5516" s="5" t="s">
        <v>18</v>
      </c>
      <c r="E5516" s="5" t="s">
        <v>93</v>
      </c>
      <c r="F5516" s="9">
        <v>72</v>
      </c>
      <c r="G5516" s="9">
        <v>750</v>
      </c>
      <c r="H5516" s="5" t="s">
        <v>20</v>
      </c>
      <c r="I5516" s="5" t="s">
        <v>12240</v>
      </c>
      <c r="J5516" s="12" t="str">
        <f>HYPERLINK("https://www.boe.es/gazeta/dias/1806/09/02/pdfs/GMD-1806-72.pdf#page=10","Abrir facsímil")</f>
        <v>Abrir facsímil</v>
      </c>
      <c r="K5516" s="15" t="s">
        <v>22</v>
      </c>
    </row>
    <row r="5517" spans="1:11" ht="42" customHeight="1">
      <c r="A5517" s="4" t="s">
        <v>12241</v>
      </c>
      <c r="B5517" s="5" t="s">
        <v>12242</v>
      </c>
      <c r="C5517" s="5" t="s">
        <v>17</v>
      </c>
      <c r="D5517" s="5" t="s">
        <v>18</v>
      </c>
      <c r="E5517" s="5" t="s">
        <v>220</v>
      </c>
      <c r="F5517" s="9">
        <v>24</v>
      </c>
      <c r="G5517" s="9">
        <v>234</v>
      </c>
      <c r="H5517" s="5" t="s">
        <v>20</v>
      </c>
      <c r="I5517" s="5" t="s">
        <v>12243</v>
      </c>
      <c r="J5517" s="12" t="str">
        <f>HYPERLINK("https://www.boe.es/gazeta/dias/1806/03/18/pdfs/GMD-1806-24.pdf#page=10","Abrir facsímil")</f>
        <v>Abrir facsímil</v>
      </c>
      <c r="K5517" s="15" t="s">
        <v>22</v>
      </c>
    </row>
    <row r="5518" spans="1:11" ht="42" customHeight="1">
      <c r="A5518" s="4" t="s">
        <v>12244</v>
      </c>
      <c r="B5518" s="5" t="s">
        <v>12245</v>
      </c>
      <c r="C5518" s="5" t="s">
        <v>17</v>
      </c>
      <c r="D5518" s="5" t="s">
        <v>18</v>
      </c>
      <c r="E5518" s="5" t="s">
        <v>79</v>
      </c>
      <c r="F5518" s="9">
        <v>68</v>
      </c>
      <c r="G5518" s="9">
        <v>709</v>
      </c>
      <c r="H5518" s="5" t="s">
        <v>20</v>
      </c>
      <c r="I5518" s="5" t="s">
        <v>12246</v>
      </c>
      <c r="J5518" s="12" t="str">
        <f>HYPERLINK("https://www.boe.es/gazeta/dias/1806/08/19/pdfs/GMD-1806-68.pdf#page=5","Abrir facsímil")</f>
        <v>Abrir facsímil</v>
      </c>
      <c r="K5518" s="15" t="s">
        <v>22</v>
      </c>
    </row>
    <row r="5519" spans="1:11" ht="42" customHeight="1">
      <c r="A5519" s="4" t="s">
        <v>12247</v>
      </c>
      <c r="B5519" s="5" t="s">
        <v>12248</v>
      </c>
      <c r="C5519" s="5" t="s">
        <v>42</v>
      </c>
      <c r="D5519" s="5" t="s">
        <v>43</v>
      </c>
      <c r="E5519" s="5" t="s">
        <v>304</v>
      </c>
      <c r="F5519" s="9">
        <v>47</v>
      </c>
      <c r="G5519" s="9">
        <v>484</v>
      </c>
      <c r="H5519" s="5" t="s">
        <v>20</v>
      </c>
      <c r="I5519" s="5" t="s">
        <v>12249</v>
      </c>
      <c r="J5519" s="12" t="str">
        <f>HYPERLINK("https://www.boe.es/gazeta/dias/1806/06/06/pdfs/GMD-C-1806-47.pdf#page=4","Abrir facsímil")</f>
        <v>Abrir facsímil</v>
      </c>
      <c r="K5519" s="15" t="s">
        <v>22</v>
      </c>
    </row>
    <row r="5520" spans="1:11" ht="42" customHeight="1">
      <c r="A5520" s="4" t="s">
        <v>12250</v>
      </c>
      <c r="B5520" s="5" t="s">
        <v>12250</v>
      </c>
      <c r="C5520" s="5" t="s">
        <v>31</v>
      </c>
      <c r="D5520" s="5" t="s">
        <v>32</v>
      </c>
      <c r="E5520" s="5" t="s">
        <v>48</v>
      </c>
      <c r="F5520" s="9">
        <v>67</v>
      </c>
      <c r="G5520" s="9">
        <v>700</v>
      </c>
      <c r="H5520" s="5" t="s">
        <v>20</v>
      </c>
      <c r="I5520" s="5" t="s">
        <v>12251</v>
      </c>
      <c r="J5520" s="12" t="str">
        <f>HYPERLINK("https://www.boe.es/gazeta/dias/1806/08/15/pdfs/GMD-1806-67.pdf#page=8","Abrir facsímil")</f>
        <v>Abrir facsímil</v>
      </c>
      <c r="K5520" s="15" t="s">
        <v>22</v>
      </c>
    </row>
    <row r="5521" spans="1:11" ht="42" customHeight="1">
      <c r="A5521" s="4" t="s">
        <v>12252</v>
      </c>
      <c r="B5521" s="5" t="s">
        <v>12253</v>
      </c>
      <c r="C5521" s="5" t="s">
        <v>17</v>
      </c>
      <c r="D5521" s="5" t="s">
        <v>18</v>
      </c>
      <c r="E5521" s="5" t="s">
        <v>213</v>
      </c>
      <c r="F5521" s="9">
        <v>73</v>
      </c>
      <c r="G5521" s="9">
        <v>757</v>
      </c>
      <c r="H5521" s="5" t="s">
        <v>20</v>
      </c>
      <c r="I5521" s="5" t="s">
        <v>12254</v>
      </c>
      <c r="J5521" s="12" t="str">
        <f>HYPERLINK("https://www.boe.es/gazeta/dias/1806/09/05/pdfs/GMD-1806-73.pdf#page=5","Abrir facsímil")</f>
        <v>Abrir facsímil</v>
      </c>
      <c r="K5521" s="15" t="s">
        <v>22</v>
      </c>
    </row>
    <row r="5522" spans="1:11" ht="42" customHeight="1">
      <c r="A5522" s="4" t="s">
        <v>12255</v>
      </c>
      <c r="B5522" s="5" t="s">
        <v>12256</v>
      </c>
      <c r="C5522" s="5" t="s">
        <v>17</v>
      </c>
      <c r="D5522" s="5" t="s">
        <v>18</v>
      </c>
      <c r="E5522" s="5" t="s">
        <v>90</v>
      </c>
      <c r="F5522" s="9">
        <v>60</v>
      </c>
      <c r="G5522" s="9">
        <v>625</v>
      </c>
      <c r="H5522" s="5" t="s">
        <v>20</v>
      </c>
      <c r="I5522" s="5" t="s">
        <v>12257</v>
      </c>
      <c r="J5522" s="12" t="str">
        <f>HYPERLINK("https://www.boe.es/gazeta/dias/1806/07/22/pdfs/GMD-1806-60.pdf#page=9","Abrir facsímil")</f>
        <v>Abrir facsímil</v>
      </c>
      <c r="K5522" s="15" t="s">
        <v>22</v>
      </c>
    </row>
    <row r="5523" spans="1:11" ht="42" customHeight="1">
      <c r="A5523" s="4" t="s">
        <v>12258</v>
      </c>
      <c r="B5523" s="5" t="s">
        <v>12259</v>
      </c>
      <c r="C5523" s="5" t="s">
        <v>17</v>
      </c>
      <c r="D5523" s="5" t="s">
        <v>18</v>
      </c>
      <c r="E5523" s="5" t="s">
        <v>121</v>
      </c>
      <c r="F5523" s="9">
        <v>19</v>
      </c>
      <c r="G5523" s="9">
        <v>171</v>
      </c>
      <c r="H5523" s="5" t="s">
        <v>20</v>
      </c>
      <c r="I5523" s="5" t="s">
        <v>12260</v>
      </c>
      <c r="J5523" s="12" t="str">
        <f>HYPERLINK("https://www.boe.es/gazeta/dias/1806/02/28/pdfs/GMD-1806-19.pdf#page=7","Abrir facsímil")</f>
        <v>Abrir facsímil</v>
      </c>
      <c r="K5523" s="15" t="s">
        <v>22</v>
      </c>
    </row>
    <row r="5524" spans="1:11" ht="42" customHeight="1">
      <c r="A5524" s="4" t="s">
        <v>12261</v>
      </c>
      <c r="B5524" s="5" t="s">
        <v>12262</v>
      </c>
      <c r="C5524" s="5" t="s">
        <v>17</v>
      </c>
      <c r="D5524" s="5" t="s">
        <v>18</v>
      </c>
      <c r="E5524" s="5" t="s">
        <v>51</v>
      </c>
      <c r="F5524" s="9">
        <v>44</v>
      </c>
      <c r="G5524" s="9">
        <v>446</v>
      </c>
      <c r="H5524" s="5" t="s">
        <v>20</v>
      </c>
      <c r="I5524" s="5" t="s">
        <v>12263</v>
      </c>
      <c r="J5524" s="12" t="str">
        <f>HYPERLINK("https://www.boe.es/gazeta/dias/1806/05/27/pdfs/GMD-1806-44.pdf#page=10","Abrir facsímil")</f>
        <v>Abrir facsímil</v>
      </c>
      <c r="K5524" s="15" t="s">
        <v>22</v>
      </c>
    </row>
    <row r="5525" spans="1:11" ht="42" customHeight="1">
      <c r="A5525" s="4" t="s">
        <v>12264</v>
      </c>
      <c r="B5525" s="5" t="s">
        <v>12265</v>
      </c>
      <c r="C5525" s="5" t="s">
        <v>17</v>
      </c>
      <c r="D5525" s="5" t="s">
        <v>18</v>
      </c>
      <c r="E5525" s="5" t="s">
        <v>580</v>
      </c>
      <c r="F5525" s="9">
        <v>23</v>
      </c>
      <c r="G5525" s="9">
        <v>218</v>
      </c>
      <c r="H5525" s="5" t="s">
        <v>20</v>
      </c>
      <c r="I5525" s="5" t="s">
        <v>12266</v>
      </c>
      <c r="J5525" s="12" t="str">
        <f>HYPERLINK("https://www.boe.es/gazeta/dias/1806/03/14/pdfs/GMD-1806-23.pdf#page=6","Abrir facsímil")</f>
        <v>Abrir facsímil</v>
      </c>
      <c r="K5525" s="15" t="s">
        <v>22</v>
      </c>
    </row>
    <row r="5526" spans="1:11" ht="42" customHeight="1">
      <c r="A5526" s="4" t="s">
        <v>12267</v>
      </c>
      <c r="B5526" s="5" t="s">
        <v>12268</v>
      </c>
      <c r="C5526" s="5" t="s">
        <v>75</v>
      </c>
      <c r="D5526" s="5" t="s">
        <v>43</v>
      </c>
      <c r="E5526" s="5" t="s">
        <v>870</v>
      </c>
      <c r="F5526" s="9">
        <v>35</v>
      </c>
      <c r="G5526" s="9">
        <v>343</v>
      </c>
      <c r="H5526" s="5" t="s">
        <v>20</v>
      </c>
      <c r="I5526" s="5" t="s">
        <v>12269</v>
      </c>
      <c r="J5526" s="12" t="str">
        <f>HYPERLINK("https://www.boe.es/gazeta/dias/1806/04/25/pdfs/GMD-1806-35.pdf#page=7","Abrir facsímil")</f>
        <v>Abrir facsímil</v>
      </c>
      <c r="K5526" s="15" t="s">
        <v>22</v>
      </c>
    </row>
    <row r="5527" spans="1:11" ht="42" customHeight="1">
      <c r="A5527" s="4" t="s">
        <v>12267</v>
      </c>
      <c r="B5527" s="5" t="s">
        <v>12268</v>
      </c>
      <c r="C5527" s="5" t="s">
        <v>17</v>
      </c>
      <c r="D5527" s="5" t="s">
        <v>18</v>
      </c>
      <c r="E5527" s="5" t="s">
        <v>175</v>
      </c>
      <c r="F5527" s="9">
        <v>40</v>
      </c>
      <c r="G5527" s="9">
        <v>397</v>
      </c>
      <c r="H5527" s="5" t="s">
        <v>20</v>
      </c>
      <c r="I5527" s="5" t="s">
        <v>12270</v>
      </c>
      <c r="J5527" s="12" t="str">
        <f>HYPERLINK("https://www.boe.es/gazeta/dias/1806/05/13/pdfs/GMD-1806-40.pdf#page=9","Abrir facsímil")</f>
        <v>Abrir facsímil</v>
      </c>
      <c r="K5527" s="15" t="s">
        <v>22</v>
      </c>
    </row>
    <row r="5528" spans="1:11" ht="42" customHeight="1">
      <c r="A5528" s="4" t="s">
        <v>12271</v>
      </c>
      <c r="B5528" s="5" t="s">
        <v>12272</v>
      </c>
      <c r="C5528" s="5" t="s">
        <v>75</v>
      </c>
      <c r="D5528" s="5" t="s">
        <v>43</v>
      </c>
      <c r="E5528" s="5" t="s">
        <v>716</v>
      </c>
      <c r="F5528" s="9">
        <v>56</v>
      </c>
      <c r="G5528" s="9">
        <v>586</v>
      </c>
      <c r="H5528" s="5" t="s">
        <v>20</v>
      </c>
      <c r="I5528" s="5" t="s">
        <v>12273</v>
      </c>
      <c r="J5528" s="12" t="str">
        <f>HYPERLINK("https://www.boe.es/gazeta/dias/1806/07/08/pdfs/GMD-1806-56.pdf#page=10","Abrir facsímil")</f>
        <v>Abrir facsímil</v>
      </c>
      <c r="K5528" s="15" t="s">
        <v>22</v>
      </c>
    </row>
    <row r="5529" spans="1:11" ht="42" customHeight="1">
      <c r="A5529" s="4" t="s">
        <v>12267</v>
      </c>
      <c r="B5529" s="5" t="s">
        <v>12268</v>
      </c>
      <c r="C5529" s="5" t="s">
        <v>75</v>
      </c>
      <c r="D5529" s="5" t="s">
        <v>43</v>
      </c>
      <c r="E5529" s="5" t="s">
        <v>90</v>
      </c>
      <c r="F5529" s="9">
        <v>60</v>
      </c>
      <c r="G5529" s="9">
        <v>625</v>
      </c>
      <c r="H5529" s="5" t="s">
        <v>20</v>
      </c>
      <c r="I5529" s="5" t="s">
        <v>12274</v>
      </c>
      <c r="J5529" s="12" t="str">
        <f>HYPERLINK("https://www.boe.es/gazeta/dias/1806/07/22/pdfs/GMD-1806-60.pdf#page=9","Abrir facsímil")</f>
        <v>Abrir facsímil</v>
      </c>
      <c r="K5529" s="15" t="s">
        <v>22</v>
      </c>
    </row>
    <row r="5530" spans="1:11" ht="42" customHeight="1">
      <c r="A5530" s="4" t="s">
        <v>12267</v>
      </c>
      <c r="B5530" s="5" t="s">
        <v>12268</v>
      </c>
      <c r="C5530" s="5" t="s">
        <v>75</v>
      </c>
      <c r="D5530" s="5" t="s">
        <v>43</v>
      </c>
      <c r="E5530" s="5" t="s">
        <v>93</v>
      </c>
      <c r="F5530" s="9">
        <v>72</v>
      </c>
      <c r="G5530" s="9">
        <v>749</v>
      </c>
      <c r="H5530" s="5" t="s">
        <v>20</v>
      </c>
      <c r="I5530" s="5" t="s">
        <v>12275</v>
      </c>
      <c r="J5530" s="12" t="str">
        <f>HYPERLINK("https://www.boe.es/gazeta/dias/1806/09/02/pdfs/GMD-1806-72.pdf#page=9","Abrir facsímil")</f>
        <v>Abrir facsímil</v>
      </c>
      <c r="K5530" s="15" t="s">
        <v>22</v>
      </c>
    </row>
    <row r="5531" spans="1:11" ht="42" customHeight="1">
      <c r="A5531" s="4" t="s">
        <v>12276</v>
      </c>
      <c r="B5531" s="5" t="s">
        <v>12277</v>
      </c>
      <c r="C5531" s="5" t="s">
        <v>31</v>
      </c>
      <c r="D5531" s="5" t="s">
        <v>32</v>
      </c>
      <c r="E5531" s="5" t="s">
        <v>144</v>
      </c>
      <c r="F5531" s="9">
        <v>79</v>
      </c>
      <c r="G5531" s="9">
        <v>818</v>
      </c>
      <c r="H5531" s="5" t="s">
        <v>20</v>
      </c>
      <c r="I5531" s="5" t="s">
        <v>12278</v>
      </c>
      <c r="J5531" s="12" t="str">
        <f>HYPERLINK("https://www.boe.es/gazeta/dias/1806/09/26/pdfs/GMD-1806-79.pdf#page=10","Abrir facsímil")</f>
        <v>Abrir facsímil</v>
      </c>
      <c r="K5531" s="15" t="s">
        <v>22</v>
      </c>
    </row>
    <row r="5532" spans="1:11" ht="42" customHeight="1">
      <c r="A5532" s="4" t="s">
        <v>12279</v>
      </c>
      <c r="B5532" s="5" t="s">
        <v>12280</v>
      </c>
      <c r="C5532" s="5" t="s">
        <v>36</v>
      </c>
      <c r="D5532" s="5" t="s">
        <v>37</v>
      </c>
      <c r="E5532" s="5" t="s">
        <v>48</v>
      </c>
      <c r="F5532" s="9">
        <v>67</v>
      </c>
      <c r="G5532" s="9">
        <v>703</v>
      </c>
      <c r="H5532" s="5" t="s">
        <v>20</v>
      </c>
      <c r="I5532" s="5" t="s">
        <v>12281</v>
      </c>
      <c r="J5532" s="12" t="str">
        <f>HYPERLINK("https://www.boe.es/gazeta/dias/1806/08/15/pdfs/GMD-1806-67.pdf#page=11","Abrir facsímil")</f>
        <v>Abrir facsímil</v>
      </c>
      <c r="K5532" s="15" t="s">
        <v>22</v>
      </c>
    </row>
    <row r="5533" spans="1:11" ht="42" customHeight="1">
      <c r="A5533" s="4" t="s">
        <v>12282</v>
      </c>
      <c r="B5533" s="5" t="s">
        <v>12283</v>
      </c>
      <c r="C5533" s="5" t="s">
        <v>31</v>
      </c>
      <c r="D5533" s="5" t="s">
        <v>32</v>
      </c>
      <c r="E5533" s="5" t="s">
        <v>271</v>
      </c>
      <c r="F5533" s="9">
        <v>6</v>
      </c>
      <c r="G5533" s="9">
        <v>54</v>
      </c>
      <c r="H5533" s="5" t="s">
        <v>20</v>
      </c>
      <c r="I5533" s="5" t="s">
        <v>12284</v>
      </c>
      <c r="J5533" s="12" t="str">
        <f>HYPERLINK("https://www.boe.es/gazeta/dias/1806/01/17/pdfs/GMD-1806-6.pdf#page=10","Abrir facsímil")</f>
        <v>Abrir facsímil</v>
      </c>
      <c r="K5533" s="15" t="s">
        <v>22</v>
      </c>
    </row>
    <row r="5534" spans="1:11" ht="42" customHeight="1">
      <c r="A5534" s="4" t="s">
        <v>12285</v>
      </c>
      <c r="B5534" s="5" t="s">
        <v>12286</v>
      </c>
      <c r="C5534" s="5" t="s">
        <v>17</v>
      </c>
      <c r="D5534" s="5" t="s">
        <v>18</v>
      </c>
      <c r="E5534" s="5" t="s">
        <v>71</v>
      </c>
      <c r="F5534" s="9">
        <v>29</v>
      </c>
      <c r="G5534" s="9">
        <v>287</v>
      </c>
      <c r="H5534" s="5" t="s">
        <v>20</v>
      </c>
      <c r="I5534" s="5" t="s">
        <v>12287</v>
      </c>
      <c r="J5534" s="12" t="str">
        <f>HYPERLINK("https://www.boe.es/gazeta/dias/1806/04/04/pdfs/GMD-1806-29.pdf#page=7","Abrir facsímil")</f>
        <v>Abrir facsímil</v>
      </c>
      <c r="K5534" s="15" t="s">
        <v>22</v>
      </c>
    </row>
    <row r="5535" spans="1:11" ht="42" customHeight="1">
      <c r="A5535" s="4" t="s">
        <v>12288</v>
      </c>
      <c r="B5535" s="5" t="s">
        <v>12289</v>
      </c>
      <c r="C5535" s="5" t="s">
        <v>31</v>
      </c>
      <c r="D5535" s="5" t="s">
        <v>32</v>
      </c>
      <c r="E5535" s="5" t="s">
        <v>127</v>
      </c>
      <c r="F5535" s="9">
        <v>81</v>
      </c>
      <c r="G5535" s="9">
        <v>837</v>
      </c>
      <c r="H5535" s="5" t="s">
        <v>20</v>
      </c>
      <c r="I5535" s="5" t="s">
        <v>12290</v>
      </c>
      <c r="J5535" s="12" t="str">
        <f>HYPERLINK("https://www.boe.es/gazeta/dias/1806/10/03/pdfs/GMD-1806-81.pdf#page=5","Abrir facsímil")</f>
        <v>Abrir facsímil</v>
      </c>
      <c r="K5535" s="15" t="s">
        <v>22</v>
      </c>
    </row>
    <row r="5536" spans="1:11" ht="42" customHeight="1">
      <c r="A5536" s="4" t="s">
        <v>12291</v>
      </c>
      <c r="B5536" s="5" t="s">
        <v>12292</v>
      </c>
      <c r="C5536" s="5" t="s">
        <v>75</v>
      </c>
      <c r="D5536" s="5" t="s">
        <v>43</v>
      </c>
      <c r="E5536" s="5" t="s">
        <v>93</v>
      </c>
      <c r="F5536" s="9">
        <v>72</v>
      </c>
      <c r="G5536" s="9">
        <v>742</v>
      </c>
      <c r="H5536" s="5" t="s">
        <v>20</v>
      </c>
      <c r="I5536" s="5" t="s">
        <v>12293</v>
      </c>
      <c r="J5536" s="12" t="str">
        <f>HYPERLINK("https://www.boe.es/gazeta/dias/1806/09/02/pdfs/GMD-1806-72.pdf#page=2","Abrir facsímil")</f>
        <v>Abrir facsímil</v>
      </c>
      <c r="K5536" s="15" t="s">
        <v>22</v>
      </c>
    </row>
    <row r="5537" spans="1:11" ht="42" customHeight="1">
      <c r="A5537" s="4" t="s">
        <v>12294</v>
      </c>
      <c r="B5537" s="5" t="s">
        <v>12295</v>
      </c>
      <c r="C5537" s="5" t="s">
        <v>31</v>
      </c>
      <c r="D5537" s="5" t="s">
        <v>32</v>
      </c>
      <c r="E5537" s="5" t="s">
        <v>297</v>
      </c>
      <c r="F5537" s="9">
        <v>94</v>
      </c>
      <c r="G5537" s="9">
        <v>989</v>
      </c>
      <c r="H5537" s="5" t="s">
        <v>20</v>
      </c>
      <c r="I5537" s="5" t="s">
        <v>12296</v>
      </c>
      <c r="J5537" s="12" t="str">
        <f>HYPERLINK("https://www.boe.es/gazeta/dias/1806/11/18/pdfs/GMD-1806-94.pdf#page=9","Abrir facsímil")</f>
        <v>Abrir facsímil</v>
      </c>
      <c r="K5537" s="15" t="s">
        <v>22</v>
      </c>
    </row>
    <row r="5538" spans="1:11" ht="42" customHeight="1">
      <c r="A5538" s="4" t="s">
        <v>12297</v>
      </c>
      <c r="B5538" s="5" t="s">
        <v>12298</v>
      </c>
      <c r="C5538" s="5" t="s">
        <v>75</v>
      </c>
      <c r="D5538" s="5" t="s">
        <v>43</v>
      </c>
      <c r="E5538" s="5" t="s">
        <v>48</v>
      </c>
      <c r="F5538" s="9">
        <v>67</v>
      </c>
      <c r="G5538" s="9">
        <v>702</v>
      </c>
      <c r="H5538" s="5" t="s">
        <v>20</v>
      </c>
      <c r="I5538" s="5" t="s">
        <v>12299</v>
      </c>
      <c r="J5538" s="12" t="str">
        <f>HYPERLINK("https://www.boe.es/gazeta/dias/1806/08/15/pdfs/GMD-1806-67.pdf#page=10","Abrir facsímil")</f>
        <v>Abrir facsímil</v>
      </c>
      <c r="K5538" s="15" t="s">
        <v>22</v>
      </c>
    </row>
    <row r="5539" spans="1:11" ht="42" customHeight="1">
      <c r="A5539" s="4" t="s">
        <v>12300</v>
      </c>
      <c r="B5539" s="5" t="s">
        <v>12301</v>
      </c>
      <c r="C5539" s="5" t="s">
        <v>31</v>
      </c>
      <c r="D5539" s="5" t="s">
        <v>32</v>
      </c>
      <c r="E5539" s="5" t="s">
        <v>127</v>
      </c>
      <c r="F5539" s="9">
        <v>81</v>
      </c>
      <c r="G5539" s="9">
        <v>837</v>
      </c>
      <c r="H5539" s="5" t="s">
        <v>20</v>
      </c>
      <c r="I5539" s="5" t="s">
        <v>12302</v>
      </c>
      <c r="J5539" s="12" t="str">
        <f>HYPERLINK("https://www.boe.es/gazeta/dias/1806/10/03/pdfs/GMD-1806-81.pdf#page=5","Abrir facsímil")</f>
        <v>Abrir facsímil</v>
      </c>
      <c r="K5539" s="15" t="s">
        <v>22</v>
      </c>
    </row>
    <row r="5540" spans="1:11" ht="42" customHeight="1">
      <c r="A5540" s="4" t="s">
        <v>12303</v>
      </c>
      <c r="B5540" s="5" t="s">
        <v>12304</v>
      </c>
      <c r="C5540" s="5" t="s">
        <v>31</v>
      </c>
      <c r="D5540" s="5" t="s">
        <v>32</v>
      </c>
      <c r="E5540" s="5" t="s">
        <v>195</v>
      </c>
      <c r="F5540" s="9">
        <v>4</v>
      </c>
      <c r="G5540" s="9">
        <v>35</v>
      </c>
      <c r="H5540" s="5" t="s">
        <v>20</v>
      </c>
      <c r="I5540" s="5" t="s">
        <v>12305</v>
      </c>
      <c r="J5540" s="12" t="str">
        <f>HYPERLINK("https://www.boe.es/gazeta/dias/1806/01/14/pdfs/GMD-1806-4.pdf#page=7","Abrir facsímil")</f>
        <v>Abrir facsímil</v>
      </c>
      <c r="K5540" s="15" t="s">
        <v>22</v>
      </c>
    </row>
    <row r="5541" spans="1:11" ht="42" customHeight="1">
      <c r="A5541" s="4" t="s">
        <v>12306</v>
      </c>
      <c r="B5541" s="5" t="s">
        <v>12307</v>
      </c>
      <c r="C5541" s="5" t="s">
        <v>31</v>
      </c>
      <c r="D5541" s="5" t="s">
        <v>32</v>
      </c>
      <c r="E5541" s="5" t="s">
        <v>110</v>
      </c>
      <c r="F5541" s="9">
        <v>55</v>
      </c>
      <c r="G5541" s="9">
        <v>572</v>
      </c>
      <c r="H5541" s="5" t="s">
        <v>20</v>
      </c>
      <c r="I5541" s="5" t="s">
        <v>12308</v>
      </c>
      <c r="J5541" s="12" t="str">
        <f>HYPERLINK("https://www.boe.es/gazeta/dias/1806/07/04/pdfs/GMD-1806-55.pdf#page=8","Abrir facsímil")</f>
        <v>Abrir facsímil</v>
      </c>
      <c r="K5541" s="15" t="s">
        <v>22</v>
      </c>
    </row>
    <row r="5542" spans="1:11" ht="42" customHeight="1">
      <c r="A5542" s="4" t="s">
        <v>12309</v>
      </c>
      <c r="B5542" s="5" t="s">
        <v>12309</v>
      </c>
      <c r="C5542" s="5" t="s">
        <v>75</v>
      </c>
      <c r="D5542" s="5" t="s">
        <v>43</v>
      </c>
      <c r="E5542" s="5" t="s">
        <v>474</v>
      </c>
      <c r="F5542" s="9">
        <v>10</v>
      </c>
      <c r="G5542" s="9">
        <v>92</v>
      </c>
      <c r="H5542" s="5" t="s">
        <v>20</v>
      </c>
      <c r="I5542" s="5" t="s">
        <v>12310</v>
      </c>
      <c r="J5542" s="12" t="str">
        <f>HYPERLINK("https://www.boe.es/gazeta/dias/1806/01/28/pdfs/GMD-1806-10.pdf#page=8","Abrir facsímil")</f>
        <v>Abrir facsímil</v>
      </c>
      <c r="K5542" s="15" t="s">
        <v>22</v>
      </c>
    </row>
    <row r="5543" spans="1:11" ht="42" customHeight="1">
      <c r="A5543" s="4" t="s">
        <v>12309</v>
      </c>
      <c r="B5543" s="5" t="s">
        <v>12309</v>
      </c>
      <c r="C5543" s="5" t="s">
        <v>75</v>
      </c>
      <c r="D5543" s="5" t="s">
        <v>43</v>
      </c>
      <c r="E5543" s="5" t="s">
        <v>455</v>
      </c>
      <c r="F5543" s="9">
        <v>85</v>
      </c>
      <c r="G5543" s="9">
        <v>882</v>
      </c>
      <c r="H5543" s="5" t="s">
        <v>20</v>
      </c>
      <c r="I5543" s="5" t="s">
        <v>12311</v>
      </c>
      <c r="J5543" s="12" t="str">
        <f>HYPERLINK("https://www.boe.es/gazeta/dias/1806/10/17/pdfs/GMD-1806-85.pdf#page=10","Abrir facsímil")</f>
        <v>Abrir facsímil</v>
      </c>
      <c r="K5543" s="15" t="s">
        <v>22</v>
      </c>
    </row>
    <row r="5544" spans="1:11" ht="42" customHeight="1">
      <c r="A5544" s="4" t="s">
        <v>12312</v>
      </c>
      <c r="B5544" s="5" t="s">
        <v>12313</v>
      </c>
      <c r="C5544" s="5" t="s">
        <v>31</v>
      </c>
      <c r="D5544" s="5" t="s">
        <v>32</v>
      </c>
      <c r="E5544" s="5" t="s">
        <v>76</v>
      </c>
      <c r="F5544" s="9">
        <v>98</v>
      </c>
      <c r="G5544" s="9">
        <v>1034</v>
      </c>
      <c r="H5544" s="5" t="s">
        <v>20</v>
      </c>
      <c r="I5544" s="5" t="s">
        <v>12314</v>
      </c>
      <c r="J5544" s="12" t="str">
        <f>HYPERLINK("https://www.boe.es/gazeta/dias/1806/12/02/pdfs/GMD-1806-98.pdf#page=2","Abrir facsímil")</f>
        <v>Abrir facsímil</v>
      </c>
      <c r="K5544" s="15" t="s">
        <v>22</v>
      </c>
    </row>
    <row r="5545" spans="1:11" ht="42" customHeight="1">
      <c r="A5545" s="4" t="s">
        <v>12315</v>
      </c>
      <c r="B5545" s="5" t="s">
        <v>12316</v>
      </c>
      <c r="C5545" s="5" t="s">
        <v>75</v>
      </c>
      <c r="D5545" s="5" t="s">
        <v>43</v>
      </c>
      <c r="E5545" s="5" t="s">
        <v>501</v>
      </c>
      <c r="F5545" s="9">
        <v>39</v>
      </c>
      <c r="G5545" s="9">
        <v>379</v>
      </c>
      <c r="H5545" s="5" t="s">
        <v>20</v>
      </c>
      <c r="I5545" s="5" t="s">
        <v>12317</v>
      </c>
      <c r="J5545" s="12" t="str">
        <f>HYPERLINK("https://www.boe.es/gazeta/dias/1806/05/09/pdfs/GMD-1806-39.pdf#page=3","Abrir facsímil")</f>
        <v>Abrir facsímil</v>
      </c>
      <c r="K5545" s="15" t="s">
        <v>22</v>
      </c>
    </row>
    <row r="5546" spans="1:11" ht="42" customHeight="1">
      <c r="A5546" s="4" t="s">
        <v>12318</v>
      </c>
      <c r="B5546" s="5" t="s">
        <v>12318</v>
      </c>
      <c r="C5546" s="5" t="s">
        <v>31</v>
      </c>
      <c r="D5546" s="5" t="s">
        <v>32</v>
      </c>
      <c r="E5546" s="5" t="s">
        <v>96</v>
      </c>
      <c r="F5546" s="9">
        <v>62</v>
      </c>
      <c r="G5546" s="9">
        <v>649</v>
      </c>
      <c r="H5546" s="5" t="s">
        <v>20</v>
      </c>
      <c r="I5546" s="5" t="s">
        <v>12319</v>
      </c>
      <c r="J5546" s="12" t="str">
        <f>HYPERLINK("https://www.boe.es/gazeta/dias/1806/07/29/pdfs/GMD-1806-62.pdf#page=9","Abrir facsímil")</f>
        <v>Abrir facsímil</v>
      </c>
      <c r="K5546" s="15" t="s">
        <v>22</v>
      </c>
    </row>
    <row r="5547" spans="1:11" ht="42" customHeight="1">
      <c r="A5547" s="4" t="s">
        <v>12320</v>
      </c>
      <c r="B5547" s="5" t="s">
        <v>12320</v>
      </c>
      <c r="C5547" s="5" t="s">
        <v>42</v>
      </c>
      <c r="D5547" s="5" t="s">
        <v>43</v>
      </c>
      <c r="E5547" s="5" t="s">
        <v>185</v>
      </c>
      <c r="F5547" s="9">
        <v>46</v>
      </c>
      <c r="G5547" s="9">
        <v>471</v>
      </c>
      <c r="H5547" s="5" t="s">
        <v>20</v>
      </c>
      <c r="I5547" s="5" t="s">
        <v>12321</v>
      </c>
      <c r="J5547" s="12" t="str">
        <f>HYPERLINK("https://www.boe.es/gazeta/dias/1806/06/03/pdfs/GMD-1806-46.pdf#page=11","Abrir facsímil")</f>
        <v>Abrir facsímil</v>
      </c>
      <c r="K5547" s="15" t="s">
        <v>22</v>
      </c>
    </row>
    <row r="5548" spans="1:11" ht="42" customHeight="1">
      <c r="A5548" s="4" t="s">
        <v>12322</v>
      </c>
      <c r="B5548" s="5" t="s">
        <v>12322</v>
      </c>
      <c r="C5548" s="5" t="s">
        <v>75</v>
      </c>
      <c r="D5548" s="5" t="s">
        <v>43</v>
      </c>
      <c r="E5548" s="5" t="s">
        <v>103</v>
      </c>
      <c r="F5548" s="9">
        <v>61</v>
      </c>
      <c r="G5548" s="9">
        <v>637</v>
      </c>
      <c r="H5548" s="5" t="s">
        <v>20</v>
      </c>
      <c r="I5548" s="5" t="s">
        <v>12323</v>
      </c>
      <c r="J5548" s="12" t="str">
        <f>HYPERLINK("https://www.boe.es/gazeta/dias/1806/07/25/pdfs/GMD-1806-61.pdf#page=9","Abrir facsímil")</f>
        <v>Abrir facsímil</v>
      </c>
      <c r="K5548" s="15" t="s">
        <v>22</v>
      </c>
    </row>
    <row r="5549" spans="1:11" ht="42" customHeight="1">
      <c r="A5549" s="4" t="s">
        <v>12324</v>
      </c>
      <c r="B5549" s="5" t="s">
        <v>12325</v>
      </c>
      <c r="C5549" s="5" t="s">
        <v>31</v>
      </c>
      <c r="D5549" s="5" t="s">
        <v>32</v>
      </c>
      <c r="E5549" s="5" t="s">
        <v>121</v>
      </c>
      <c r="F5549" s="9">
        <v>19</v>
      </c>
      <c r="G5549" s="9">
        <v>172</v>
      </c>
      <c r="H5549" s="5" t="s">
        <v>20</v>
      </c>
      <c r="I5549" s="5" t="s">
        <v>12326</v>
      </c>
      <c r="J5549" s="12" t="str">
        <f>HYPERLINK("https://www.boe.es/gazeta/dias/1806/02/28/pdfs/GMD-1806-19.pdf#page=8","Abrir facsímil")</f>
        <v>Abrir facsímil</v>
      </c>
      <c r="K5549" s="15" t="s">
        <v>22</v>
      </c>
    </row>
    <row r="5550" spans="1:11" ht="42" customHeight="1">
      <c r="A5550" s="4" t="s">
        <v>12327</v>
      </c>
      <c r="B5550" s="5" t="s">
        <v>12328</v>
      </c>
      <c r="C5550" s="5" t="s">
        <v>31</v>
      </c>
      <c r="D5550" s="5" t="s">
        <v>32</v>
      </c>
      <c r="E5550" s="5" t="s">
        <v>383</v>
      </c>
      <c r="F5550" s="9">
        <v>54</v>
      </c>
      <c r="G5550" s="9">
        <v>562</v>
      </c>
      <c r="H5550" s="5" t="s">
        <v>20</v>
      </c>
      <c r="I5550" s="5" t="s">
        <v>12329</v>
      </c>
      <c r="J5550" s="12" t="str">
        <f>HYPERLINK("https://www.boe.es/gazeta/dias/1806/07/01/pdfs/GMD-1806-54.pdf#page=6","Abrir facsímil")</f>
        <v>Abrir facsímil</v>
      </c>
      <c r="K5550" s="15" t="s">
        <v>22</v>
      </c>
    </row>
    <row r="5551" spans="1:11" ht="42" customHeight="1">
      <c r="A5551" s="4" t="s">
        <v>12330</v>
      </c>
      <c r="B5551" s="5" t="s">
        <v>12331</v>
      </c>
      <c r="C5551" s="5" t="s">
        <v>17</v>
      </c>
      <c r="D5551" s="5" t="s">
        <v>18</v>
      </c>
      <c r="E5551" s="5" t="s">
        <v>19</v>
      </c>
      <c r="F5551" s="9">
        <v>3</v>
      </c>
      <c r="G5551" s="9">
        <v>25</v>
      </c>
      <c r="H5551" s="5" t="s">
        <v>20</v>
      </c>
      <c r="I5551" s="5" t="s">
        <v>12332</v>
      </c>
      <c r="J5551" s="12" t="str">
        <f>HYPERLINK("https://www.boe.es/gazeta/dias/1806/01/10/pdfs/GMD-1806-3.pdf#page=5","Abrir facsímil")</f>
        <v>Abrir facsímil</v>
      </c>
      <c r="K5551" s="15" t="s">
        <v>22</v>
      </c>
    </row>
    <row r="5552" spans="1:11" ht="42" customHeight="1">
      <c r="A5552" s="4" t="s">
        <v>12330</v>
      </c>
      <c r="B5552" s="5" t="s">
        <v>12331</v>
      </c>
      <c r="C5552" s="5" t="s">
        <v>36</v>
      </c>
      <c r="D5552" s="5" t="s">
        <v>37</v>
      </c>
      <c r="E5552" s="5" t="s">
        <v>59</v>
      </c>
      <c r="F5552" s="9">
        <v>21</v>
      </c>
      <c r="G5552" s="9">
        <v>195</v>
      </c>
      <c r="H5552" s="5" t="s">
        <v>20</v>
      </c>
      <c r="I5552" s="5" t="s">
        <v>12333</v>
      </c>
      <c r="J5552" s="12" t="str">
        <f>HYPERLINK("https://www.boe.es/gazeta/dias/1806/03/07/pdfs/GMD-1806-21.pdf#page=7","Abrir facsímil")</f>
        <v>Abrir facsímil</v>
      </c>
      <c r="K5552" s="15" t="s">
        <v>22</v>
      </c>
    </row>
    <row r="5553" spans="1:11" ht="42" customHeight="1">
      <c r="A5553" s="4" t="s">
        <v>12334</v>
      </c>
      <c r="B5553" s="5" t="s">
        <v>12335</v>
      </c>
      <c r="C5553" s="5" t="s">
        <v>31</v>
      </c>
      <c r="D5553" s="5" t="s">
        <v>32</v>
      </c>
      <c r="E5553" s="5" t="s">
        <v>367</v>
      </c>
      <c r="F5553" s="9">
        <v>87</v>
      </c>
      <c r="G5553" s="9">
        <v>901</v>
      </c>
      <c r="H5553" s="5" t="s">
        <v>20</v>
      </c>
      <c r="I5553" s="5" t="s">
        <v>12336</v>
      </c>
      <c r="J5553" s="12" t="str">
        <f>HYPERLINK("https://www.boe.es/gazeta/dias/1806/10/24/pdfs/GMD-1806-87.pdf#page=9","Abrir facsímil")</f>
        <v>Abrir facsímil</v>
      </c>
      <c r="K5553" s="15" t="s">
        <v>22</v>
      </c>
    </row>
    <row r="5554" spans="1:11" ht="42" customHeight="1">
      <c r="A5554" s="4" t="s">
        <v>12337</v>
      </c>
      <c r="B5554" s="5" t="s">
        <v>12338</v>
      </c>
      <c r="C5554" s="5" t="s">
        <v>36</v>
      </c>
      <c r="D5554" s="5" t="s">
        <v>37</v>
      </c>
      <c r="E5554" s="5" t="s">
        <v>110</v>
      </c>
      <c r="F5554" s="9">
        <v>55</v>
      </c>
      <c r="G5554" s="9">
        <v>576</v>
      </c>
      <c r="H5554" s="5" t="s">
        <v>20</v>
      </c>
      <c r="I5554" s="5" t="s">
        <v>12339</v>
      </c>
      <c r="J5554" s="12" t="str">
        <f>HYPERLINK("https://www.boe.es/gazeta/dias/1806/07/04/pdfs/GMD-1806-55.pdf#page=12","Abrir facsímil")</f>
        <v>Abrir facsímil</v>
      </c>
      <c r="K5554" s="15" t="s">
        <v>22</v>
      </c>
    </row>
    <row r="5555" spans="1:11" ht="42" customHeight="1">
      <c r="A5555" s="4" t="s">
        <v>12340</v>
      </c>
      <c r="B5555" s="5" t="s">
        <v>12341</v>
      </c>
      <c r="C5555" s="5" t="s">
        <v>31</v>
      </c>
      <c r="D5555" s="5" t="s">
        <v>32</v>
      </c>
      <c r="E5555" s="5" t="s">
        <v>205</v>
      </c>
      <c r="F5555" s="9">
        <v>57</v>
      </c>
      <c r="G5555" s="9">
        <v>594</v>
      </c>
      <c r="H5555" s="5" t="s">
        <v>20</v>
      </c>
      <c r="I5555" s="5" t="s">
        <v>12342</v>
      </c>
      <c r="J5555" s="12" t="str">
        <f>HYPERLINK("https://www.boe.es/gazeta/dias/1806/07/11/pdfs/GMD-1806-57.pdf#page=6","Abrir facsímil")</f>
        <v>Abrir facsímil</v>
      </c>
      <c r="K5555" s="15" t="s">
        <v>22</v>
      </c>
    </row>
    <row r="5556" spans="1:11" ht="42" customHeight="1">
      <c r="A5556" s="4" t="s">
        <v>12343</v>
      </c>
      <c r="B5556" s="5" t="s">
        <v>12344</v>
      </c>
      <c r="C5556" s="5" t="s">
        <v>75</v>
      </c>
      <c r="D5556" s="5" t="s">
        <v>43</v>
      </c>
      <c r="E5556" s="5" t="s">
        <v>86</v>
      </c>
      <c r="F5556" s="9">
        <v>53</v>
      </c>
      <c r="G5556" s="9">
        <v>554</v>
      </c>
      <c r="H5556" s="5" t="s">
        <v>20</v>
      </c>
      <c r="I5556" s="5" t="s">
        <v>12345</v>
      </c>
      <c r="J5556" s="12" t="str">
        <f>HYPERLINK("https://www.boe.es/gazeta/dias/1806/06/27/pdfs/GMD-1806-53.pdf#page=10","Abrir facsímil")</f>
        <v>Abrir facsímil</v>
      </c>
      <c r="K5556" s="15" t="s">
        <v>22</v>
      </c>
    </row>
    <row r="5557" spans="1:11" ht="42" customHeight="1">
      <c r="A5557" s="4" t="s">
        <v>12346</v>
      </c>
      <c r="B5557" s="5" t="s">
        <v>12347</v>
      </c>
      <c r="C5557" s="5" t="s">
        <v>42</v>
      </c>
      <c r="D5557" s="5" t="s">
        <v>43</v>
      </c>
      <c r="E5557" s="5" t="s">
        <v>185</v>
      </c>
      <c r="F5557" s="9">
        <v>46</v>
      </c>
      <c r="G5557" s="9">
        <v>468</v>
      </c>
      <c r="H5557" s="5" t="s">
        <v>20</v>
      </c>
      <c r="I5557" s="5" t="s">
        <v>12348</v>
      </c>
      <c r="J5557" s="12" t="str">
        <f>HYPERLINK("https://www.boe.es/gazeta/dias/1806/06/03/pdfs/GMD-1806-46.pdf#page=8","Abrir facsímil")</f>
        <v>Abrir facsímil</v>
      </c>
      <c r="K5557" s="15" t="s">
        <v>22</v>
      </c>
    </row>
    <row r="5558" spans="1:11" ht="42" customHeight="1">
      <c r="A5558" s="4" t="s">
        <v>12349</v>
      </c>
      <c r="B5558" s="5" t="s">
        <v>12349</v>
      </c>
      <c r="C5558" s="5" t="s">
        <v>69</v>
      </c>
      <c r="D5558" s="5" t="s">
        <v>70</v>
      </c>
      <c r="E5558" s="5" t="s">
        <v>859</v>
      </c>
      <c r="F5558" s="9">
        <v>63</v>
      </c>
      <c r="G5558" s="9">
        <v>658</v>
      </c>
      <c r="H5558" s="5" t="s">
        <v>20</v>
      </c>
      <c r="I5558" s="5" t="s">
        <v>12350</v>
      </c>
      <c r="J5558" s="12" t="str">
        <f>HYPERLINK("https://www.boe.es/gazeta/dias/1806/08/01/pdfs/GMD-1806-63.pdf#page=6","Abrir facsímil")</f>
        <v>Abrir facsímil</v>
      </c>
      <c r="K5558" s="15" t="s">
        <v>22</v>
      </c>
    </row>
    <row r="5559" spans="1:11" ht="42" customHeight="1">
      <c r="A5559" s="4" t="s">
        <v>12351</v>
      </c>
      <c r="B5559" s="5" t="s">
        <v>12351</v>
      </c>
      <c r="C5559" s="5" t="s">
        <v>69</v>
      </c>
      <c r="D5559" s="5" t="s">
        <v>70</v>
      </c>
      <c r="E5559" s="5" t="s">
        <v>110</v>
      </c>
      <c r="F5559" s="9">
        <v>55</v>
      </c>
      <c r="G5559" s="9">
        <v>569</v>
      </c>
      <c r="H5559" s="5" t="s">
        <v>20</v>
      </c>
      <c r="I5559" s="5" t="s">
        <v>12352</v>
      </c>
      <c r="J5559" s="12" t="str">
        <f>HYPERLINK("https://www.boe.es/gazeta/dias/1806/07/04/pdfs/GMD-1806-55.pdf#page=5","Abrir facsímil")</f>
        <v>Abrir facsímil</v>
      </c>
      <c r="K5559" s="15" t="s">
        <v>22</v>
      </c>
    </row>
    <row r="5560" spans="1:11" ht="42" customHeight="1">
      <c r="A5560" s="4" t="s">
        <v>12353</v>
      </c>
      <c r="B5560" s="5" t="s">
        <v>12354</v>
      </c>
      <c r="C5560" s="5" t="s">
        <v>17</v>
      </c>
      <c r="D5560" s="5" t="s">
        <v>18</v>
      </c>
      <c r="E5560" s="5" t="s">
        <v>213</v>
      </c>
      <c r="F5560" s="9">
        <v>73</v>
      </c>
      <c r="G5560" s="9">
        <v>757</v>
      </c>
      <c r="H5560" s="5" t="s">
        <v>20</v>
      </c>
      <c r="I5560" s="5" t="s">
        <v>12355</v>
      </c>
      <c r="J5560" s="12" t="str">
        <f>HYPERLINK("https://www.boe.es/gazeta/dias/1806/09/05/pdfs/GMD-1806-73.pdf#page=5","Abrir facsímil")</f>
        <v>Abrir facsímil</v>
      </c>
      <c r="K5560" s="15" t="s">
        <v>22</v>
      </c>
    </row>
    <row r="5561" spans="1:11" ht="42" customHeight="1">
      <c r="A5561" s="4" t="s">
        <v>12356</v>
      </c>
      <c r="B5561" s="5" t="s">
        <v>12357</v>
      </c>
      <c r="C5561" s="5" t="s">
        <v>17</v>
      </c>
      <c r="D5561" s="5" t="s">
        <v>18</v>
      </c>
      <c r="E5561" s="5" t="s">
        <v>55</v>
      </c>
      <c r="F5561" s="9">
        <v>20</v>
      </c>
      <c r="G5561" s="9">
        <v>183</v>
      </c>
      <c r="H5561" s="5" t="s">
        <v>20</v>
      </c>
      <c r="I5561" s="5" t="s">
        <v>12358</v>
      </c>
      <c r="J5561" s="12" t="str">
        <f>HYPERLINK("https://www.boe.es/gazeta/dias/1806/03/04/pdfs/GMD-1806-20.pdf#page=7","Abrir facsímil")</f>
        <v>Abrir facsímil</v>
      </c>
      <c r="K5561" s="15" t="s">
        <v>22</v>
      </c>
    </row>
    <row r="5562" spans="1:11" ht="42" customHeight="1">
      <c r="A5562" s="4" t="s">
        <v>12356</v>
      </c>
      <c r="B5562" s="5" t="s">
        <v>12357</v>
      </c>
      <c r="C5562" s="5" t="s">
        <v>17</v>
      </c>
      <c r="D5562" s="5" t="s">
        <v>18</v>
      </c>
      <c r="E5562" s="5" t="s">
        <v>213</v>
      </c>
      <c r="F5562" s="9">
        <v>73</v>
      </c>
      <c r="G5562" s="9">
        <v>757</v>
      </c>
      <c r="H5562" s="5" t="s">
        <v>20</v>
      </c>
      <c r="I5562" s="5" t="s">
        <v>12359</v>
      </c>
      <c r="J5562" s="12" t="str">
        <f>HYPERLINK("https://www.boe.es/gazeta/dias/1806/09/05/pdfs/GMD-1806-73.pdf#page=5","Abrir facsímil")</f>
        <v>Abrir facsímil</v>
      </c>
      <c r="K5562" s="15" t="s">
        <v>22</v>
      </c>
    </row>
    <row r="5563" spans="1:11" ht="42" customHeight="1">
      <c r="A5563" s="4" t="s">
        <v>12360</v>
      </c>
      <c r="B5563" s="5" t="s">
        <v>12361</v>
      </c>
      <c r="C5563" s="5" t="s">
        <v>69</v>
      </c>
      <c r="D5563" s="5" t="s">
        <v>70</v>
      </c>
      <c r="E5563" s="5" t="s">
        <v>540</v>
      </c>
      <c r="F5563" s="9">
        <v>51</v>
      </c>
      <c r="G5563" s="9">
        <v>524</v>
      </c>
      <c r="H5563" s="5" t="s">
        <v>20</v>
      </c>
      <c r="I5563" s="5" t="s">
        <v>12362</v>
      </c>
      <c r="J5563" s="12" t="str">
        <f>HYPERLINK("https://www.boe.es/gazeta/dias/1806/06/20/pdfs/GMD-1806-51.pdf#page=4","Abrir facsímil")</f>
        <v>Abrir facsímil</v>
      </c>
      <c r="K5563" s="15" t="s">
        <v>22</v>
      </c>
    </row>
    <row r="5564" spans="1:11" ht="42" customHeight="1">
      <c r="A5564" s="4" t="s">
        <v>12363</v>
      </c>
      <c r="B5564" s="5" t="s">
        <v>12364</v>
      </c>
      <c r="C5564" s="5" t="s">
        <v>17</v>
      </c>
      <c r="D5564" s="5" t="s">
        <v>18</v>
      </c>
      <c r="E5564" s="5" t="s">
        <v>195</v>
      </c>
      <c r="F5564" s="9">
        <v>4</v>
      </c>
      <c r="G5564" s="9">
        <v>35</v>
      </c>
      <c r="H5564" s="5" t="s">
        <v>20</v>
      </c>
      <c r="I5564" s="5" t="s">
        <v>12365</v>
      </c>
      <c r="J5564" s="12" t="str">
        <f>HYPERLINK("https://www.boe.es/gazeta/dias/1806/01/14/pdfs/GMD-1806-4.pdf#page=7","Abrir facsímil")</f>
        <v>Abrir facsímil</v>
      </c>
      <c r="K5564" s="15" t="s">
        <v>22</v>
      </c>
    </row>
    <row r="5565" spans="1:11" ht="42" customHeight="1">
      <c r="A5565" s="4" t="s">
        <v>12366</v>
      </c>
      <c r="B5565" s="5" t="s">
        <v>12366</v>
      </c>
      <c r="C5565" s="5" t="s">
        <v>31</v>
      </c>
      <c r="D5565" s="5" t="s">
        <v>32</v>
      </c>
      <c r="E5565" s="5" t="s">
        <v>55</v>
      </c>
      <c r="F5565" s="9">
        <v>20</v>
      </c>
      <c r="G5565" s="9">
        <v>181</v>
      </c>
      <c r="H5565" s="5" t="s">
        <v>20</v>
      </c>
      <c r="I5565" s="5" t="s">
        <v>12367</v>
      </c>
      <c r="J5565" s="12" t="str">
        <f>HYPERLINK("https://www.boe.es/gazeta/dias/1806/03/04/pdfs/GMD-1806-20.pdf#page=5","Abrir facsímil")</f>
        <v>Abrir facsímil</v>
      </c>
      <c r="K5565" s="15" t="s">
        <v>22</v>
      </c>
    </row>
    <row r="5566" spans="1:11" ht="42" customHeight="1">
      <c r="A5566" s="4" t="s">
        <v>12368</v>
      </c>
      <c r="B5566" s="5" t="s">
        <v>12369</v>
      </c>
      <c r="C5566" s="5" t="s">
        <v>17</v>
      </c>
      <c r="D5566" s="5" t="s">
        <v>18</v>
      </c>
      <c r="E5566" s="5" t="s">
        <v>28</v>
      </c>
      <c r="F5566" s="9">
        <v>102</v>
      </c>
      <c r="G5566" s="9">
        <v>1087</v>
      </c>
      <c r="H5566" s="5" t="s">
        <v>20</v>
      </c>
      <c r="I5566" s="5" t="s">
        <v>12370</v>
      </c>
      <c r="J5566" s="12" t="str">
        <f>HYPERLINK("https://www.boe.es/gazeta/dias/1806/12/16/pdfs/GMD-1806-102.pdf#page=11","Abrir facsímil")</f>
        <v>Abrir facsímil</v>
      </c>
      <c r="K5566" s="15" t="s">
        <v>22</v>
      </c>
    </row>
    <row r="5567" spans="1:11" ht="42" customHeight="1">
      <c r="A5567" s="4" t="s">
        <v>12371</v>
      </c>
      <c r="B5567" s="5" t="s">
        <v>12372</v>
      </c>
      <c r="C5567" s="5" t="s">
        <v>31</v>
      </c>
      <c r="D5567" s="5" t="s">
        <v>32</v>
      </c>
      <c r="E5567" s="5" t="s">
        <v>161</v>
      </c>
      <c r="F5567" s="9">
        <v>11</v>
      </c>
      <c r="G5567" s="9">
        <v>95</v>
      </c>
      <c r="H5567" s="5" t="s">
        <v>20</v>
      </c>
      <c r="I5567" s="5" t="s">
        <v>12373</v>
      </c>
      <c r="J5567" s="12" t="str">
        <f>HYPERLINK("https://www.boe.es/gazeta/dias/1806/01/31/pdfs/GMD-1806-11.pdf#page=3","Abrir facsímil")</f>
        <v>Abrir facsímil</v>
      </c>
      <c r="K5567" s="15" t="s">
        <v>22</v>
      </c>
    </row>
    <row r="5568" spans="1:11" ht="42" customHeight="1">
      <c r="A5568" s="4" t="s">
        <v>12374</v>
      </c>
      <c r="B5568" s="5" t="s">
        <v>12375</v>
      </c>
      <c r="C5568" s="5" t="s">
        <v>31</v>
      </c>
      <c r="D5568" s="5" t="s">
        <v>32</v>
      </c>
      <c r="E5568" s="5" t="s">
        <v>434</v>
      </c>
      <c r="F5568" s="9">
        <v>74</v>
      </c>
      <c r="G5568" s="9">
        <v>764</v>
      </c>
      <c r="H5568" s="5" t="s">
        <v>20</v>
      </c>
      <c r="I5568" s="5" t="s">
        <v>12376</v>
      </c>
      <c r="J5568" s="12" t="str">
        <f>HYPERLINK("https://www.boe.es/gazeta/dias/1806/09/09/pdfs/GMD-1806-74.pdf#page=4","Abrir facsímil")</f>
        <v>Abrir facsímil</v>
      </c>
      <c r="K5568" s="15" t="s">
        <v>22</v>
      </c>
    </row>
    <row r="5569" spans="1:11" ht="42" customHeight="1">
      <c r="A5569" s="4" t="s">
        <v>12377</v>
      </c>
      <c r="B5569" s="5" t="s">
        <v>12378</v>
      </c>
      <c r="C5569" s="5" t="s">
        <v>17</v>
      </c>
      <c r="D5569" s="5" t="s">
        <v>18</v>
      </c>
      <c r="E5569" s="5" t="s">
        <v>76</v>
      </c>
      <c r="F5569" s="9">
        <v>98</v>
      </c>
      <c r="G5569" s="9">
        <v>1036</v>
      </c>
      <c r="H5569" s="5" t="s">
        <v>20</v>
      </c>
      <c r="I5569" s="5" t="s">
        <v>12379</v>
      </c>
      <c r="J5569" s="12" t="str">
        <f>HYPERLINK("https://www.boe.es/gazeta/dias/1806/12/02/pdfs/GMD-1806-98.pdf#page=4","Abrir facsímil")</f>
        <v>Abrir facsímil</v>
      </c>
      <c r="K5569" s="15" t="s">
        <v>22</v>
      </c>
    </row>
    <row r="5570" spans="1:11" ht="42" customHeight="1">
      <c r="A5570" s="4" t="s">
        <v>12380</v>
      </c>
      <c r="B5570" s="5" t="s">
        <v>12380</v>
      </c>
      <c r="C5570" s="5" t="s">
        <v>36</v>
      </c>
      <c r="D5570" s="5" t="s">
        <v>37</v>
      </c>
      <c r="E5570" s="5" t="s">
        <v>103</v>
      </c>
      <c r="F5570" s="9">
        <v>61</v>
      </c>
      <c r="G5570" s="9">
        <v>633</v>
      </c>
      <c r="H5570" s="5" t="s">
        <v>20</v>
      </c>
      <c r="I5570" s="5" t="s">
        <v>12381</v>
      </c>
      <c r="J5570" s="12" t="str">
        <f>HYPERLINK("https://www.boe.es/gazeta/dias/1806/07/25/pdfs/GMD-1806-61.pdf#page=5","Abrir facsímil")</f>
        <v>Abrir facsímil</v>
      </c>
      <c r="K5570" s="15" t="s">
        <v>22</v>
      </c>
    </row>
    <row r="5571" spans="1:11" ht="42" customHeight="1">
      <c r="A5571" s="4" t="s">
        <v>12382</v>
      </c>
      <c r="B5571" s="5" t="s">
        <v>12383</v>
      </c>
      <c r="C5571" s="5" t="s">
        <v>17</v>
      </c>
      <c r="D5571" s="5" t="s">
        <v>18</v>
      </c>
      <c r="E5571" s="5" t="s">
        <v>44</v>
      </c>
      <c r="F5571" s="9">
        <v>42</v>
      </c>
      <c r="G5571" s="9">
        <v>420</v>
      </c>
      <c r="H5571" s="5" t="s">
        <v>20</v>
      </c>
      <c r="I5571" s="5" t="s">
        <v>12384</v>
      </c>
      <c r="J5571" s="12" t="str">
        <f>HYPERLINK("https://www.boe.es/gazeta/dias/1806/05/20/pdfs/GMD-1806-42.pdf#page=8","Abrir facsímil")</f>
        <v>Abrir facsímil</v>
      </c>
      <c r="K5571" s="15" t="s">
        <v>22</v>
      </c>
    </row>
    <row r="5572" spans="1:11" ht="42" customHeight="1">
      <c r="A5572" s="4" t="s">
        <v>12385</v>
      </c>
      <c r="B5572" s="5" t="s">
        <v>12386</v>
      </c>
      <c r="C5572" s="5" t="s">
        <v>17</v>
      </c>
      <c r="D5572" s="5" t="s">
        <v>18</v>
      </c>
      <c r="E5572" s="5" t="s">
        <v>580</v>
      </c>
      <c r="F5572" s="9">
        <v>23</v>
      </c>
      <c r="G5572" s="9">
        <v>219</v>
      </c>
      <c r="H5572" s="5" t="s">
        <v>20</v>
      </c>
      <c r="I5572" s="5" t="s">
        <v>12387</v>
      </c>
      <c r="J5572" s="12" t="str">
        <f>HYPERLINK("https://www.boe.es/gazeta/dias/1806/03/14/pdfs/GMD-1806-23.pdf#page=7","Abrir facsímil")</f>
        <v>Abrir facsímil</v>
      </c>
      <c r="K5572" s="15" t="s">
        <v>22</v>
      </c>
    </row>
    <row r="5573" spans="1:11" ht="42" customHeight="1">
      <c r="A5573" s="4" t="s">
        <v>12388</v>
      </c>
      <c r="B5573" s="5" t="s">
        <v>12389</v>
      </c>
      <c r="C5573" s="5" t="s">
        <v>36</v>
      </c>
      <c r="D5573" s="5" t="s">
        <v>37</v>
      </c>
      <c r="E5573" s="5" t="s">
        <v>238</v>
      </c>
      <c r="F5573" s="9">
        <v>18</v>
      </c>
      <c r="G5573" s="9">
        <v>164</v>
      </c>
      <c r="H5573" s="5" t="s">
        <v>20</v>
      </c>
      <c r="I5573" s="5" t="s">
        <v>12390</v>
      </c>
      <c r="J5573" s="12" t="str">
        <f>HYPERLINK("https://www.boe.es/gazeta/dias/1806/02/25/pdfs/GMD-1806-18.pdf#page=12","Abrir facsímil")</f>
        <v>Abrir facsímil</v>
      </c>
      <c r="K5573" s="15" t="s">
        <v>22</v>
      </c>
    </row>
    <row r="5574" spans="1:11" ht="42" customHeight="1">
      <c r="A5574" s="4" t="s">
        <v>12388</v>
      </c>
      <c r="B5574" s="5" t="s">
        <v>12389</v>
      </c>
      <c r="C5574" s="5" t="s">
        <v>36</v>
      </c>
      <c r="D5574" s="5" t="s">
        <v>37</v>
      </c>
      <c r="E5574" s="5" t="s">
        <v>304</v>
      </c>
      <c r="F5574" s="9">
        <v>47</v>
      </c>
      <c r="G5574" s="9">
        <v>479</v>
      </c>
      <c r="H5574" s="5" t="s">
        <v>20</v>
      </c>
      <c r="I5574" s="5" t="s">
        <v>12391</v>
      </c>
      <c r="J5574" s="12" t="str">
        <f>HYPERLINK("https://www.boe.es/gazeta/dias/1806/06/06/pdfs/GMD-1806-47.pdf#page=7","Abrir facsímil")</f>
        <v>Abrir facsímil</v>
      </c>
      <c r="K5574" s="15" t="s">
        <v>22</v>
      </c>
    </row>
    <row r="5575" spans="1:11" ht="42" customHeight="1">
      <c r="A5575" s="4" t="s">
        <v>12388</v>
      </c>
      <c r="B5575" s="5" t="s">
        <v>12389</v>
      </c>
      <c r="C5575" s="5" t="s">
        <v>17</v>
      </c>
      <c r="D5575" s="5" t="s">
        <v>18</v>
      </c>
      <c r="E5575" s="5" t="s">
        <v>911</v>
      </c>
      <c r="F5575" s="9">
        <v>64</v>
      </c>
      <c r="G5575" s="9">
        <v>672</v>
      </c>
      <c r="H5575" s="5" t="s">
        <v>20</v>
      </c>
      <c r="I5575" s="5" t="s">
        <v>12392</v>
      </c>
      <c r="J5575" s="12" t="str">
        <f>HYPERLINK("https://www.boe.es/gazeta/dias/1806/08/05/pdfs/GMD-1806-64.pdf#page=8","Abrir facsímil")</f>
        <v>Abrir facsímil</v>
      </c>
      <c r="K5575" s="15" t="s">
        <v>22</v>
      </c>
    </row>
    <row r="5576" spans="1:11" ht="42" customHeight="1">
      <c r="A5576" s="4" t="s">
        <v>12388</v>
      </c>
      <c r="B5576" s="5" t="s">
        <v>12389</v>
      </c>
      <c r="C5576" s="5" t="s">
        <v>36</v>
      </c>
      <c r="D5576" s="5" t="s">
        <v>37</v>
      </c>
      <c r="E5576" s="5" t="s">
        <v>657</v>
      </c>
      <c r="F5576" s="9">
        <v>96</v>
      </c>
      <c r="G5576" s="9">
        <v>1020</v>
      </c>
      <c r="H5576" s="5" t="s">
        <v>20</v>
      </c>
      <c r="I5576" s="5" t="s">
        <v>12393</v>
      </c>
      <c r="J5576" s="12" t="str">
        <f>HYPERLINK("https://www.boe.es/gazeta/dias/1806/11/25/pdfs/GMD-1806-96.pdf#page=12","Abrir facsímil")</f>
        <v>Abrir facsímil</v>
      </c>
      <c r="K5576" s="15" t="s">
        <v>22</v>
      </c>
    </row>
    <row r="5577" spans="1:11" ht="42" customHeight="1">
      <c r="A5577" s="4" t="s">
        <v>12394</v>
      </c>
      <c r="B5577" s="5" t="s">
        <v>12395</v>
      </c>
      <c r="C5577" s="5" t="s">
        <v>36</v>
      </c>
      <c r="D5577" s="5" t="s">
        <v>37</v>
      </c>
      <c r="E5577" s="5" t="s">
        <v>110</v>
      </c>
      <c r="F5577" s="9">
        <v>55</v>
      </c>
      <c r="G5577" s="9">
        <v>575</v>
      </c>
      <c r="H5577" s="5" t="s">
        <v>20</v>
      </c>
      <c r="I5577" s="5" t="s">
        <v>12396</v>
      </c>
      <c r="J5577" s="12" t="str">
        <f>HYPERLINK("https://www.boe.es/gazeta/dias/1806/07/04/pdfs/GMD-1806-55.pdf#page=11","Abrir facsímil")</f>
        <v>Abrir facsímil</v>
      </c>
      <c r="K5577" s="15" t="s">
        <v>22</v>
      </c>
    </row>
    <row r="5578" spans="1:11" ht="42" customHeight="1">
      <c r="A5578" s="4" t="s">
        <v>12397</v>
      </c>
      <c r="B5578" s="5" t="s">
        <v>12398</v>
      </c>
      <c r="C5578" s="5" t="s">
        <v>31</v>
      </c>
      <c r="D5578" s="5" t="s">
        <v>32</v>
      </c>
      <c r="E5578" s="5" t="s">
        <v>1005</v>
      </c>
      <c r="F5578" s="9">
        <v>76</v>
      </c>
      <c r="G5578" s="9">
        <v>786</v>
      </c>
      <c r="H5578" s="5" t="s">
        <v>20</v>
      </c>
      <c r="I5578" s="5" t="s">
        <v>12399</v>
      </c>
      <c r="J5578" s="12" t="str">
        <f>HYPERLINK("https://www.boe.es/gazeta/dias/1806/09/16/pdfs/GMD-1806-76.pdf#page=6","Abrir facsímil")</f>
        <v>Abrir facsímil</v>
      </c>
      <c r="K5578" s="15" t="s">
        <v>22</v>
      </c>
    </row>
    <row r="5579" spans="1:11" ht="42" customHeight="1">
      <c r="A5579" s="4" t="s">
        <v>12400</v>
      </c>
      <c r="B5579" s="5" t="s">
        <v>12401</v>
      </c>
      <c r="C5579" s="5" t="s">
        <v>31</v>
      </c>
      <c r="D5579" s="5" t="s">
        <v>32</v>
      </c>
      <c r="E5579" s="5" t="s">
        <v>55</v>
      </c>
      <c r="F5579" s="9">
        <v>20</v>
      </c>
      <c r="G5579" s="9">
        <v>185</v>
      </c>
      <c r="H5579" s="5" t="s">
        <v>20</v>
      </c>
      <c r="I5579" s="5" t="s">
        <v>12402</v>
      </c>
      <c r="J5579" s="12" t="str">
        <f>HYPERLINK("https://www.boe.es/gazeta/dias/1806/03/04/pdfs/GMD-1806-20.pdf#page=9","Abrir facsímil")</f>
        <v>Abrir facsímil</v>
      </c>
      <c r="K5579" s="15" t="s">
        <v>22</v>
      </c>
    </row>
    <row r="5580" spans="1:11" ht="42" customHeight="1">
      <c r="A5580" s="4" t="s">
        <v>12403</v>
      </c>
      <c r="B5580" s="5" t="s">
        <v>12404</v>
      </c>
      <c r="C5580" s="5" t="s">
        <v>31</v>
      </c>
      <c r="D5580" s="5" t="s">
        <v>32</v>
      </c>
      <c r="E5580" s="5" t="s">
        <v>55</v>
      </c>
      <c r="F5580" s="9">
        <v>20</v>
      </c>
      <c r="G5580" s="9">
        <v>185</v>
      </c>
      <c r="H5580" s="5" t="s">
        <v>20</v>
      </c>
      <c r="I5580" s="5" t="s">
        <v>12405</v>
      </c>
      <c r="J5580" s="12" t="str">
        <f>HYPERLINK("https://www.boe.es/gazeta/dias/1806/03/04/pdfs/GMD-1806-20.pdf#page=9","Abrir facsímil")</f>
        <v>Abrir facsímil</v>
      </c>
      <c r="K5580" s="15" t="s">
        <v>22</v>
      </c>
    </row>
    <row r="5581" spans="1:11" ht="42" customHeight="1">
      <c r="A5581" s="4" t="s">
        <v>12406</v>
      </c>
      <c r="B5581" s="5" t="s">
        <v>12407</v>
      </c>
      <c r="C5581" s="5" t="s">
        <v>17</v>
      </c>
      <c r="D5581" s="5" t="s">
        <v>18</v>
      </c>
      <c r="E5581" s="5" t="s">
        <v>271</v>
      </c>
      <c r="F5581" s="9">
        <v>6</v>
      </c>
      <c r="G5581" s="9">
        <v>54</v>
      </c>
      <c r="H5581" s="5" t="s">
        <v>20</v>
      </c>
      <c r="I5581" s="5" t="s">
        <v>12408</v>
      </c>
      <c r="J5581" s="12" t="str">
        <f>HYPERLINK("https://www.boe.es/gazeta/dias/1806/01/17/pdfs/GMD-1806-6.pdf#page=10","Abrir facsímil")</f>
        <v>Abrir facsímil</v>
      </c>
      <c r="K5581" s="15" t="s">
        <v>22</v>
      </c>
    </row>
    <row r="5582" spans="1:11" ht="42" customHeight="1">
      <c r="A5582" s="4" t="s">
        <v>12406</v>
      </c>
      <c r="B5582" s="5" t="s">
        <v>12407</v>
      </c>
      <c r="C5582" s="5" t="s">
        <v>31</v>
      </c>
      <c r="D5582" s="5" t="s">
        <v>32</v>
      </c>
      <c r="E5582" s="5" t="s">
        <v>438</v>
      </c>
      <c r="F5582" s="9">
        <v>70</v>
      </c>
      <c r="G5582" s="9">
        <v>730</v>
      </c>
      <c r="H5582" s="5" t="s">
        <v>20</v>
      </c>
      <c r="I5582" s="5" t="s">
        <v>12409</v>
      </c>
      <c r="J5582" s="12" t="str">
        <f>HYPERLINK("https://www.boe.es/gazeta/dias/1806/08/26/pdfs/GMD-1806-70.pdf#page=6","Abrir facsímil")</f>
        <v>Abrir facsímil</v>
      </c>
      <c r="K5582" s="15" t="s">
        <v>22</v>
      </c>
    </row>
    <row r="5583" spans="1:11" ht="42" customHeight="1">
      <c r="A5583" s="4" t="s">
        <v>12410</v>
      </c>
      <c r="B5583" s="5" t="s">
        <v>12411</v>
      </c>
      <c r="C5583" s="5" t="s">
        <v>36</v>
      </c>
      <c r="D5583" s="5" t="s">
        <v>37</v>
      </c>
      <c r="E5583" s="5" t="s">
        <v>86</v>
      </c>
      <c r="F5583" s="9">
        <v>53</v>
      </c>
      <c r="G5583" s="9">
        <v>556</v>
      </c>
      <c r="H5583" s="5" t="s">
        <v>20</v>
      </c>
      <c r="I5583" s="5" t="s">
        <v>12412</v>
      </c>
      <c r="J5583" s="12" t="str">
        <f>HYPERLINK("https://www.boe.es/gazeta/dias/1806/06/27/pdfs/GMD-1806-53.pdf#page=12","Abrir facsímil")</f>
        <v>Abrir facsímil</v>
      </c>
      <c r="K5583" s="15" t="s">
        <v>22</v>
      </c>
    </row>
    <row r="5584" spans="1:11" ht="42" customHeight="1">
      <c r="A5584" s="4" t="s">
        <v>12413</v>
      </c>
      <c r="B5584" s="5" t="s">
        <v>12413</v>
      </c>
      <c r="C5584" s="5" t="s">
        <v>17</v>
      </c>
      <c r="D5584" s="5" t="s">
        <v>18</v>
      </c>
      <c r="E5584" s="5" t="s">
        <v>837</v>
      </c>
      <c r="F5584" s="9">
        <v>26</v>
      </c>
      <c r="G5584" s="9">
        <v>259</v>
      </c>
      <c r="H5584" s="5" t="s">
        <v>20</v>
      </c>
      <c r="I5584" s="5" t="s">
        <v>12414</v>
      </c>
      <c r="J5584" s="12" t="str">
        <f>HYPERLINK("https://www.boe.es/gazeta/dias/1806/03/25/pdfs/GMD-1806-26.pdf#page=11","Abrir facsímil")</f>
        <v>Abrir facsímil</v>
      </c>
      <c r="K5584" s="15" t="s">
        <v>22</v>
      </c>
    </row>
    <row r="5585" spans="1:11" ht="42" customHeight="1">
      <c r="A5585" s="4" t="s">
        <v>12415</v>
      </c>
      <c r="B5585" s="5" t="s">
        <v>12416</v>
      </c>
      <c r="C5585" s="5" t="s">
        <v>69</v>
      </c>
      <c r="D5585" s="5" t="s">
        <v>70</v>
      </c>
      <c r="E5585" s="5" t="s">
        <v>540</v>
      </c>
      <c r="F5585" s="9">
        <v>51</v>
      </c>
      <c r="G5585" s="9">
        <v>526</v>
      </c>
      <c r="H5585" s="5" t="s">
        <v>20</v>
      </c>
      <c r="I5585" s="5" t="s">
        <v>12417</v>
      </c>
      <c r="J5585" s="12" t="str">
        <f>HYPERLINK("https://www.boe.es/gazeta/dias/1806/06/20/pdfs/GMD-1806-51.pdf#page=6","Abrir facsímil")</f>
        <v>Abrir facsímil</v>
      </c>
      <c r="K5585" s="15" t="s">
        <v>22</v>
      </c>
    </row>
    <row r="5586" spans="1:11" ht="42" customHeight="1">
      <c r="A5586" s="4" t="s">
        <v>12418</v>
      </c>
      <c r="B5586" s="5" t="s">
        <v>12419</v>
      </c>
      <c r="C5586" s="5" t="s">
        <v>36</v>
      </c>
      <c r="D5586" s="5" t="s">
        <v>37</v>
      </c>
      <c r="E5586" s="5" t="s">
        <v>455</v>
      </c>
      <c r="F5586" s="9">
        <v>85</v>
      </c>
      <c r="G5586" s="9">
        <v>884</v>
      </c>
      <c r="H5586" s="5" t="s">
        <v>20</v>
      </c>
      <c r="I5586" s="5" t="s">
        <v>12420</v>
      </c>
      <c r="J5586" s="12" t="str">
        <f>HYPERLINK("https://www.boe.es/gazeta/dias/1806/10/17/pdfs/GMD-1806-85.pdf#page=12","Abrir facsímil")</f>
        <v>Abrir facsímil</v>
      </c>
      <c r="K5586" s="15" t="s">
        <v>22</v>
      </c>
    </row>
    <row r="5587" spans="1:11" ht="42" customHeight="1">
      <c r="A5587" s="4" t="s">
        <v>12421</v>
      </c>
      <c r="B5587" s="5" t="s">
        <v>12422</v>
      </c>
      <c r="C5587" s="5" t="s">
        <v>31</v>
      </c>
      <c r="D5587" s="5" t="s">
        <v>32</v>
      </c>
      <c r="E5587" s="5" t="s">
        <v>118</v>
      </c>
      <c r="F5587" s="9">
        <v>15</v>
      </c>
      <c r="G5587" s="9">
        <v>134</v>
      </c>
      <c r="H5587" s="5" t="s">
        <v>20</v>
      </c>
      <c r="I5587" s="5" t="s">
        <v>12423</v>
      </c>
      <c r="J5587" s="12" t="str">
        <f>HYPERLINK("https://www.boe.es/gazeta/dias/1806/02/14/pdfs/GMD-1806-15.pdf#page=10","Abrir facsímil")</f>
        <v>Abrir facsímil</v>
      </c>
      <c r="K5587" s="15" t="s">
        <v>22</v>
      </c>
    </row>
    <row r="5588" spans="1:11" ht="42" customHeight="1">
      <c r="A5588" s="4" t="s">
        <v>12424</v>
      </c>
      <c r="B5588" s="5" t="s">
        <v>12425</v>
      </c>
      <c r="C5588" s="5" t="s">
        <v>31</v>
      </c>
      <c r="D5588" s="5" t="s">
        <v>32</v>
      </c>
      <c r="E5588" s="5" t="s">
        <v>86</v>
      </c>
      <c r="F5588" s="9">
        <v>53</v>
      </c>
      <c r="G5588" s="9">
        <v>553</v>
      </c>
      <c r="H5588" s="5" t="s">
        <v>20</v>
      </c>
      <c r="I5588" s="5" t="s">
        <v>12426</v>
      </c>
      <c r="J5588" s="12" t="str">
        <f>HYPERLINK("https://www.boe.es/gazeta/dias/1806/06/27/pdfs/GMD-1806-53.pdf#page=9","Abrir facsímil")</f>
        <v>Abrir facsímil</v>
      </c>
      <c r="K5588" s="15" t="s">
        <v>22</v>
      </c>
    </row>
    <row r="5589" spans="1:11" ht="42" customHeight="1">
      <c r="A5589" s="4" t="s">
        <v>12427</v>
      </c>
      <c r="B5589" s="5" t="s">
        <v>12428</v>
      </c>
      <c r="C5589" s="5" t="s">
        <v>31</v>
      </c>
      <c r="D5589" s="5" t="s">
        <v>32</v>
      </c>
      <c r="E5589" s="5" t="s">
        <v>689</v>
      </c>
      <c r="F5589" s="9">
        <v>37</v>
      </c>
      <c r="G5589" s="9">
        <v>361</v>
      </c>
      <c r="H5589" s="5" t="s">
        <v>20</v>
      </c>
      <c r="I5589" s="5" t="s">
        <v>12429</v>
      </c>
      <c r="J5589" s="12" t="str">
        <f>HYPERLINK("https://www.boe.es/gazeta/dias/1806/05/02/pdfs/GMD-1806-37.pdf#page=9","Abrir facsímil")</f>
        <v>Abrir facsímil</v>
      </c>
      <c r="K5589" s="15" t="s">
        <v>22</v>
      </c>
    </row>
    <row r="5590" spans="1:11" ht="42" customHeight="1">
      <c r="A5590" s="4" t="s">
        <v>12430</v>
      </c>
      <c r="B5590" s="5" t="s">
        <v>12431</v>
      </c>
      <c r="C5590" s="5" t="s">
        <v>42</v>
      </c>
      <c r="D5590" s="5" t="s">
        <v>43</v>
      </c>
      <c r="E5590" s="5" t="s">
        <v>28</v>
      </c>
      <c r="F5590" s="9">
        <v>102</v>
      </c>
      <c r="G5590" s="9">
        <v>1085</v>
      </c>
      <c r="H5590" s="5" t="s">
        <v>20</v>
      </c>
      <c r="I5590" s="5" t="s">
        <v>12432</v>
      </c>
      <c r="J5590" s="12" t="str">
        <f>HYPERLINK("https://www.boe.es/gazeta/dias/1806/12/16/pdfs/GMD-1806-102.pdf#page=9","Abrir facsímil")</f>
        <v>Abrir facsímil</v>
      </c>
      <c r="K5590" s="15" t="s">
        <v>22</v>
      </c>
    </row>
    <row r="5591" spans="1:11" ht="42" customHeight="1">
      <c r="A5591" s="4" t="s">
        <v>12433</v>
      </c>
      <c r="B5591" s="5" t="s">
        <v>12434</v>
      </c>
      <c r="C5591" s="5" t="s">
        <v>69</v>
      </c>
      <c r="D5591" s="5" t="s">
        <v>70</v>
      </c>
      <c r="E5591" s="5" t="s">
        <v>870</v>
      </c>
      <c r="F5591" s="9">
        <v>35</v>
      </c>
      <c r="G5591" s="9">
        <v>340</v>
      </c>
      <c r="H5591" s="5" t="s">
        <v>20</v>
      </c>
      <c r="I5591" s="5" t="s">
        <v>12435</v>
      </c>
      <c r="J5591" s="12" t="str">
        <f>HYPERLINK("https://www.boe.es/gazeta/dias/1806/04/25/pdfs/GMD-1806-35.pdf#page=4","Abrir facsímil")</f>
        <v>Abrir facsímil</v>
      </c>
      <c r="K5591" s="15" t="s">
        <v>22</v>
      </c>
    </row>
    <row r="5592" spans="1:11" ht="42" customHeight="1">
      <c r="A5592" s="4" t="s">
        <v>12433</v>
      </c>
      <c r="B5592" s="5" t="s">
        <v>12434</v>
      </c>
      <c r="C5592" s="5" t="s">
        <v>31</v>
      </c>
      <c r="D5592" s="5" t="s">
        <v>32</v>
      </c>
      <c r="E5592" s="5" t="s">
        <v>870</v>
      </c>
      <c r="F5592" s="9">
        <v>35</v>
      </c>
      <c r="G5592" s="9">
        <v>341</v>
      </c>
      <c r="H5592" s="5" t="s">
        <v>20</v>
      </c>
      <c r="I5592" s="5" t="s">
        <v>12436</v>
      </c>
      <c r="J5592" s="12" t="str">
        <f>HYPERLINK("https://www.boe.es/gazeta/dias/1806/04/25/pdfs/GMD-1806-35.pdf#page=5","Abrir facsímil")</f>
        <v>Abrir facsímil</v>
      </c>
      <c r="K5592" s="15" t="s">
        <v>22</v>
      </c>
    </row>
    <row r="5593" spans="1:11" ht="42" customHeight="1">
      <c r="A5593" s="4" t="s">
        <v>12437</v>
      </c>
      <c r="B5593" s="5" t="s">
        <v>12437</v>
      </c>
      <c r="C5593" s="5" t="s">
        <v>69</v>
      </c>
      <c r="D5593" s="5" t="s">
        <v>70</v>
      </c>
      <c r="E5593" s="5" t="s">
        <v>716</v>
      </c>
      <c r="F5593" s="9">
        <v>56</v>
      </c>
      <c r="G5593" s="9">
        <v>584</v>
      </c>
      <c r="H5593" s="5" t="s">
        <v>20</v>
      </c>
      <c r="I5593" s="5" t="s">
        <v>12438</v>
      </c>
      <c r="J5593" s="12" t="str">
        <f>HYPERLINK("https://www.boe.es/gazeta/dias/1806/07/08/pdfs/GMD-1806-56.pdf#page=8","Abrir facsímil")</f>
        <v>Abrir facsímil</v>
      </c>
      <c r="K5593" s="15" t="s">
        <v>22</v>
      </c>
    </row>
    <row r="5594" spans="1:11" ht="42" customHeight="1">
      <c r="A5594" s="4" t="s">
        <v>12439</v>
      </c>
      <c r="B5594" s="5" t="s">
        <v>12440</v>
      </c>
      <c r="C5594" s="5" t="s">
        <v>17</v>
      </c>
      <c r="D5594" s="5" t="s">
        <v>18</v>
      </c>
      <c r="E5594" s="5" t="s">
        <v>580</v>
      </c>
      <c r="F5594" s="9">
        <v>23</v>
      </c>
      <c r="G5594" s="9">
        <v>218</v>
      </c>
      <c r="H5594" s="5" t="s">
        <v>20</v>
      </c>
      <c r="I5594" s="5" t="s">
        <v>12441</v>
      </c>
      <c r="J5594" s="12" t="str">
        <f>HYPERLINK("https://www.boe.es/gazeta/dias/1806/03/14/pdfs/GMD-1806-23.pdf#page=6","Abrir facsímil")</f>
        <v>Abrir facsímil</v>
      </c>
      <c r="K5594" s="15" t="s">
        <v>22</v>
      </c>
    </row>
    <row r="5595" spans="1:11" ht="42" customHeight="1">
      <c r="A5595" s="4" t="s">
        <v>12439</v>
      </c>
      <c r="B5595" s="5" t="s">
        <v>12440</v>
      </c>
      <c r="C5595" s="5" t="s">
        <v>69</v>
      </c>
      <c r="D5595" s="5" t="s">
        <v>70</v>
      </c>
      <c r="E5595" s="5" t="s">
        <v>110</v>
      </c>
      <c r="F5595" s="9">
        <v>55</v>
      </c>
      <c r="G5595" s="9">
        <v>569</v>
      </c>
      <c r="H5595" s="5" t="s">
        <v>20</v>
      </c>
      <c r="I5595" s="5" t="s">
        <v>12442</v>
      </c>
      <c r="J5595" s="12" t="str">
        <f>HYPERLINK("https://www.boe.es/gazeta/dias/1806/07/04/pdfs/GMD-1806-55.pdf#page=5","Abrir facsímil")</f>
        <v>Abrir facsímil</v>
      </c>
      <c r="K5595" s="15" t="s">
        <v>22</v>
      </c>
    </row>
    <row r="5596" spans="1:11" ht="42" customHeight="1">
      <c r="A5596" s="4" t="s">
        <v>12439</v>
      </c>
      <c r="B5596" s="5" t="s">
        <v>12440</v>
      </c>
      <c r="C5596" s="5" t="s">
        <v>69</v>
      </c>
      <c r="D5596" s="5" t="s">
        <v>70</v>
      </c>
      <c r="E5596" s="5" t="s">
        <v>716</v>
      </c>
      <c r="F5596" s="9">
        <v>56</v>
      </c>
      <c r="G5596" s="9">
        <v>584</v>
      </c>
      <c r="H5596" s="5" t="s">
        <v>20</v>
      </c>
      <c r="I5596" s="5" t="s">
        <v>12443</v>
      </c>
      <c r="J5596" s="12" t="str">
        <f>HYPERLINK("https://www.boe.es/gazeta/dias/1806/07/08/pdfs/GMD-1806-56.pdf#page=8","Abrir facsímil")</f>
        <v>Abrir facsímil</v>
      </c>
      <c r="K5596" s="15" t="s">
        <v>22</v>
      </c>
    </row>
    <row r="5597" spans="1:11" ht="42" customHeight="1">
      <c r="A5597" s="4" t="s">
        <v>12439</v>
      </c>
      <c r="B5597" s="5" t="s">
        <v>12440</v>
      </c>
      <c r="C5597" s="5" t="s">
        <v>69</v>
      </c>
      <c r="D5597" s="5" t="s">
        <v>70</v>
      </c>
      <c r="E5597" s="5" t="s">
        <v>859</v>
      </c>
      <c r="F5597" s="9">
        <v>63</v>
      </c>
      <c r="G5597" s="9">
        <v>658</v>
      </c>
      <c r="H5597" s="5" t="s">
        <v>20</v>
      </c>
      <c r="I5597" s="5" t="s">
        <v>12444</v>
      </c>
      <c r="J5597" s="12" t="str">
        <f>HYPERLINK("https://www.boe.es/gazeta/dias/1806/08/01/pdfs/GMD-1806-63.pdf#page=6","Abrir facsímil")</f>
        <v>Abrir facsímil</v>
      </c>
      <c r="K5597" s="15" t="s">
        <v>22</v>
      </c>
    </row>
    <row r="5598" spans="1:11" ht="42" customHeight="1">
      <c r="A5598" s="4" t="s">
        <v>12439</v>
      </c>
      <c r="B5598" s="5" t="s">
        <v>12440</v>
      </c>
      <c r="C5598" s="5" t="s">
        <v>69</v>
      </c>
      <c r="D5598" s="5" t="s">
        <v>70</v>
      </c>
      <c r="E5598" s="5" t="s">
        <v>405</v>
      </c>
      <c r="F5598" s="9">
        <v>80</v>
      </c>
      <c r="G5598" s="9">
        <v>825</v>
      </c>
      <c r="H5598" s="5" t="s">
        <v>20</v>
      </c>
      <c r="I5598" s="5" t="s">
        <v>12445</v>
      </c>
      <c r="J5598" s="12" t="str">
        <f>HYPERLINK("https://www.boe.es/gazeta/dias/1806/09/30/pdfs/GMD-1806-80.pdf#page=5","Abrir facsímil")</f>
        <v>Abrir facsímil</v>
      </c>
      <c r="K5598" s="15" t="s">
        <v>22</v>
      </c>
    </row>
    <row r="5599" spans="1:11" ht="42" customHeight="1">
      <c r="A5599" s="4" t="s">
        <v>12446</v>
      </c>
      <c r="B5599" s="5" t="s">
        <v>12447</v>
      </c>
      <c r="C5599" s="5" t="s">
        <v>75</v>
      </c>
      <c r="D5599" s="5" t="s">
        <v>43</v>
      </c>
      <c r="E5599" s="5" t="s">
        <v>28</v>
      </c>
      <c r="F5599" s="9">
        <v>102</v>
      </c>
      <c r="G5599" s="9">
        <v>1086</v>
      </c>
      <c r="H5599" s="5" t="s">
        <v>20</v>
      </c>
      <c r="I5599" s="5" t="s">
        <v>12448</v>
      </c>
      <c r="J5599" s="12" t="str">
        <f>HYPERLINK("https://www.boe.es/gazeta/dias/1806/12/16/pdfs/GMD-1806-102.pdf#page=10","Abrir facsímil")</f>
        <v>Abrir facsímil</v>
      </c>
      <c r="K5599" s="15" t="s">
        <v>22</v>
      </c>
    </row>
    <row r="5600" spans="1:11" ht="42" customHeight="1">
      <c r="A5600" s="4" t="s">
        <v>12449</v>
      </c>
      <c r="B5600" s="5" t="s">
        <v>12450</v>
      </c>
      <c r="C5600" s="5" t="s">
        <v>69</v>
      </c>
      <c r="D5600" s="5" t="s">
        <v>70</v>
      </c>
      <c r="E5600" s="5" t="s">
        <v>540</v>
      </c>
      <c r="F5600" s="9">
        <v>51</v>
      </c>
      <c r="G5600" s="9">
        <v>523</v>
      </c>
      <c r="H5600" s="5" t="s">
        <v>20</v>
      </c>
      <c r="I5600" s="5" t="s">
        <v>12451</v>
      </c>
      <c r="J5600" s="12" t="str">
        <f>HYPERLINK("https://www.boe.es/gazeta/dias/1806/06/20/pdfs/GMD-1806-51.pdf#page=3","Abrir facsímil")</f>
        <v>Abrir facsímil</v>
      </c>
      <c r="K5600" s="15" t="s">
        <v>22</v>
      </c>
    </row>
    <row r="5601" spans="1:11" ht="42" customHeight="1">
      <c r="A5601" s="4" t="s">
        <v>12452</v>
      </c>
      <c r="B5601" s="5" t="s">
        <v>12453</v>
      </c>
      <c r="C5601" s="5" t="s">
        <v>17</v>
      </c>
      <c r="D5601" s="5" t="s">
        <v>18</v>
      </c>
      <c r="E5601" s="5" t="s">
        <v>195</v>
      </c>
      <c r="F5601" s="9">
        <v>4</v>
      </c>
      <c r="G5601" s="9">
        <v>35</v>
      </c>
      <c r="H5601" s="5" t="s">
        <v>20</v>
      </c>
      <c r="I5601" s="5" t="s">
        <v>12454</v>
      </c>
      <c r="J5601" s="12" t="str">
        <f>HYPERLINK("https://www.boe.es/gazeta/dias/1806/01/14/pdfs/GMD-1806-4.pdf#page=7","Abrir facsímil")</f>
        <v>Abrir facsímil</v>
      </c>
      <c r="K5601" s="15" t="s">
        <v>22</v>
      </c>
    </row>
    <row r="5602" spans="1:11" ht="42" customHeight="1">
      <c r="A5602" s="4" t="s">
        <v>12455</v>
      </c>
      <c r="B5602" s="5" t="s">
        <v>12456</v>
      </c>
      <c r="C5602" s="5" t="s">
        <v>69</v>
      </c>
      <c r="D5602" s="5" t="s">
        <v>70</v>
      </c>
      <c r="E5602" s="5" t="s">
        <v>55</v>
      </c>
      <c r="F5602" s="9">
        <v>20</v>
      </c>
      <c r="G5602" s="9">
        <v>181</v>
      </c>
      <c r="H5602" s="5" t="s">
        <v>20</v>
      </c>
      <c r="I5602" s="5" t="s">
        <v>12457</v>
      </c>
      <c r="J5602" s="12" t="str">
        <f>HYPERLINK("https://www.boe.es/gazeta/dias/1806/03/04/pdfs/GMD-1806-20.pdf#page=5","Abrir facsímil")</f>
        <v>Abrir facsímil</v>
      </c>
      <c r="K5602" s="15" t="s">
        <v>22</v>
      </c>
    </row>
    <row r="5603" spans="1:11" ht="42" customHeight="1">
      <c r="A5603" s="4" t="s">
        <v>12455</v>
      </c>
      <c r="B5603" s="5" t="s">
        <v>12456</v>
      </c>
      <c r="C5603" s="5" t="s">
        <v>69</v>
      </c>
      <c r="D5603" s="5" t="s">
        <v>70</v>
      </c>
      <c r="E5603" s="5" t="s">
        <v>279</v>
      </c>
      <c r="F5603" s="9">
        <v>52</v>
      </c>
      <c r="G5603" s="9">
        <v>537</v>
      </c>
      <c r="H5603" s="5" t="s">
        <v>20</v>
      </c>
      <c r="I5603" s="5" t="s">
        <v>12458</v>
      </c>
      <c r="J5603" s="12" t="str">
        <f>HYPERLINK("https://www.boe.es/gazeta/dias/1806/06/24/pdfs/GMD-1806-52.pdf#page=5","Abrir facsímil")</f>
        <v>Abrir facsímil</v>
      </c>
      <c r="K5603" s="15" t="s">
        <v>22</v>
      </c>
    </row>
    <row r="5604" spans="1:11" ht="42" customHeight="1">
      <c r="A5604" s="4" t="s">
        <v>12459</v>
      </c>
      <c r="B5604" s="5" t="s">
        <v>12459</v>
      </c>
      <c r="C5604" s="5" t="s">
        <v>69</v>
      </c>
      <c r="D5604" s="5" t="s">
        <v>70</v>
      </c>
      <c r="E5604" s="5" t="s">
        <v>110</v>
      </c>
      <c r="F5604" s="9">
        <v>55</v>
      </c>
      <c r="G5604" s="9">
        <v>569</v>
      </c>
      <c r="H5604" s="5" t="s">
        <v>20</v>
      </c>
      <c r="I5604" s="5" t="s">
        <v>12460</v>
      </c>
      <c r="J5604" s="12" t="str">
        <f>HYPERLINK("https://www.boe.es/gazeta/dias/1806/07/04/pdfs/GMD-1806-55.pdf#page=5","Abrir facsímil")</f>
        <v>Abrir facsímil</v>
      </c>
      <c r="K5604" s="15" t="s">
        <v>22</v>
      </c>
    </row>
    <row r="5605" spans="1:11" ht="42" customHeight="1">
      <c r="A5605" s="4" t="s">
        <v>12461</v>
      </c>
      <c r="B5605" s="5" t="s">
        <v>12462</v>
      </c>
      <c r="C5605" s="5" t="s">
        <v>69</v>
      </c>
      <c r="D5605" s="5" t="s">
        <v>70</v>
      </c>
      <c r="E5605" s="5" t="s">
        <v>24</v>
      </c>
      <c r="F5605" s="9">
        <v>32</v>
      </c>
      <c r="G5605" s="9">
        <v>313</v>
      </c>
      <c r="H5605" s="5" t="s">
        <v>20</v>
      </c>
      <c r="I5605" s="5" t="s">
        <v>12463</v>
      </c>
      <c r="J5605" s="12" t="str">
        <f>HYPERLINK("https://www.boe.es/gazeta/dias/1806/04/15/pdfs/GMD-1806-32.pdf#page=5","Abrir facsímil")</f>
        <v>Abrir facsímil</v>
      </c>
      <c r="K5605" s="15" t="s">
        <v>22</v>
      </c>
    </row>
    <row r="5606" spans="1:11" ht="42" customHeight="1">
      <c r="A5606" s="4" t="s">
        <v>12464</v>
      </c>
      <c r="B5606" s="5" t="s">
        <v>12465</v>
      </c>
      <c r="C5606" s="5" t="s">
        <v>17</v>
      </c>
      <c r="D5606" s="5" t="s">
        <v>18</v>
      </c>
      <c r="E5606" s="5" t="s">
        <v>290</v>
      </c>
      <c r="F5606" s="9">
        <v>1</v>
      </c>
      <c r="G5606" s="9">
        <v>8</v>
      </c>
      <c r="H5606" s="5" t="s">
        <v>20</v>
      </c>
      <c r="I5606" s="5" t="s">
        <v>12466</v>
      </c>
      <c r="J5606" s="12" t="str">
        <f>HYPERLINK("https://www.boe.es/gazeta/dias/1806/01/03/pdfs/GMD-1806-1.pdf#page=8","Abrir facsímil")</f>
        <v>Abrir facsímil</v>
      </c>
      <c r="K5606" s="15" t="s">
        <v>22</v>
      </c>
    </row>
    <row r="5607" spans="1:11" ht="42" customHeight="1">
      <c r="A5607" s="4" t="s">
        <v>12467</v>
      </c>
      <c r="B5607" s="5" t="s">
        <v>12467</v>
      </c>
      <c r="C5607" s="5" t="s">
        <v>31</v>
      </c>
      <c r="D5607" s="5" t="s">
        <v>32</v>
      </c>
      <c r="E5607" s="5" t="s">
        <v>62</v>
      </c>
      <c r="F5607" s="9">
        <v>45</v>
      </c>
      <c r="G5607" s="9">
        <v>459</v>
      </c>
      <c r="H5607" s="5" t="s">
        <v>20</v>
      </c>
      <c r="I5607" s="5" t="s">
        <v>12468</v>
      </c>
      <c r="J5607" s="12" t="str">
        <f>HYPERLINK("https://www.boe.es/gazeta/dias/1806/05/30/pdfs/GMD-1806-45.pdf#page=11","Abrir facsímil")</f>
        <v>Abrir facsímil</v>
      </c>
      <c r="K5607" s="15" t="s">
        <v>22</v>
      </c>
    </row>
    <row r="5608" spans="1:11" ht="42" customHeight="1">
      <c r="A5608" s="4" t="s">
        <v>12469</v>
      </c>
      <c r="B5608" s="5" t="s">
        <v>12469</v>
      </c>
      <c r="C5608" s="5" t="s">
        <v>31</v>
      </c>
      <c r="D5608" s="5" t="s">
        <v>32</v>
      </c>
      <c r="E5608" s="5" t="s">
        <v>59</v>
      </c>
      <c r="F5608" s="9">
        <v>21</v>
      </c>
      <c r="G5608" s="9">
        <v>195</v>
      </c>
      <c r="H5608" s="5" t="s">
        <v>20</v>
      </c>
      <c r="I5608" s="5" t="s">
        <v>12470</v>
      </c>
      <c r="J5608" s="12" t="str">
        <f>HYPERLINK("https://www.boe.es/gazeta/dias/1806/03/07/pdfs/GMD-1806-21.pdf#page=7","Abrir facsímil")</f>
        <v>Abrir facsímil</v>
      </c>
      <c r="K5608" s="15" t="s">
        <v>22</v>
      </c>
    </row>
    <row r="5609" spans="1:11" ht="42" customHeight="1">
      <c r="A5609" s="4" t="s">
        <v>12471</v>
      </c>
      <c r="B5609" s="5" t="s">
        <v>12472</v>
      </c>
      <c r="C5609" s="5" t="s">
        <v>69</v>
      </c>
      <c r="D5609" s="5" t="s">
        <v>70</v>
      </c>
      <c r="E5609" s="5" t="s">
        <v>405</v>
      </c>
      <c r="F5609" s="9">
        <v>80</v>
      </c>
      <c r="G5609" s="9">
        <v>823</v>
      </c>
      <c r="H5609" s="5" t="s">
        <v>20</v>
      </c>
      <c r="I5609" s="5" t="s">
        <v>12473</v>
      </c>
      <c r="J5609" s="12" t="str">
        <f>HYPERLINK("https://www.boe.es/gazeta/dias/1806/09/30/pdfs/GMD-1806-80.pdf#page=3","Abrir facsímil")</f>
        <v>Abrir facsímil</v>
      </c>
      <c r="K5609" s="15" t="s">
        <v>22</v>
      </c>
    </row>
    <row r="5610" spans="1:11" ht="42" customHeight="1">
      <c r="A5610" s="4" t="s">
        <v>12474</v>
      </c>
      <c r="B5610" s="5" t="s">
        <v>12475</v>
      </c>
      <c r="C5610" s="5" t="s">
        <v>69</v>
      </c>
      <c r="D5610" s="5" t="s">
        <v>70</v>
      </c>
      <c r="E5610" s="5" t="s">
        <v>90</v>
      </c>
      <c r="F5610" s="9">
        <v>60</v>
      </c>
      <c r="G5610" s="9">
        <v>619</v>
      </c>
      <c r="H5610" s="5" t="s">
        <v>20</v>
      </c>
      <c r="I5610" s="5" t="s">
        <v>12476</v>
      </c>
      <c r="J5610" s="12" t="str">
        <f>HYPERLINK("https://www.boe.es/gazeta/dias/1806/07/22/pdfs/GMD-1806-60.pdf#page=3","Abrir facsímil")</f>
        <v>Abrir facsímil</v>
      </c>
      <c r="K5610" s="15" t="s">
        <v>22</v>
      </c>
    </row>
    <row r="5611" spans="1:11" ht="42" customHeight="1">
      <c r="A5611" s="4" t="s">
        <v>12477</v>
      </c>
      <c r="B5611" s="5" t="s">
        <v>12477</v>
      </c>
      <c r="C5611" s="5" t="s">
        <v>31</v>
      </c>
      <c r="D5611" s="5" t="s">
        <v>32</v>
      </c>
      <c r="E5611" s="5" t="s">
        <v>205</v>
      </c>
      <c r="F5611" s="9">
        <v>57</v>
      </c>
      <c r="G5611" s="9">
        <v>594</v>
      </c>
      <c r="H5611" s="5" t="s">
        <v>20</v>
      </c>
      <c r="I5611" s="5" t="s">
        <v>12478</v>
      </c>
      <c r="J5611" s="12" t="str">
        <f>HYPERLINK("https://www.boe.es/gazeta/dias/1806/07/11/pdfs/GMD-1806-57.pdf#page=6","Abrir facsímil")</f>
        <v>Abrir facsímil</v>
      </c>
      <c r="K5611" s="15" t="s">
        <v>22</v>
      </c>
    </row>
    <row r="5612" spans="1:11" ht="42" customHeight="1">
      <c r="A5612" s="4" t="s">
        <v>12479</v>
      </c>
      <c r="B5612" s="5" t="s">
        <v>12479</v>
      </c>
      <c r="C5612" s="5" t="s">
        <v>42</v>
      </c>
      <c r="D5612" s="5" t="s">
        <v>43</v>
      </c>
      <c r="E5612" s="5" t="s">
        <v>181</v>
      </c>
      <c r="F5612" s="9">
        <v>99</v>
      </c>
      <c r="G5612" s="9">
        <v>1053</v>
      </c>
      <c r="H5612" s="5" t="s">
        <v>20</v>
      </c>
      <c r="I5612" s="5" t="s">
        <v>12480</v>
      </c>
      <c r="J5612" s="12" t="str">
        <f>HYPERLINK("https://www.boe.es/gazeta/dias/1806/12/05/pdfs/GMD-1806-99.pdf#page=9","Abrir facsímil")</f>
        <v>Abrir facsímil</v>
      </c>
      <c r="K5612" s="15" t="s">
        <v>22</v>
      </c>
    </row>
    <row r="5613" spans="1:11" ht="42" customHeight="1">
      <c r="A5613" s="4" t="s">
        <v>12481</v>
      </c>
      <c r="B5613" s="5" t="s">
        <v>12482</v>
      </c>
      <c r="C5613" s="5" t="s">
        <v>69</v>
      </c>
      <c r="D5613" s="5" t="s">
        <v>70</v>
      </c>
      <c r="E5613" s="5" t="s">
        <v>38</v>
      </c>
      <c r="F5613" s="9">
        <v>92</v>
      </c>
      <c r="G5613" s="9">
        <v>951</v>
      </c>
      <c r="H5613" s="5" t="s">
        <v>20</v>
      </c>
      <c r="I5613" s="5" t="s">
        <v>12483</v>
      </c>
      <c r="J5613" s="12" t="str">
        <f>HYPERLINK("https://www.boe.es/gazeta/dias/1806/11/11/pdfs/GMD-1806-92.pdf#page=3","Abrir facsímil")</f>
        <v>Abrir facsímil</v>
      </c>
      <c r="K5613" s="15" t="s">
        <v>22</v>
      </c>
    </row>
    <row r="5614" spans="1:11" ht="42" customHeight="1">
      <c r="A5614" s="4" t="s">
        <v>12484</v>
      </c>
      <c r="B5614" s="5" t="s">
        <v>12485</v>
      </c>
      <c r="C5614" s="5" t="s">
        <v>31</v>
      </c>
      <c r="D5614" s="5" t="s">
        <v>32</v>
      </c>
      <c r="E5614" s="5" t="s">
        <v>55</v>
      </c>
      <c r="F5614" s="9">
        <v>20</v>
      </c>
      <c r="G5614" s="9">
        <v>185</v>
      </c>
      <c r="H5614" s="5" t="s">
        <v>20</v>
      </c>
      <c r="I5614" s="5" t="s">
        <v>12486</v>
      </c>
      <c r="J5614" s="12" t="str">
        <f>HYPERLINK("https://www.boe.es/gazeta/dias/1806/03/04/pdfs/GMD-1806-20.pdf#page=9","Abrir facsímil")</f>
        <v>Abrir facsímil</v>
      </c>
      <c r="K5614" s="15" t="s">
        <v>22</v>
      </c>
    </row>
    <row r="5615" spans="1:11" ht="42" customHeight="1">
      <c r="A5615" s="4" t="s">
        <v>12487</v>
      </c>
      <c r="B5615" s="5" t="s">
        <v>12488</v>
      </c>
      <c r="C5615" s="5" t="s">
        <v>31</v>
      </c>
      <c r="D5615" s="5" t="s">
        <v>32</v>
      </c>
      <c r="E5615" s="5" t="s">
        <v>51</v>
      </c>
      <c r="F5615" s="9">
        <v>44</v>
      </c>
      <c r="G5615" s="9">
        <v>446</v>
      </c>
      <c r="H5615" s="5" t="s">
        <v>20</v>
      </c>
      <c r="I5615" s="5" t="s">
        <v>12489</v>
      </c>
      <c r="J5615" s="12" t="str">
        <f>HYPERLINK("https://www.boe.es/gazeta/dias/1806/05/27/pdfs/GMD-1806-44.pdf#page=10","Abrir facsímil")</f>
        <v>Abrir facsímil</v>
      </c>
      <c r="K5615" s="15" t="s">
        <v>22</v>
      </c>
    </row>
    <row r="5616" spans="1:11" ht="42" customHeight="1">
      <c r="A5616" s="4" t="s">
        <v>12490</v>
      </c>
      <c r="B5616" s="5" t="s">
        <v>12491</v>
      </c>
      <c r="C5616" s="5" t="s">
        <v>17</v>
      </c>
      <c r="D5616" s="5" t="s">
        <v>18</v>
      </c>
      <c r="E5616" s="5" t="s">
        <v>51</v>
      </c>
      <c r="F5616" s="9">
        <v>44</v>
      </c>
      <c r="G5616" s="9">
        <v>446</v>
      </c>
      <c r="H5616" s="5" t="s">
        <v>20</v>
      </c>
      <c r="I5616" s="5" t="s">
        <v>12492</v>
      </c>
      <c r="J5616" s="12" t="str">
        <f>HYPERLINK("https://www.boe.es/gazeta/dias/1806/05/27/pdfs/GMD-1806-44.pdf#page=10","Abrir facsímil")</f>
        <v>Abrir facsímil</v>
      </c>
      <c r="K5616" s="15" t="s">
        <v>22</v>
      </c>
    </row>
    <row r="5617" spans="1:11" ht="42" customHeight="1">
      <c r="A5617" s="4" t="s">
        <v>12493</v>
      </c>
      <c r="B5617" s="5" t="s">
        <v>12494</v>
      </c>
      <c r="C5617" s="5" t="s">
        <v>42</v>
      </c>
      <c r="D5617" s="5" t="s">
        <v>43</v>
      </c>
      <c r="E5617" s="5" t="s">
        <v>483</v>
      </c>
      <c r="F5617" s="9">
        <v>58</v>
      </c>
      <c r="G5617" s="9">
        <v>602</v>
      </c>
      <c r="H5617" s="5" t="s">
        <v>20</v>
      </c>
      <c r="I5617" s="5" t="s">
        <v>12495</v>
      </c>
      <c r="J5617" s="12" t="str">
        <f>HYPERLINK("https://www.boe.es/gazeta/dias/1806/07/15/pdfs/GMD-1806-58.pdf#page=6","Abrir facsímil")</f>
        <v>Abrir facsímil</v>
      </c>
      <c r="K5617" s="15" t="s">
        <v>22</v>
      </c>
    </row>
    <row r="5618" spans="1:11" ht="42" customHeight="1">
      <c r="A5618" s="4" t="s">
        <v>12496</v>
      </c>
      <c r="B5618" s="5" t="s">
        <v>12496</v>
      </c>
      <c r="C5618" s="5" t="s">
        <v>31</v>
      </c>
      <c r="D5618" s="5" t="s">
        <v>32</v>
      </c>
      <c r="E5618" s="5" t="s">
        <v>780</v>
      </c>
      <c r="F5618" s="9">
        <v>33</v>
      </c>
      <c r="G5618" s="9">
        <v>326</v>
      </c>
      <c r="H5618" s="5" t="s">
        <v>20</v>
      </c>
      <c r="I5618" s="5" t="s">
        <v>12497</v>
      </c>
      <c r="J5618" s="12" t="str">
        <f>HYPERLINK("https://www.boe.es/gazeta/dias/1806/04/18/pdfs/GMD-1806-33.pdf#page=6","Abrir facsímil")</f>
        <v>Abrir facsímil</v>
      </c>
      <c r="K5618" s="15" t="s">
        <v>22</v>
      </c>
    </row>
    <row r="5619" spans="1:11" ht="42" customHeight="1">
      <c r="A5619" s="4" t="s">
        <v>12498</v>
      </c>
      <c r="B5619" s="5" t="s">
        <v>12499</v>
      </c>
      <c r="C5619" s="5" t="s">
        <v>17</v>
      </c>
      <c r="D5619" s="5" t="s">
        <v>18</v>
      </c>
      <c r="E5619" s="5" t="s">
        <v>580</v>
      </c>
      <c r="F5619" s="9">
        <v>23</v>
      </c>
      <c r="G5619" s="9">
        <v>218</v>
      </c>
      <c r="H5619" s="5" t="s">
        <v>20</v>
      </c>
      <c r="I5619" s="5" t="s">
        <v>12500</v>
      </c>
      <c r="J5619" s="12" t="str">
        <f>HYPERLINK("https://www.boe.es/gazeta/dias/1806/03/14/pdfs/GMD-1806-23.pdf#page=6","Abrir facsímil")</f>
        <v>Abrir facsímil</v>
      </c>
      <c r="K5619" s="15" t="s">
        <v>22</v>
      </c>
    </row>
    <row r="5620" spans="1:11" ht="42" customHeight="1">
      <c r="A5620" s="4" t="s">
        <v>12501</v>
      </c>
      <c r="B5620" s="5" t="s">
        <v>12502</v>
      </c>
      <c r="C5620" s="5" t="s">
        <v>31</v>
      </c>
      <c r="D5620" s="5" t="s">
        <v>32</v>
      </c>
      <c r="E5620" s="5" t="s">
        <v>285</v>
      </c>
      <c r="F5620" s="9">
        <v>13</v>
      </c>
      <c r="G5620" s="9">
        <v>115</v>
      </c>
      <c r="H5620" s="5" t="s">
        <v>20</v>
      </c>
      <c r="I5620" s="5" t="s">
        <v>12503</v>
      </c>
      <c r="J5620" s="12" t="str">
        <f>HYPERLINK("https://www.boe.es/gazeta/dias/1806/02/07/pdfs/GMD-1806-13.pdf#page=7","Abrir facsímil")</f>
        <v>Abrir facsímil</v>
      </c>
      <c r="K5620" s="15" t="s">
        <v>22</v>
      </c>
    </row>
    <row r="5621" spans="1:11" ht="42" customHeight="1">
      <c r="A5621" s="4" t="s">
        <v>12504</v>
      </c>
      <c r="B5621" s="5" t="s">
        <v>12505</v>
      </c>
      <c r="C5621" s="5" t="s">
        <v>75</v>
      </c>
      <c r="D5621" s="5" t="s">
        <v>43</v>
      </c>
      <c r="E5621" s="5" t="s">
        <v>231</v>
      </c>
      <c r="F5621" s="9">
        <v>89</v>
      </c>
      <c r="G5621" s="9">
        <v>922</v>
      </c>
      <c r="H5621" s="5" t="s">
        <v>20</v>
      </c>
      <c r="I5621" s="5" t="s">
        <v>12506</v>
      </c>
      <c r="J5621" s="12" t="str">
        <f>HYPERLINK("https://www.boe.es/gazeta/dias/1806/10/31/pdfs/GMD-1806-89.pdf#page=10","Abrir facsímil")</f>
        <v>Abrir facsímil</v>
      </c>
      <c r="K5621" s="15" t="s">
        <v>22</v>
      </c>
    </row>
    <row r="5622" spans="1:11" ht="42" customHeight="1">
      <c r="A5622" s="4" t="s">
        <v>12507</v>
      </c>
      <c r="B5622" s="5" t="s">
        <v>12508</v>
      </c>
      <c r="C5622" s="5" t="s">
        <v>69</v>
      </c>
      <c r="D5622" s="5" t="s">
        <v>70</v>
      </c>
      <c r="E5622" s="5" t="s">
        <v>144</v>
      </c>
      <c r="F5622" s="9">
        <v>79</v>
      </c>
      <c r="G5622" s="9">
        <v>817</v>
      </c>
      <c r="H5622" s="5" t="s">
        <v>20</v>
      </c>
      <c r="I5622" s="5" t="s">
        <v>12509</v>
      </c>
      <c r="J5622" s="12" t="str">
        <f>HYPERLINK("https://www.boe.es/gazeta/dias/1806/09/26/pdfs/GMD-1806-79.pdf#page=9","Abrir facsímil")</f>
        <v>Abrir facsímil</v>
      </c>
      <c r="K5622" s="15" t="s">
        <v>22</v>
      </c>
    </row>
    <row r="5623" spans="1:11" ht="42" customHeight="1">
      <c r="A5623" s="4" t="s">
        <v>12510</v>
      </c>
      <c r="B5623" s="5" t="s">
        <v>12511</v>
      </c>
      <c r="C5623" s="5" t="s">
        <v>31</v>
      </c>
      <c r="D5623" s="5" t="s">
        <v>32</v>
      </c>
      <c r="E5623" s="5" t="s">
        <v>76</v>
      </c>
      <c r="F5623" s="9">
        <v>98</v>
      </c>
      <c r="G5623" s="9">
        <v>1044</v>
      </c>
      <c r="H5623" s="5" t="s">
        <v>20</v>
      </c>
      <c r="I5623" s="5" t="s">
        <v>12512</v>
      </c>
      <c r="J5623" s="12" t="str">
        <f>HYPERLINK("https://www.boe.es/gazeta/dias/1806/12/02/pdfs/GMD-1806-98.pdf#page=12","Abrir facsímil")</f>
        <v>Abrir facsímil</v>
      </c>
      <c r="K5623" s="15" t="s">
        <v>22</v>
      </c>
    </row>
    <row r="5624" spans="1:11" ht="42" customHeight="1">
      <c r="A5624" s="4" t="s">
        <v>12513</v>
      </c>
      <c r="B5624" s="5" t="s">
        <v>12514</v>
      </c>
      <c r="C5624" s="5" t="s">
        <v>31</v>
      </c>
      <c r="D5624" s="5" t="s">
        <v>32</v>
      </c>
      <c r="E5624" s="5" t="s">
        <v>285</v>
      </c>
      <c r="F5624" s="9">
        <v>13</v>
      </c>
      <c r="G5624" s="9">
        <v>114</v>
      </c>
      <c r="H5624" s="5" t="s">
        <v>20</v>
      </c>
      <c r="I5624" s="5" t="s">
        <v>12515</v>
      </c>
      <c r="J5624" s="12" t="str">
        <f>HYPERLINK("https://www.boe.es/gazeta/dias/1806/02/07/pdfs/GMD-1806-13.pdf#page=6","Abrir facsímil")</f>
        <v>Abrir facsímil</v>
      </c>
      <c r="K5624" s="15" t="s">
        <v>22</v>
      </c>
    </row>
    <row r="5625" spans="1:11" ht="42" customHeight="1">
      <c r="A5625" s="4" t="s">
        <v>12516</v>
      </c>
      <c r="B5625" s="5" t="s">
        <v>12517</v>
      </c>
      <c r="C5625" s="5" t="s">
        <v>31</v>
      </c>
      <c r="D5625" s="5" t="s">
        <v>32</v>
      </c>
      <c r="E5625" s="5" t="s">
        <v>185</v>
      </c>
      <c r="F5625" s="9">
        <v>46</v>
      </c>
      <c r="G5625" s="9">
        <v>469</v>
      </c>
      <c r="H5625" s="5" t="s">
        <v>20</v>
      </c>
      <c r="I5625" s="5" t="s">
        <v>12518</v>
      </c>
      <c r="J5625" s="12" t="str">
        <f>HYPERLINK("https://www.boe.es/gazeta/dias/1806/06/03/pdfs/GMD-1806-46.pdf#page=9","Abrir facsímil")</f>
        <v>Abrir facsímil</v>
      </c>
      <c r="K5625" s="15" t="s">
        <v>22</v>
      </c>
    </row>
    <row r="5626" spans="1:11" ht="42" customHeight="1">
      <c r="A5626" s="4" t="s">
        <v>12519</v>
      </c>
      <c r="B5626" s="5" t="s">
        <v>12520</v>
      </c>
      <c r="C5626" s="5" t="s">
        <v>31</v>
      </c>
      <c r="D5626" s="5" t="s">
        <v>32</v>
      </c>
      <c r="E5626" s="5" t="s">
        <v>96</v>
      </c>
      <c r="F5626" s="9">
        <v>62</v>
      </c>
      <c r="G5626" s="9">
        <v>649</v>
      </c>
      <c r="H5626" s="5" t="s">
        <v>20</v>
      </c>
      <c r="I5626" s="5" t="s">
        <v>12521</v>
      </c>
      <c r="J5626" s="12" t="str">
        <f>HYPERLINK("https://www.boe.es/gazeta/dias/1806/07/29/pdfs/GMD-1806-62.pdf#page=9","Abrir facsímil")</f>
        <v>Abrir facsímil</v>
      </c>
      <c r="K5626" s="15" t="s">
        <v>22</v>
      </c>
    </row>
    <row r="5627" spans="1:11" ht="42" customHeight="1">
      <c r="A5627" s="4" t="s">
        <v>12522</v>
      </c>
      <c r="B5627" s="5" t="s">
        <v>12523</v>
      </c>
      <c r="C5627" s="5" t="s">
        <v>36</v>
      </c>
      <c r="D5627" s="5" t="s">
        <v>37</v>
      </c>
      <c r="E5627" s="5" t="s">
        <v>220</v>
      </c>
      <c r="F5627" s="9">
        <v>24</v>
      </c>
      <c r="G5627" s="9">
        <v>236</v>
      </c>
      <c r="H5627" s="5" t="s">
        <v>20</v>
      </c>
      <c r="I5627" s="5" t="s">
        <v>12524</v>
      </c>
      <c r="J5627" s="12" t="str">
        <f>HYPERLINK("https://www.boe.es/gazeta/dias/1806/03/18/pdfs/GMD-1806-24.pdf#page=12","Abrir facsímil")</f>
        <v>Abrir facsímil</v>
      </c>
      <c r="K5627" s="15" t="s">
        <v>22</v>
      </c>
    </row>
    <row r="5628" spans="1:11" ht="42" customHeight="1">
      <c r="A5628" s="4" t="s">
        <v>12525</v>
      </c>
      <c r="B5628" s="5" t="s">
        <v>12526</v>
      </c>
      <c r="C5628" s="5" t="s">
        <v>31</v>
      </c>
      <c r="D5628" s="5" t="s">
        <v>32</v>
      </c>
      <c r="E5628" s="5" t="s">
        <v>124</v>
      </c>
      <c r="F5628" s="9">
        <v>25</v>
      </c>
      <c r="G5628" s="9">
        <v>248</v>
      </c>
      <c r="H5628" s="5" t="s">
        <v>20</v>
      </c>
      <c r="I5628" s="5" t="s">
        <v>12527</v>
      </c>
      <c r="J5628" s="12" t="str">
        <f>HYPERLINK("https://www.boe.es/gazeta/dias/1806/03/21/pdfs/GMD-1806-25.pdf#page=12","Abrir facsímil")</f>
        <v>Abrir facsímil</v>
      </c>
      <c r="K5628" s="15" t="s">
        <v>22</v>
      </c>
    </row>
    <row r="5629" spans="1:11" ht="42" customHeight="1">
      <c r="A5629" s="4" t="s">
        <v>12528</v>
      </c>
      <c r="B5629" s="5" t="s">
        <v>12529</v>
      </c>
      <c r="C5629" s="5" t="s">
        <v>31</v>
      </c>
      <c r="D5629" s="5" t="s">
        <v>32</v>
      </c>
      <c r="E5629" s="5" t="s">
        <v>554</v>
      </c>
      <c r="F5629" s="9">
        <v>90</v>
      </c>
      <c r="G5629" s="9">
        <v>934</v>
      </c>
      <c r="H5629" s="5" t="s">
        <v>20</v>
      </c>
      <c r="I5629" s="5" t="s">
        <v>12530</v>
      </c>
      <c r="J5629" s="12" t="str">
        <f>HYPERLINK("https://www.boe.es/gazeta/dias/1806/11/04/pdfs/GMD-1806-90.pdf#page=10","Abrir facsímil")</f>
        <v>Abrir facsímil</v>
      </c>
      <c r="K5629" s="15" t="s">
        <v>22</v>
      </c>
    </row>
    <row r="5630" spans="1:11" ht="42" customHeight="1">
      <c r="A5630" s="4" t="s">
        <v>12531</v>
      </c>
      <c r="B5630" s="5" t="s">
        <v>12532</v>
      </c>
      <c r="C5630" s="5" t="s">
        <v>69</v>
      </c>
      <c r="D5630" s="5" t="s">
        <v>70</v>
      </c>
      <c r="E5630" s="5" t="s">
        <v>144</v>
      </c>
      <c r="F5630" s="9">
        <v>79</v>
      </c>
      <c r="G5630" s="9">
        <v>815</v>
      </c>
      <c r="H5630" s="5" t="s">
        <v>20</v>
      </c>
      <c r="I5630" s="5" t="s">
        <v>12533</v>
      </c>
      <c r="J5630" s="12" t="str">
        <f>HYPERLINK("https://www.boe.es/gazeta/dias/1806/09/26/pdfs/GMD-1806-79.pdf#page=7","Abrir facsímil")</f>
        <v>Abrir facsímil</v>
      </c>
      <c r="K5630" s="15" t="s">
        <v>22</v>
      </c>
    </row>
    <row r="5631" spans="1:11" ht="42" customHeight="1">
      <c r="A5631" s="4" t="s">
        <v>12534</v>
      </c>
      <c r="B5631" s="5" t="s">
        <v>12535</v>
      </c>
      <c r="C5631" s="5" t="s">
        <v>69</v>
      </c>
      <c r="D5631" s="5" t="s">
        <v>70</v>
      </c>
      <c r="E5631" s="5" t="s">
        <v>312</v>
      </c>
      <c r="F5631" s="9">
        <v>100</v>
      </c>
      <c r="G5631" s="9">
        <v>1058</v>
      </c>
      <c r="H5631" s="5" t="s">
        <v>20</v>
      </c>
      <c r="I5631" s="5" t="s">
        <v>12536</v>
      </c>
      <c r="J5631" s="12" t="str">
        <f>HYPERLINK("https://www.boe.es/gazeta/dias/1806/12/09/pdfs/GMD-1806-100.pdf#page=2","Abrir facsímil")</f>
        <v>Abrir facsímil</v>
      </c>
      <c r="K5631" s="15" t="s">
        <v>22</v>
      </c>
    </row>
    <row r="5632" spans="1:11" ht="42" customHeight="1">
      <c r="A5632" s="4" t="s">
        <v>12537</v>
      </c>
      <c r="B5632" s="5" t="s">
        <v>12538</v>
      </c>
      <c r="C5632" s="5" t="s">
        <v>69</v>
      </c>
      <c r="D5632" s="5" t="s">
        <v>70</v>
      </c>
      <c r="E5632" s="5" t="s">
        <v>348</v>
      </c>
      <c r="F5632" s="9">
        <v>88</v>
      </c>
      <c r="G5632" s="9">
        <v>908</v>
      </c>
      <c r="H5632" s="5" t="s">
        <v>20</v>
      </c>
      <c r="I5632" s="5" t="s">
        <v>12539</v>
      </c>
      <c r="J5632" s="12" t="str">
        <f>HYPERLINK("https://www.boe.es/gazeta/dias/1806/10/28/pdfs/GMD-1806-88.pdf#page=4","Abrir facsímil")</f>
        <v>Abrir facsímil</v>
      </c>
      <c r="K5632" s="15" t="s">
        <v>22</v>
      </c>
    </row>
    <row r="5633" spans="1:11" ht="42" customHeight="1">
      <c r="A5633" s="4" t="s">
        <v>12540</v>
      </c>
      <c r="B5633" s="5" t="s">
        <v>12541</v>
      </c>
      <c r="C5633" s="5" t="s">
        <v>31</v>
      </c>
      <c r="D5633" s="5" t="s">
        <v>32</v>
      </c>
      <c r="E5633" s="5" t="s">
        <v>202</v>
      </c>
      <c r="F5633" s="9">
        <v>30</v>
      </c>
      <c r="G5633" s="9">
        <v>295</v>
      </c>
      <c r="H5633" s="5" t="s">
        <v>20</v>
      </c>
      <c r="I5633" s="5" t="s">
        <v>12542</v>
      </c>
      <c r="J5633" s="12" t="str">
        <f>HYPERLINK("https://www.boe.es/gazeta/dias/1806/04/08/pdfs/GMD-1806-30.pdf#page=7","Abrir facsímil")</f>
        <v>Abrir facsímil</v>
      </c>
      <c r="K5633" s="15" t="s">
        <v>22</v>
      </c>
    </row>
    <row r="5634" spans="1:11" ht="42" customHeight="1">
      <c r="A5634" s="4" t="s">
        <v>12543</v>
      </c>
      <c r="B5634" s="5" t="s">
        <v>12544</v>
      </c>
      <c r="C5634" s="5" t="s">
        <v>31</v>
      </c>
      <c r="D5634" s="5" t="s">
        <v>32</v>
      </c>
      <c r="E5634" s="5" t="s">
        <v>271</v>
      </c>
      <c r="F5634" s="9">
        <v>6</v>
      </c>
      <c r="G5634" s="9">
        <v>54</v>
      </c>
      <c r="H5634" s="5" t="s">
        <v>20</v>
      </c>
      <c r="I5634" s="5" t="s">
        <v>12545</v>
      </c>
      <c r="J5634" s="12" t="str">
        <f>HYPERLINK("https://www.boe.es/gazeta/dias/1806/01/17/pdfs/GMD-1806-6.pdf#page=10","Abrir facsímil")</f>
        <v>Abrir facsímil</v>
      </c>
      <c r="K5634" s="15" t="s">
        <v>22</v>
      </c>
    </row>
    <row r="5635" spans="1:11" ht="42" customHeight="1">
      <c r="A5635" s="4" t="s">
        <v>12546</v>
      </c>
      <c r="B5635" s="5" t="s">
        <v>12547</v>
      </c>
      <c r="C5635" s="5" t="s">
        <v>69</v>
      </c>
      <c r="D5635" s="5" t="s">
        <v>70</v>
      </c>
      <c r="E5635" s="5" t="s">
        <v>136</v>
      </c>
      <c r="F5635" s="9">
        <v>50</v>
      </c>
      <c r="G5635" s="9">
        <v>512</v>
      </c>
      <c r="H5635" s="5" t="s">
        <v>20</v>
      </c>
      <c r="I5635" s="5" t="s">
        <v>12548</v>
      </c>
      <c r="J5635" s="12" t="str">
        <f>HYPERLINK("https://www.boe.es/gazeta/dias/1806/06/17/pdfs/GMD-1806-50.pdf#page=4","Abrir facsímil")</f>
        <v>Abrir facsímil</v>
      </c>
      <c r="K5635" s="15" t="s">
        <v>22</v>
      </c>
    </row>
    <row r="5636" spans="1:11" ht="42" customHeight="1">
      <c r="A5636" s="4" t="s">
        <v>12546</v>
      </c>
      <c r="B5636" s="5" t="s">
        <v>12547</v>
      </c>
      <c r="C5636" s="5" t="s">
        <v>17</v>
      </c>
      <c r="D5636" s="5" t="s">
        <v>18</v>
      </c>
      <c r="E5636" s="5" t="s">
        <v>297</v>
      </c>
      <c r="F5636" s="9">
        <v>94</v>
      </c>
      <c r="G5636" s="9">
        <v>988</v>
      </c>
      <c r="H5636" s="5" t="s">
        <v>20</v>
      </c>
      <c r="I5636" s="5" t="s">
        <v>12549</v>
      </c>
      <c r="J5636" s="12" t="str">
        <f>HYPERLINK("https://www.boe.es/gazeta/dias/1806/11/18/pdfs/GMD-1806-94.pdf#page=8","Abrir facsímil")</f>
        <v>Abrir facsímil</v>
      </c>
      <c r="K5636" s="15" t="s">
        <v>22</v>
      </c>
    </row>
    <row r="5637" spans="1:11" ht="42" customHeight="1">
      <c r="A5637" s="4" t="s">
        <v>12550</v>
      </c>
      <c r="B5637" s="5" t="s">
        <v>12551</v>
      </c>
      <c r="C5637" s="5" t="s">
        <v>17</v>
      </c>
      <c r="D5637" s="5" t="s">
        <v>18</v>
      </c>
      <c r="E5637" s="5" t="s">
        <v>213</v>
      </c>
      <c r="F5637" s="9">
        <v>73</v>
      </c>
      <c r="G5637" s="9">
        <v>759</v>
      </c>
      <c r="H5637" s="5" t="s">
        <v>20</v>
      </c>
      <c r="I5637" s="5" t="s">
        <v>12552</v>
      </c>
      <c r="J5637" s="12" t="str">
        <f>HYPERLINK("https://www.boe.es/gazeta/dias/1806/09/05/pdfs/GMD-1806-73.pdf#page=7","Abrir facsímil")</f>
        <v>Abrir facsímil</v>
      </c>
      <c r="K5637" s="15" t="s">
        <v>22</v>
      </c>
    </row>
    <row r="5638" spans="1:11" ht="42" customHeight="1">
      <c r="A5638" s="4" t="s">
        <v>12553</v>
      </c>
      <c r="B5638" s="5" t="s">
        <v>12554</v>
      </c>
      <c r="C5638" s="5" t="s">
        <v>17</v>
      </c>
      <c r="D5638" s="5" t="s">
        <v>18</v>
      </c>
      <c r="E5638" s="5" t="s">
        <v>195</v>
      </c>
      <c r="F5638" s="9">
        <v>4</v>
      </c>
      <c r="G5638" s="9">
        <v>35</v>
      </c>
      <c r="H5638" s="5" t="s">
        <v>20</v>
      </c>
      <c r="I5638" s="5" t="s">
        <v>12555</v>
      </c>
      <c r="J5638" s="12" t="str">
        <f>HYPERLINK("https://www.boe.es/gazeta/dias/1806/01/14/pdfs/GMD-1806-4.pdf#page=7","Abrir facsímil")</f>
        <v>Abrir facsímil</v>
      </c>
      <c r="K5638" s="15" t="s">
        <v>22</v>
      </c>
    </row>
    <row r="5639" spans="1:11" ht="42" customHeight="1">
      <c r="A5639" s="4" t="s">
        <v>12556</v>
      </c>
      <c r="B5639" s="5" t="s">
        <v>12557</v>
      </c>
      <c r="C5639" s="5" t="s">
        <v>31</v>
      </c>
      <c r="D5639" s="5" t="s">
        <v>32</v>
      </c>
      <c r="E5639" s="5" t="s">
        <v>312</v>
      </c>
      <c r="F5639" s="9">
        <v>100</v>
      </c>
      <c r="G5639" s="9">
        <v>1065</v>
      </c>
      <c r="H5639" s="5" t="s">
        <v>20</v>
      </c>
      <c r="I5639" s="5" t="s">
        <v>12558</v>
      </c>
      <c r="J5639" s="12" t="str">
        <f>HYPERLINK("https://www.boe.es/gazeta/dias/1806/12/09/pdfs/GMD-1806-100.pdf#page=9","Abrir facsímil")</f>
        <v>Abrir facsímil</v>
      </c>
      <c r="K5639" s="15" t="s">
        <v>22</v>
      </c>
    </row>
    <row r="5640" spans="1:11" ht="42" customHeight="1">
      <c r="A5640" s="4" t="s">
        <v>12559</v>
      </c>
      <c r="B5640" s="5" t="s">
        <v>12560</v>
      </c>
      <c r="C5640" s="5" t="s">
        <v>17</v>
      </c>
      <c r="D5640" s="5" t="s">
        <v>18</v>
      </c>
      <c r="E5640" s="5" t="s">
        <v>118</v>
      </c>
      <c r="F5640" s="9">
        <v>15</v>
      </c>
      <c r="G5640" s="9">
        <v>131</v>
      </c>
      <c r="H5640" s="5" t="s">
        <v>20</v>
      </c>
      <c r="I5640" s="5" t="s">
        <v>12561</v>
      </c>
      <c r="J5640" s="12" t="str">
        <f>HYPERLINK("https://www.boe.es/gazeta/dias/1806/02/14/pdfs/GMD-1806-15.pdf#page=7","Abrir facsímil")</f>
        <v>Abrir facsímil</v>
      </c>
      <c r="K5640" s="15" t="s">
        <v>22</v>
      </c>
    </row>
    <row r="5641" spans="1:11" ht="42" customHeight="1">
      <c r="A5641" s="4" t="s">
        <v>12562</v>
      </c>
      <c r="B5641" s="5" t="s">
        <v>12563</v>
      </c>
      <c r="C5641" s="5" t="s">
        <v>31</v>
      </c>
      <c r="D5641" s="5" t="s">
        <v>32</v>
      </c>
      <c r="E5641" s="5" t="s">
        <v>79</v>
      </c>
      <c r="F5641" s="9">
        <v>68</v>
      </c>
      <c r="G5641" s="9">
        <v>709</v>
      </c>
      <c r="H5641" s="5" t="s">
        <v>20</v>
      </c>
      <c r="I5641" s="5" t="s">
        <v>12564</v>
      </c>
      <c r="J5641" s="12" t="str">
        <f>HYPERLINK("https://www.boe.es/gazeta/dias/1806/08/19/pdfs/GMD-1806-68.pdf#page=5","Abrir facsímil")</f>
        <v>Abrir facsímil</v>
      </c>
      <c r="K5641" s="15" t="s">
        <v>22</v>
      </c>
    </row>
    <row r="5642" spans="1:11" ht="42" customHeight="1">
      <c r="A5642" s="4" t="s">
        <v>12565</v>
      </c>
      <c r="B5642" s="5" t="s">
        <v>12566</v>
      </c>
      <c r="C5642" s="5" t="s">
        <v>69</v>
      </c>
      <c r="D5642" s="5" t="s">
        <v>70</v>
      </c>
      <c r="E5642" s="5" t="s">
        <v>227</v>
      </c>
      <c r="F5642" s="9">
        <v>27</v>
      </c>
      <c r="G5642" s="9">
        <v>268</v>
      </c>
      <c r="H5642" s="5" t="s">
        <v>20</v>
      </c>
      <c r="I5642" s="5" t="s">
        <v>12567</v>
      </c>
      <c r="J5642" s="12" t="str">
        <f>HYPERLINK("https://www.boe.es/gazeta/dias/1806/03/28/pdfs/GMD-1806-27.pdf#page=8","Abrir facsímil")</f>
        <v>Abrir facsímil</v>
      </c>
      <c r="K5642" s="15" t="s">
        <v>22</v>
      </c>
    </row>
    <row r="5643" spans="1:11" ht="42" customHeight="1">
      <c r="A5643" s="4" t="s">
        <v>12568</v>
      </c>
      <c r="B5643" s="5" t="s">
        <v>12569</v>
      </c>
      <c r="C5643" s="5" t="s">
        <v>69</v>
      </c>
      <c r="D5643" s="5" t="s">
        <v>70</v>
      </c>
      <c r="E5643" s="5" t="s">
        <v>474</v>
      </c>
      <c r="F5643" s="9">
        <v>10</v>
      </c>
      <c r="G5643" s="9">
        <v>89</v>
      </c>
      <c r="H5643" s="5" t="s">
        <v>20</v>
      </c>
      <c r="I5643" s="5" t="s">
        <v>12570</v>
      </c>
      <c r="J5643" s="12" t="str">
        <f>HYPERLINK("https://www.boe.es/gazeta/dias/1806/01/28/pdfs/GMD-1806-10.pdf#page=5","Abrir facsímil")</f>
        <v>Abrir facsímil</v>
      </c>
      <c r="K5643" s="15" t="s">
        <v>22</v>
      </c>
    </row>
    <row r="5644" spans="1:11" ht="42" customHeight="1">
      <c r="A5644" s="4" t="s">
        <v>12568</v>
      </c>
      <c r="B5644" s="5" t="s">
        <v>12569</v>
      </c>
      <c r="C5644" s="5" t="s">
        <v>17</v>
      </c>
      <c r="D5644" s="5" t="s">
        <v>18</v>
      </c>
      <c r="E5644" s="5" t="s">
        <v>144</v>
      </c>
      <c r="F5644" s="9">
        <v>79</v>
      </c>
      <c r="G5644" s="9">
        <v>818</v>
      </c>
      <c r="H5644" s="5" t="s">
        <v>20</v>
      </c>
      <c r="I5644" s="5" t="s">
        <v>12571</v>
      </c>
      <c r="J5644" s="12" t="str">
        <f>HYPERLINK("https://www.boe.es/gazeta/dias/1806/09/26/pdfs/GMD-1806-79.pdf#page=10","Abrir facsímil")</f>
        <v>Abrir facsímil</v>
      </c>
      <c r="K5644" s="15" t="s">
        <v>22</v>
      </c>
    </row>
    <row r="5645" spans="1:11" ht="42" customHeight="1">
      <c r="A5645" s="4" t="s">
        <v>12572</v>
      </c>
      <c r="B5645" s="5" t="s">
        <v>12573</v>
      </c>
      <c r="C5645" s="5" t="s">
        <v>69</v>
      </c>
      <c r="D5645" s="5" t="s">
        <v>70</v>
      </c>
      <c r="E5645" s="5" t="s">
        <v>148</v>
      </c>
      <c r="F5645" s="9">
        <v>78</v>
      </c>
      <c r="G5645" s="9">
        <v>800</v>
      </c>
      <c r="H5645" s="5" t="s">
        <v>20</v>
      </c>
      <c r="I5645" s="5" t="s">
        <v>12574</v>
      </c>
      <c r="J5645" s="12" t="str">
        <f>HYPERLINK("https://www.boe.es/gazeta/dias/1806/09/23/pdfs/GMD-1806-78.pdf#page=4","Abrir facsímil")</f>
        <v>Abrir facsímil</v>
      </c>
      <c r="K5645" s="15" t="s">
        <v>22</v>
      </c>
    </row>
    <row r="5646" spans="1:11" ht="42" customHeight="1">
      <c r="A5646" s="4" t="s">
        <v>12575</v>
      </c>
      <c r="B5646" s="5" t="s">
        <v>12576</v>
      </c>
      <c r="C5646" s="5" t="s">
        <v>69</v>
      </c>
      <c r="D5646" s="5" t="s">
        <v>70</v>
      </c>
      <c r="E5646" s="5" t="s">
        <v>59</v>
      </c>
      <c r="F5646" s="9">
        <v>21</v>
      </c>
      <c r="G5646" s="9">
        <v>194</v>
      </c>
      <c r="H5646" s="5" t="s">
        <v>20</v>
      </c>
      <c r="I5646" s="5" t="s">
        <v>12577</v>
      </c>
      <c r="J5646" s="12" t="str">
        <f>HYPERLINK("https://www.boe.es/gazeta/dias/1806/03/07/pdfs/GMD-1806-21.pdf#page=6","Abrir facsímil")</f>
        <v>Abrir facsímil</v>
      </c>
      <c r="K5646" s="15" t="s">
        <v>22</v>
      </c>
    </row>
    <row r="5647" spans="1:11" ht="42" customHeight="1">
      <c r="A5647" s="4" t="s">
        <v>12575</v>
      </c>
      <c r="B5647" s="5" t="s">
        <v>12576</v>
      </c>
      <c r="C5647" s="5" t="s">
        <v>69</v>
      </c>
      <c r="D5647" s="5" t="s">
        <v>70</v>
      </c>
      <c r="E5647" s="5" t="s">
        <v>870</v>
      </c>
      <c r="F5647" s="9">
        <v>35</v>
      </c>
      <c r="G5647" s="9">
        <v>341</v>
      </c>
      <c r="H5647" s="5" t="s">
        <v>20</v>
      </c>
      <c r="I5647" s="5" t="s">
        <v>12578</v>
      </c>
      <c r="J5647" s="12" t="str">
        <f>HYPERLINK("https://www.boe.es/gazeta/dias/1806/04/25/pdfs/GMD-1806-35.pdf#page=5","Abrir facsímil")</f>
        <v>Abrir facsímil</v>
      </c>
      <c r="K5647" s="15" t="s">
        <v>22</v>
      </c>
    </row>
    <row r="5648" spans="1:11" ht="42" customHeight="1">
      <c r="A5648" s="4" t="s">
        <v>12575</v>
      </c>
      <c r="B5648" s="5" t="s">
        <v>12576</v>
      </c>
      <c r="C5648" s="5" t="s">
        <v>31</v>
      </c>
      <c r="D5648" s="5" t="s">
        <v>32</v>
      </c>
      <c r="E5648" s="5" t="s">
        <v>62</v>
      </c>
      <c r="F5648" s="9">
        <v>45</v>
      </c>
      <c r="G5648" s="9">
        <v>455</v>
      </c>
      <c r="H5648" s="5" t="s">
        <v>20</v>
      </c>
      <c r="I5648" s="5" t="s">
        <v>12579</v>
      </c>
      <c r="J5648" s="12" t="str">
        <f>HYPERLINK("https://www.boe.es/gazeta/dias/1806/05/30/pdfs/GMD-1806-45.pdf#page=7","Abrir facsímil")</f>
        <v>Abrir facsímil</v>
      </c>
      <c r="K5648" s="15" t="s">
        <v>22</v>
      </c>
    </row>
    <row r="5649" spans="1:11" ht="42" customHeight="1">
      <c r="A5649" s="4" t="s">
        <v>12575</v>
      </c>
      <c r="B5649" s="5" t="s">
        <v>12576</v>
      </c>
      <c r="C5649" s="5" t="s">
        <v>69</v>
      </c>
      <c r="D5649" s="5" t="s">
        <v>70</v>
      </c>
      <c r="E5649" s="5" t="s">
        <v>1080</v>
      </c>
      <c r="F5649" s="9">
        <v>49</v>
      </c>
      <c r="G5649" s="9">
        <v>504</v>
      </c>
      <c r="H5649" s="5" t="s">
        <v>20</v>
      </c>
      <c r="I5649" s="5" t="s">
        <v>12580</v>
      </c>
      <c r="J5649" s="12" t="str">
        <f>HYPERLINK("https://www.boe.es/gazeta/dias/1806/06/13/pdfs/GMD-1806-49.pdf#page=4","Abrir facsímil")</f>
        <v>Abrir facsímil</v>
      </c>
      <c r="K5649" s="15" t="s">
        <v>22</v>
      </c>
    </row>
    <row r="5650" spans="1:11" ht="42" customHeight="1">
      <c r="A5650" s="4" t="s">
        <v>12575</v>
      </c>
      <c r="B5650" s="5" t="s">
        <v>12576</v>
      </c>
      <c r="C5650" s="5" t="s">
        <v>75</v>
      </c>
      <c r="D5650" s="5" t="s">
        <v>43</v>
      </c>
      <c r="E5650" s="5" t="s">
        <v>859</v>
      </c>
      <c r="F5650" s="9">
        <v>63</v>
      </c>
      <c r="G5650" s="9">
        <v>658</v>
      </c>
      <c r="H5650" s="5" t="s">
        <v>20</v>
      </c>
      <c r="I5650" s="5" t="s">
        <v>12581</v>
      </c>
      <c r="J5650" s="12" t="str">
        <f>HYPERLINK("https://www.boe.es/gazeta/dias/1806/08/01/pdfs/GMD-1806-63.pdf#page=6","Abrir facsímil")</f>
        <v>Abrir facsímil</v>
      </c>
      <c r="K5650" s="15" t="s">
        <v>22</v>
      </c>
    </row>
    <row r="5651" spans="1:11" ht="42" customHeight="1">
      <c r="A5651" s="4" t="s">
        <v>12575</v>
      </c>
      <c r="B5651" s="5" t="s">
        <v>12576</v>
      </c>
      <c r="C5651" s="5" t="s">
        <v>17</v>
      </c>
      <c r="D5651" s="5" t="s">
        <v>18</v>
      </c>
      <c r="E5651" s="5" t="s">
        <v>26</v>
      </c>
      <c r="F5651" s="9">
        <v>65</v>
      </c>
      <c r="G5651" s="9">
        <v>679</v>
      </c>
      <c r="H5651" s="5" t="s">
        <v>20</v>
      </c>
      <c r="I5651" s="5" t="s">
        <v>12582</v>
      </c>
      <c r="J5651" s="12" t="str">
        <f>HYPERLINK("https://www.boe.es/gazeta/dias/1806/08/08/pdfs/GMD-1806-65.pdf#page=7","Abrir facsímil")</f>
        <v>Abrir facsímil</v>
      </c>
      <c r="K5651" s="15" t="s">
        <v>22</v>
      </c>
    </row>
    <row r="5652" spans="1:11" ht="42" customHeight="1">
      <c r="A5652" s="4" t="s">
        <v>12575</v>
      </c>
      <c r="B5652" s="5" t="s">
        <v>12576</v>
      </c>
      <c r="C5652" s="5" t="s">
        <v>69</v>
      </c>
      <c r="D5652" s="5" t="s">
        <v>70</v>
      </c>
      <c r="E5652" s="5" t="s">
        <v>297</v>
      </c>
      <c r="F5652" s="9">
        <v>94</v>
      </c>
      <c r="G5652" s="9">
        <v>985</v>
      </c>
      <c r="H5652" s="5" t="s">
        <v>20</v>
      </c>
      <c r="I5652" s="5" t="s">
        <v>12583</v>
      </c>
      <c r="J5652" s="12" t="str">
        <f>HYPERLINK("https://www.boe.es/gazeta/dias/1806/11/18/pdfs/GMD-1806-94.pdf#page=5","Abrir facsímil")</f>
        <v>Abrir facsímil</v>
      </c>
      <c r="K5652" s="15" t="s">
        <v>22</v>
      </c>
    </row>
    <row r="5653" spans="1:11" ht="42" customHeight="1">
      <c r="A5653" s="4" t="s">
        <v>12584</v>
      </c>
      <c r="B5653" s="5" t="s">
        <v>12584</v>
      </c>
      <c r="C5653" s="5" t="s">
        <v>31</v>
      </c>
      <c r="D5653" s="5" t="s">
        <v>32</v>
      </c>
      <c r="E5653" s="5" t="s">
        <v>55</v>
      </c>
      <c r="F5653" s="9">
        <v>20</v>
      </c>
      <c r="G5653" s="9">
        <v>185</v>
      </c>
      <c r="H5653" s="5" t="s">
        <v>20</v>
      </c>
      <c r="I5653" s="5" t="s">
        <v>12585</v>
      </c>
      <c r="J5653" s="12" t="str">
        <f>HYPERLINK("https://www.boe.es/gazeta/dias/1806/03/04/pdfs/GMD-1806-20.pdf#page=9","Abrir facsímil")</f>
        <v>Abrir facsímil</v>
      </c>
      <c r="K5653" s="15" t="s">
        <v>22</v>
      </c>
    </row>
    <row r="5654" spans="1:11" ht="42" customHeight="1">
      <c r="A5654" s="4" t="s">
        <v>12586</v>
      </c>
      <c r="B5654" s="5" t="s">
        <v>12586</v>
      </c>
      <c r="C5654" s="5" t="s">
        <v>17</v>
      </c>
      <c r="D5654" s="5" t="s">
        <v>18</v>
      </c>
      <c r="E5654" s="5" t="s">
        <v>178</v>
      </c>
      <c r="F5654" s="9">
        <v>36</v>
      </c>
      <c r="G5654" s="9">
        <v>350</v>
      </c>
      <c r="H5654" s="5" t="s">
        <v>20</v>
      </c>
      <c r="I5654" s="5" t="s">
        <v>12587</v>
      </c>
      <c r="J5654" s="12" t="str">
        <f>HYPERLINK("https://www.boe.es/gazeta/dias/1806/04/29/pdfs/GMD-1806-36.pdf#page=6","Abrir facsímil")</f>
        <v>Abrir facsímil</v>
      </c>
      <c r="K5654" s="15" t="s">
        <v>22</v>
      </c>
    </row>
    <row r="5655" spans="1:11" ht="42" customHeight="1">
      <c r="A5655" s="4" t="s">
        <v>12588</v>
      </c>
      <c r="B5655" s="5" t="s">
        <v>12589</v>
      </c>
      <c r="C5655" s="5" t="s">
        <v>17</v>
      </c>
      <c r="D5655" s="5" t="s">
        <v>18</v>
      </c>
      <c r="E5655" s="5" t="s">
        <v>600</v>
      </c>
      <c r="F5655" s="9">
        <v>77</v>
      </c>
      <c r="G5655" s="9">
        <v>794</v>
      </c>
      <c r="H5655" s="5" t="s">
        <v>20</v>
      </c>
      <c r="I5655" s="5" t="s">
        <v>12590</v>
      </c>
      <c r="J5655" s="12" t="str">
        <f>HYPERLINK("https://www.boe.es/gazeta/dias/1806/09/19/pdfs/GMD-1806-77.pdf#page=6","Abrir facsímil")</f>
        <v>Abrir facsímil</v>
      </c>
      <c r="K5655" s="15" t="s">
        <v>22</v>
      </c>
    </row>
    <row r="5656" spans="1:11" ht="42" customHeight="1">
      <c r="A5656" s="4" t="s">
        <v>12591</v>
      </c>
      <c r="B5656" s="5" t="s">
        <v>12592</v>
      </c>
      <c r="C5656" s="5" t="s">
        <v>42</v>
      </c>
      <c r="D5656" s="5" t="s">
        <v>43</v>
      </c>
      <c r="E5656" s="5" t="s">
        <v>297</v>
      </c>
      <c r="F5656" s="9">
        <v>94</v>
      </c>
      <c r="G5656" s="9">
        <v>989</v>
      </c>
      <c r="H5656" s="5" t="s">
        <v>20</v>
      </c>
      <c r="I5656" s="5" t="s">
        <v>12593</v>
      </c>
      <c r="J5656" s="12" t="str">
        <f>HYPERLINK("https://www.boe.es/gazeta/dias/1806/11/18/pdfs/GMD-1806-94.pdf#page=9","Abrir facsímil")</f>
        <v>Abrir facsímil</v>
      </c>
      <c r="K5656" s="15" t="s">
        <v>22</v>
      </c>
    </row>
    <row r="5657" spans="1:11" ht="42" customHeight="1">
      <c r="A5657" s="4" t="s">
        <v>12594</v>
      </c>
      <c r="B5657" s="5" t="s">
        <v>12595</v>
      </c>
      <c r="C5657" s="5" t="s">
        <v>17</v>
      </c>
      <c r="D5657" s="5" t="s">
        <v>18</v>
      </c>
      <c r="E5657" s="5" t="s">
        <v>438</v>
      </c>
      <c r="F5657" s="9">
        <v>70</v>
      </c>
      <c r="G5657" s="9">
        <v>728</v>
      </c>
      <c r="H5657" s="5" t="s">
        <v>20</v>
      </c>
      <c r="I5657" s="5" t="s">
        <v>12596</v>
      </c>
      <c r="J5657" s="12" t="str">
        <f>HYPERLINK("https://www.boe.es/gazeta/dias/1806/08/26/pdfs/GMD-1806-70.pdf#page=4","Abrir facsímil")</f>
        <v>Abrir facsímil</v>
      </c>
      <c r="K5657" s="15" t="s">
        <v>22</v>
      </c>
    </row>
    <row r="5658" spans="1:11" ht="42" customHeight="1">
      <c r="A5658" s="4" t="s">
        <v>12597</v>
      </c>
      <c r="B5658" s="5" t="s">
        <v>12598</v>
      </c>
      <c r="C5658" s="5" t="s">
        <v>42</v>
      </c>
      <c r="D5658" s="5" t="s">
        <v>43</v>
      </c>
      <c r="E5658" s="5" t="s">
        <v>33</v>
      </c>
      <c r="F5658" s="9">
        <v>82</v>
      </c>
      <c r="G5658" s="9">
        <v>850</v>
      </c>
      <c r="H5658" s="5" t="s">
        <v>20</v>
      </c>
      <c r="I5658" s="5" t="s">
        <v>12599</v>
      </c>
      <c r="J5658" s="12" t="str">
        <f>HYPERLINK("https://www.boe.es/gazeta/dias/1806/10/07/pdfs/GMD-1806-82.pdf#page=10","Abrir facsímil")</f>
        <v>Abrir facsímil</v>
      </c>
      <c r="K5658" s="15" t="s">
        <v>22</v>
      </c>
    </row>
    <row r="5659" spans="1:11" ht="42" customHeight="1">
      <c r="A5659" s="4" t="s">
        <v>12600</v>
      </c>
      <c r="B5659" s="5" t="s">
        <v>12601</v>
      </c>
      <c r="C5659" s="5" t="s">
        <v>31</v>
      </c>
      <c r="D5659" s="5" t="s">
        <v>32</v>
      </c>
      <c r="E5659" s="5" t="s">
        <v>62</v>
      </c>
      <c r="F5659" s="9">
        <v>45</v>
      </c>
      <c r="G5659" s="9">
        <v>453</v>
      </c>
      <c r="H5659" s="5" t="s">
        <v>20</v>
      </c>
      <c r="I5659" s="5" t="s">
        <v>12602</v>
      </c>
      <c r="J5659" s="12" t="str">
        <f>HYPERLINK("https://www.boe.es/gazeta/dias/1806/05/30/pdfs/GMD-1806-45.pdf#page=5","Abrir facsímil")</f>
        <v>Abrir facsímil</v>
      </c>
      <c r="K5659" s="15" t="s">
        <v>22</v>
      </c>
    </row>
    <row r="5660" spans="1:11" ht="42" customHeight="1">
      <c r="A5660" s="4" t="s">
        <v>12603</v>
      </c>
      <c r="B5660" s="5" t="s">
        <v>12604</v>
      </c>
      <c r="C5660" s="5" t="s">
        <v>42</v>
      </c>
      <c r="D5660" s="5" t="s">
        <v>43</v>
      </c>
      <c r="E5660" s="5" t="s">
        <v>669</v>
      </c>
      <c r="F5660" s="9">
        <v>14</v>
      </c>
      <c r="G5660" s="9">
        <v>120</v>
      </c>
      <c r="H5660" s="5" t="s">
        <v>20</v>
      </c>
      <c r="I5660" s="5" t="s">
        <v>12605</v>
      </c>
      <c r="J5660" s="12" t="str">
        <f>HYPERLINK("https://www.boe.es/gazeta/dias/1806/02/11/pdfs/GMD-1806-14.pdf#page=4","Abrir facsímil")</f>
        <v>Abrir facsímil</v>
      </c>
      <c r="K5660" s="15" t="s">
        <v>22</v>
      </c>
    </row>
    <row r="5661" spans="1:11" ht="42" customHeight="1">
      <c r="A5661" s="4" t="s">
        <v>12606</v>
      </c>
      <c r="B5661" s="5" t="s">
        <v>12606</v>
      </c>
      <c r="C5661" s="5" t="s">
        <v>17</v>
      </c>
      <c r="D5661" s="5" t="s">
        <v>18</v>
      </c>
      <c r="E5661" s="5" t="s">
        <v>213</v>
      </c>
      <c r="F5661" s="9">
        <v>73</v>
      </c>
      <c r="G5661" s="9">
        <v>756</v>
      </c>
      <c r="H5661" s="5" t="s">
        <v>20</v>
      </c>
      <c r="I5661" s="5" t="s">
        <v>12607</v>
      </c>
      <c r="J5661" s="12" t="str">
        <f>HYPERLINK("https://www.boe.es/gazeta/dias/1806/09/05/pdfs/GMD-1806-73.pdf#page=4","Abrir facsímil")</f>
        <v>Abrir facsímil</v>
      </c>
      <c r="K5661" s="15" t="s">
        <v>22</v>
      </c>
    </row>
    <row r="5662" spans="1:11" ht="42" customHeight="1">
      <c r="A5662" s="4" t="s">
        <v>12608</v>
      </c>
      <c r="B5662" s="5" t="s">
        <v>12609</v>
      </c>
      <c r="C5662" s="5" t="s">
        <v>447</v>
      </c>
      <c r="D5662" s="5" t="s">
        <v>448</v>
      </c>
      <c r="E5662" s="5" t="s">
        <v>810</v>
      </c>
      <c r="F5662" s="9">
        <v>71</v>
      </c>
      <c r="G5662" s="9" t="s">
        <v>12610</v>
      </c>
      <c r="H5662" s="5" t="s">
        <v>20</v>
      </c>
      <c r="I5662" s="5" t="s">
        <v>12611</v>
      </c>
      <c r="J5662" s="12" t="str">
        <f>HYPERLINK("https://www.boe.es/gazeta/dias/1806/08/29/pdfs/GMD-C-1806-71.pdf#page=8","Abrir facsímil")</f>
        <v>Abrir facsímil</v>
      </c>
      <c r="K5662" s="15" t="s">
        <v>22</v>
      </c>
    </row>
    <row r="5663" spans="1:11" ht="42" customHeight="1">
      <c r="A5663" s="4" t="s">
        <v>12608</v>
      </c>
      <c r="B5663" s="5" t="s">
        <v>12609</v>
      </c>
      <c r="C5663" s="5" t="s">
        <v>17</v>
      </c>
      <c r="D5663" s="5" t="s">
        <v>18</v>
      </c>
      <c r="E5663" s="5" t="s">
        <v>396</v>
      </c>
      <c r="F5663" s="9">
        <v>91</v>
      </c>
      <c r="G5663" s="9">
        <v>945</v>
      </c>
      <c r="H5663" s="5" t="s">
        <v>20</v>
      </c>
      <c r="I5663" s="5" t="s">
        <v>12612</v>
      </c>
      <c r="J5663" s="12" t="str">
        <f>HYPERLINK("https://www.boe.es/gazeta/dias/1806/11/07/pdfs/GMD-1806-91.pdf#page=9","Abrir facsímil")</f>
        <v>Abrir facsímil</v>
      </c>
      <c r="K5663" s="15" t="s">
        <v>22</v>
      </c>
    </row>
    <row r="5664" spans="1:11" ht="42" customHeight="1">
      <c r="A5664" s="4" t="s">
        <v>12613</v>
      </c>
      <c r="B5664" s="5" t="s">
        <v>12613</v>
      </c>
      <c r="C5664" s="5" t="s">
        <v>69</v>
      </c>
      <c r="D5664" s="5" t="s">
        <v>70</v>
      </c>
      <c r="E5664" s="5" t="s">
        <v>383</v>
      </c>
      <c r="F5664" s="9">
        <v>54</v>
      </c>
      <c r="G5664" s="9">
        <v>560</v>
      </c>
      <c r="H5664" s="5" t="s">
        <v>20</v>
      </c>
      <c r="I5664" s="5" t="s">
        <v>12614</v>
      </c>
      <c r="J5664" s="12" t="str">
        <f>HYPERLINK("https://www.boe.es/gazeta/dias/1806/07/01/pdfs/GMD-1806-54.pdf#page=4","Abrir facsímil")</f>
        <v>Abrir facsímil</v>
      </c>
      <c r="K5664" s="15" t="s">
        <v>22</v>
      </c>
    </row>
    <row r="5665" spans="1:11" ht="42" customHeight="1">
      <c r="A5665" s="4" t="s">
        <v>12615</v>
      </c>
      <c r="B5665" s="5" t="s">
        <v>12616</v>
      </c>
      <c r="C5665" s="5" t="s">
        <v>17</v>
      </c>
      <c r="D5665" s="5" t="s">
        <v>18</v>
      </c>
      <c r="E5665" s="5" t="s">
        <v>400</v>
      </c>
      <c r="F5665" s="9">
        <v>22</v>
      </c>
      <c r="G5665" s="9">
        <v>206</v>
      </c>
      <c r="H5665" s="5" t="s">
        <v>20</v>
      </c>
      <c r="I5665" s="5" t="s">
        <v>12617</v>
      </c>
      <c r="J5665" s="12" t="str">
        <f>HYPERLINK("https://www.boe.es/gazeta/dias/1806/03/11/pdfs/GMD-1806-22.pdf#page=6","Abrir facsímil")</f>
        <v>Abrir facsímil</v>
      </c>
      <c r="K5665" s="15" t="s">
        <v>22</v>
      </c>
    </row>
    <row r="5666" spans="1:11" ht="42" customHeight="1">
      <c r="A5666" s="4" t="s">
        <v>12618</v>
      </c>
      <c r="B5666" s="5" t="s">
        <v>12619</v>
      </c>
      <c r="C5666" s="5" t="s">
        <v>69</v>
      </c>
      <c r="D5666" s="5" t="s">
        <v>70</v>
      </c>
      <c r="E5666" s="5" t="s">
        <v>501</v>
      </c>
      <c r="F5666" s="9">
        <v>39</v>
      </c>
      <c r="G5666" s="9">
        <v>380</v>
      </c>
      <c r="H5666" s="5" t="s">
        <v>20</v>
      </c>
      <c r="I5666" s="5" t="s">
        <v>12620</v>
      </c>
      <c r="J5666" s="12" t="str">
        <f>HYPERLINK("https://www.boe.es/gazeta/dias/1806/05/09/pdfs/GMD-1806-39.pdf#page=4","Abrir facsímil")</f>
        <v>Abrir facsímil</v>
      </c>
      <c r="K5666" s="15" t="s">
        <v>22</v>
      </c>
    </row>
    <row r="5667" spans="1:11" ht="42" customHeight="1">
      <c r="A5667" s="4" t="s">
        <v>12621</v>
      </c>
      <c r="B5667" s="5" t="s">
        <v>12621</v>
      </c>
      <c r="C5667" s="5" t="s">
        <v>69</v>
      </c>
      <c r="D5667" s="5" t="s">
        <v>70</v>
      </c>
      <c r="E5667" s="5" t="s">
        <v>348</v>
      </c>
      <c r="F5667" s="9">
        <v>88</v>
      </c>
      <c r="G5667" s="9">
        <v>908</v>
      </c>
      <c r="H5667" s="5" t="s">
        <v>20</v>
      </c>
      <c r="I5667" s="5" t="s">
        <v>12622</v>
      </c>
      <c r="J5667" s="12" t="str">
        <f>HYPERLINK("https://www.boe.es/gazeta/dias/1806/10/28/pdfs/GMD-1806-88.pdf#page=4","Abrir facsímil")</f>
        <v>Abrir facsímil</v>
      </c>
      <c r="K5667" s="15" t="s">
        <v>22</v>
      </c>
    </row>
    <row r="5668" spans="1:11" ht="42" customHeight="1">
      <c r="A5668" s="4" t="s">
        <v>12623</v>
      </c>
      <c r="B5668" s="5" t="s">
        <v>12623</v>
      </c>
      <c r="C5668" s="5" t="s">
        <v>69</v>
      </c>
      <c r="D5668" s="5" t="s">
        <v>70</v>
      </c>
      <c r="E5668" s="5" t="s">
        <v>870</v>
      </c>
      <c r="F5668" s="9">
        <v>35</v>
      </c>
      <c r="G5668" s="9">
        <v>340</v>
      </c>
      <c r="H5668" s="5" t="s">
        <v>20</v>
      </c>
      <c r="I5668" s="5" t="s">
        <v>12624</v>
      </c>
      <c r="J5668" s="12" t="str">
        <f>HYPERLINK("https://www.boe.es/gazeta/dias/1806/04/25/pdfs/GMD-1806-35.pdf#page=4","Abrir facsímil")</f>
        <v>Abrir facsímil</v>
      </c>
      <c r="K5668" s="15" t="s">
        <v>22</v>
      </c>
    </row>
    <row r="5669" spans="1:11" ht="42" customHeight="1">
      <c r="A5669" s="4" t="s">
        <v>12625</v>
      </c>
      <c r="B5669" s="5" t="s">
        <v>12626</v>
      </c>
      <c r="C5669" s="5" t="s">
        <v>69</v>
      </c>
      <c r="D5669" s="5" t="s">
        <v>70</v>
      </c>
      <c r="E5669" s="5" t="s">
        <v>140</v>
      </c>
      <c r="F5669" s="9">
        <v>83</v>
      </c>
      <c r="G5669" s="9">
        <v>857</v>
      </c>
      <c r="H5669" s="5" t="s">
        <v>20</v>
      </c>
      <c r="I5669" s="5" t="s">
        <v>12627</v>
      </c>
      <c r="J5669" s="12" t="str">
        <f>HYPERLINK("https://www.boe.es/gazeta/dias/1806/10/10/pdfs/GMD-1806-83.pdf#page=5","Abrir facsímil")</f>
        <v>Abrir facsímil</v>
      </c>
      <c r="K5669" s="15" t="s">
        <v>22</v>
      </c>
    </row>
    <row r="5670" spans="1:11" ht="42" customHeight="1">
      <c r="A5670" s="4" t="s">
        <v>12628</v>
      </c>
      <c r="B5670" s="5" t="s">
        <v>12629</v>
      </c>
      <c r="C5670" s="5" t="s">
        <v>69</v>
      </c>
      <c r="D5670" s="5" t="s">
        <v>70</v>
      </c>
      <c r="E5670" s="5" t="s">
        <v>140</v>
      </c>
      <c r="F5670" s="9">
        <v>83</v>
      </c>
      <c r="G5670" s="9">
        <v>856</v>
      </c>
      <c r="H5670" s="5" t="s">
        <v>20</v>
      </c>
      <c r="I5670" s="5" t="s">
        <v>12630</v>
      </c>
      <c r="J5670" s="12" t="str">
        <f>HYPERLINK("https://www.boe.es/gazeta/dias/1806/10/10/pdfs/GMD-1806-83.pdf#page=4","Abrir facsímil")</f>
        <v>Abrir facsímil</v>
      </c>
      <c r="K5670" s="15" t="s">
        <v>22</v>
      </c>
    </row>
    <row r="5671" spans="1:11" ht="42" customHeight="1">
      <c r="A5671" s="4" t="s">
        <v>12631</v>
      </c>
      <c r="B5671" s="5" t="s">
        <v>12632</v>
      </c>
      <c r="C5671" s="5" t="s">
        <v>31</v>
      </c>
      <c r="D5671" s="5" t="s">
        <v>32</v>
      </c>
      <c r="E5671" s="5" t="s">
        <v>483</v>
      </c>
      <c r="F5671" s="9">
        <v>58</v>
      </c>
      <c r="G5671" s="9">
        <v>602</v>
      </c>
      <c r="H5671" s="5" t="s">
        <v>20</v>
      </c>
      <c r="I5671" s="5" t="s">
        <v>12633</v>
      </c>
      <c r="J5671" s="12" t="str">
        <f>HYPERLINK("https://www.boe.es/gazeta/dias/1806/07/15/pdfs/GMD-1806-58.pdf#page=6","Abrir facsímil")</f>
        <v>Abrir facsímil</v>
      </c>
      <c r="K5671" s="15" t="s">
        <v>22</v>
      </c>
    </row>
    <row r="5672" spans="1:11" ht="42" customHeight="1">
      <c r="A5672" s="4" t="s">
        <v>12634</v>
      </c>
      <c r="B5672" s="5" t="s">
        <v>12635</v>
      </c>
      <c r="C5672" s="5" t="s">
        <v>17</v>
      </c>
      <c r="D5672" s="5" t="s">
        <v>18</v>
      </c>
      <c r="E5672" s="5" t="s">
        <v>304</v>
      </c>
      <c r="F5672" s="9">
        <v>47</v>
      </c>
      <c r="G5672" s="9">
        <v>477</v>
      </c>
      <c r="H5672" s="5" t="s">
        <v>20</v>
      </c>
      <c r="I5672" s="5" t="s">
        <v>12636</v>
      </c>
      <c r="J5672" s="12" t="str">
        <f>HYPERLINK("https://www.boe.es/gazeta/dias/1806/06/06/pdfs/GMD-1806-47.pdf#page=5","Abrir facsímil")</f>
        <v>Abrir facsímil</v>
      </c>
      <c r="K5672" s="15" t="s">
        <v>22</v>
      </c>
    </row>
    <row r="5673" spans="1:11" ht="42" customHeight="1">
      <c r="A5673" s="4" t="s">
        <v>12637</v>
      </c>
      <c r="B5673" s="5" t="s">
        <v>12638</v>
      </c>
      <c r="C5673" s="5" t="s">
        <v>69</v>
      </c>
      <c r="D5673" s="5" t="s">
        <v>70</v>
      </c>
      <c r="E5673" s="5" t="s">
        <v>55</v>
      </c>
      <c r="F5673" s="9">
        <v>20</v>
      </c>
      <c r="G5673" s="9">
        <v>181</v>
      </c>
      <c r="H5673" s="5" t="s">
        <v>20</v>
      </c>
      <c r="I5673" s="5" t="s">
        <v>12639</v>
      </c>
      <c r="J5673" s="12" t="str">
        <f>HYPERLINK("https://www.boe.es/gazeta/dias/1806/03/04/pdfs/GMD-1806-20.pdf#page=5","Abrir facsímil")</f>
        <v>Abrir facsímil</v>
      </c>
      <c r="K5673" s="15" t="s">
        <v>22</v>
      </c>
    </row>
    <row r="5674" spans="1:11" ht="42" customHeight="1">
      <c r="A5674" s="4" t="s">
        <v>12640</v>
      </c>
      <c r="B5674" s="5" t="s">
        <v>12641</v>
      </c>
      <c r="C5674" s="5" t="s">
        <v>69</v>
      </c>
      <c r="D5674" s="5" t="s">
        <v>70</v>
      </c>
      <c r="E5674" s="5" t="s">
        <v>1005</v>
      </c>
      <c r="F5674" s="9">
        <v>76</v>
      </c>
      <c r="G5674" s="9">
        <v>784</v>
      </c>
      <c r="H5674" s="5" t="s">
        <v>20</v>
      </c>
      <c r="I5674" s="5" t="s">
        <v>12642</v>
      </c>
      <c r="J5674" s="12" t="str">
        <f>HYPERLINK("https://www.boe.es/gazeta/dias/1806/09/16/pdfs/GMD-1806-76.pdf#page=4","Abrir facsímil")</f>
        <v>Abrir facsímil</v>
      </c>
      <c r="K5674" s="15" t="s">
        <v>22</v>
      </c>
    </row>
    <row r="5675" spans="1:11" ht="42" customHeight="1">
      <c r="A5675" s="4" t="s">
        <v>12643</v>
      </c>
      <c r="B5675" s="5" t="s">
        <v>12644</v>
      </c>
      <c r="C5675" s="5" t="s">
        <v>69</v>
      </c>
      <c r="D5675" s="5" t="s">
        <v>70</v>
      </c>
      <c r="E5675" s="5" t="s">
        <v>312</v>
      </c>
      <c r="F5675" s="9">
        <v>100</v>
      </c>
      <c r="G5675" s="9">
        <v>1060</v>
      </c>
      <c r="H5675" s="5" t="s">
        <v>20</v>
      </c>
      <c r="I5675" s="5" t="s">
        <v>12645</v>
      </c>
      <c r="J5675" s="12" t="str">
        <f>HYPERLINK("https://www.boe.es/gazeta/dias/1806/12/09/pdfs/GMD-1806-100.pdf#page=4","Abrir facsímil")</f>
        <v>Abrir facsímil</v>
      </c>
      <c r="K5675" s="15" t="s">
        <v>22</v>
      </c>
    </row>
    <row r="5676" spans="1:11" ht="42" customHeight="1">
      <c r="A5676" s="4" t="s">
        <v>12646</v>
      </c>
      <c r="B5676" s="5" t="s">
        <v>12647</v>
      </c>
      <c r="C5676" s="5" t="s">
        <v>69</v>
      </c>
      <c r="D5676" s="5" t="s">
        <v>70</v>
      </c>
      <c r="E5676" s="5" t="s">
        <v>144</v>
      </c>
      <c r="F5676" s="9">
        <v>79</v>
      </c>
      <c r="G5676" s="9">
        <v>810</v>
      </c>
      <c r="H5676" s="5" t="s">
        <v>20</v>
      </c>
      <c r="I5676" s="5" t="s">
        <v>12648</v>
      </c>
      <c r="J5676" s="12" t="str">
        <f>HYPERLINK("https://www.boe.es/gazeta/dias/1806/09/26/pdfs/GMD-1806-79.pdf#page=2","Abrir facsímil")</f>
        <v>Abrir facsímil</v>
      </c>
      <c r="K5676" s="15" t="s">
        <v>22</v>
      </c>
    </row>
    <row r="5677" spans="1:11" ht="42" customHeight="1">
      <c r="A5677" s="4" t="s">
        <v>12649</v>
      </c>
      <c r="B5677" s="5" t="s">
        <v>12650</v>
      </c>
      <c r="C5677" s="5" t="s">
        <v>75</v>
      </c>
      <c r="D5677" s="5" t="s">
        <v>43</v>
      </c>
      <c r="E5677" s="5" t="s">
        <v>554</v>
      </c>
      <c r="F5677" s="9">
        <v>90</v>
      </c>
      <c r="G5677" s="9">
        <v>929</v>
      </c>
      <c r="H5677" s="5" t="s">
        <v>20</v>
      </c>
      <c r="I5677" s="5" t="s">
        <v>12651</v>
      </c>
      <c r="J5677" s="12" t="str">
        <f>HYPERLINK("https://www.boe.es/gazeta/dias/1806/11/04/pdfs/GMD-1806-90.pdf#page=5","Abrir facsímil")</f>
        <v>Abrir facsímil</v>
      </c>
      <c r="K5677" s="15" t="s">
        <v>22</v>
      </c>
    </row>
    <row r="5678" spans="1:11" ht="42" customHeight="1">
      <c r="A5678" s="4" t="s">
        <v>12652</v>
      </c>
      <c r="B5678" s="5" t="s">
        <v>12653</v>
      </c>
      <c r="C5678" s="5" t="s">
        <v>31</v>
      </c>
      <c r="D5678" s="5" t="s">
        <v>32</v>
      </c>
      <c r="E5678" s="5" t="s">
        <v>285</v>
      </c>
      <c r="F5678" s="9">
        <v>13</v>
      </c>
      <c r="G5678" s="9">
        <v>112</v>
      </c>
      <c r="H5678" s="5" t="s">
        <v>20</v>
      </c>
      <c r="I5678" s="5" t="s">
        <v>12654</v>
      </c>
      <c r="J5678" s="12" t="str">
        <f>HYPERLINK("https://www.boe.es/gazeta/dias/1806/02/07/pdfs/GMD-1806-13.pdf#page=4","Abrir facsímil")</f>
        <v>Abrir facsímil</v>
      </c>
      <c r="K5678" s="15" t="s">
        <v>22</v>
      </c>
    </row>
    <row r="5679" spans="1:11" ht="42" customHeight="1">
      <c r="A5679" s="4" t="s">
        <v>12655</v>
      </c>
      <c r="B5679" s="5" t="s">
        <v>12656</v>
      </c>
      <c r="C5679" s="5" t="s">
        <v>17</v>
      </c>
      <c r="D5679" s="5" t="s">
        <v>18</v>
      </c>
      <c r="E5679" s="5" t="s">
        <v>689</v>
      </c>
      <c r="F5679" s="9">
        <v>37</v>
      </c>
      <c r="G5679" s="9">
        <v>356</v>
      </c>
      <c r="H5679" s="5" t="s">
        <v>20</v>
      </c>
      <c r="I5679" s="5" t="s">
        <v>12657</v>
      </c>
      <c r="J5679" s="12" t="str">
        <f>HYPERLINK("https://www.boe.es/gazeta/dias/1806/05/02/pdfs/GMD-1806-37.pdf#page=4","Abrir facsímil")</f>
        <v>Abrir facsímil</v>
      </c>
      <c r="K5679" s="15" t="s">
        <v>22</v>
      </c>
    </row>
    <row r="5680" spans="1:11" ht="42" customHeight="1">
      <c r="A5680" s="4" t="s">
        <v>12658</v>
      </c>
      <c r="B5680" s="5" t="s">
        <v>12659</v>
      </c>
      <c r="C5680" s="5" t="s">
        <v>69</v>
      </c>
      <c r="D5680" s="5" t="s">
        <v>70</v>
      </c>
      <c r="E5680" s="5" t="s">
        <v>540</v>
      </c>
      <c r="F5680" s="9">
        <v>51</v>
      </c>
      <c r="G5680" s="9">
        <v>524</v>
      </c>
      <c r="H5680" s="5" t="s">
        <v>20</v>
      </c>
      <c r="I5680" s="5" t="s">
        <v>12660</v>
      </c>
      <c r="J5680" s="12" t="str">
        <f>HYPERLINK("https://www.boe.es/gazeta/dias/1806/06/20/pdfs/GMD-1806-51.pdf#page=4","Abrir facsímil")</f>
        <v>Abrir facsímil</v>
      </c>
      <c r="K5680" s="15" t="s">
        <v>22</v>
      </c>
    </row>
    <row r="5681" spans="1:11" ht="42" customHeight="1">
      <c r="A5681" s="4" t="s">
        <v>12661</v>
      </c>
      <c r="B5681" s="5" t="s">
        <v>12661</v>
      </c>
      <c r="C5681" s="5" t="s">
        <v>75</v>
      </c>
      <c r="D5681" s="5" t="s">
        <v>43</v>
      </c>
      <c r="E5681" s="5" t="s">
        <v>144</v>
      </c>
      <c r="F5681" s="9">
        <v>79</v>
      </c>
      <c r="G5681" s="9">
        <v>811</v>
      </c>
      <c r="H5681" s="5" t="s">
        <v>20</v>
      </c>
      <c r="I5681" s="5" t="s">
        <v>12662</v>
      </c>
      <c r="J5681" s="12" t="str">
        <f>HYPERLINK("https://www.boe.es/gazeta/dias/1806/09/26/pdfs/GMD-1806-79.pdf#page=3","Abrir facsímil")</f>
        <v>Abrir facsímil</v>
      </c>
      <c r="K5681" s="15" t="s">
        <v>22</v>
      </c>
    </row>
    <row r="5682" spans="1:11" ht="42" customHeight="1">
      <c r="A5682" s="4" t="s">
        <v>12663</v>
      </c>
      <c r="B5682" s="5" t="s">
        <v>12664</v>
      </c>
      <c r="C5682" s="5" t="s">
        <v>31</v>
      </c>
      <c r="D5682" s="5" t="s">
        <v>32</v>
      </c>
      <c r="E5682" s="5" t="s">
        <v>1778</v>
      </c>
      <c r="F5682" s="9">
        <v>16</v>
      </c>
      <c r="G5682" s="9">
        <v>139</v>
      </c>
      <c r="H5682" s="5" t="s">
        <v>20</v>
      </c>
      <c r="I5682" s="5" t="s">
        <v>12665</v>
      </c>
      <c r="J5682" s="12" t="str">
        <f>HYPERLINK("https://www.boe.es/gazeta/dias/1806/02/18/pdfs/GMD-1806-16.pdf#page=3","Abrir facsímil")</f>
        <v>Abrir facsímil</v>
      </c>
      <c r="K5682" s="15" t="s">
        <v>22</v>
      </c>
    </row>
    <row r="5683" spans="1:11" ht="42" customHeight="1">
      <c r="A5683" s="4" t="s">
        <v>12666</v>
      </c>
      <c r="B5683" s="5" t="s">
        <v>12667</v>
      </c>
      <c r="C5683" s="5" t="s">
        <v>31</v>
      </c>
      <c r="D5683" s="5" t="s">
        <v>32</v>
      </c>
      <c r="E5683" s="5" t="s">
        <v>304</v>
      </c>
      <c r="F5683" s="9">
        <v>47</v>
      </c>
      <c r="G5683" s="9">
        <v>476</v>
      </c>
      <c r="H5683" s="5" t="s">
        <v>20</v>
      </c>
      <c r="I5683" s="5" t="s">
        <v>12668</v>
      </c>
      <c r="J5683" s="12" t="str">
        <f>HYPERLINK("https://www.boe.es/gazeta/dias/1806/06/06/pdfs/GMD-1806-47.pdf#page=4","Abrir facsímil")</f>
        <v>Abrir facsímil</v>
      </c>
      <c r="K5683" s="15" t="s">
        <v>22</v>
      </c>
    </row>
    <row r="5684" spans="1:11" ht="42" customHeight="1">
      <c r="A5684" s="4" t="s">
        <v>12669</v>
      </c>
      <c r="B5684" s="5" t="s">
        <v>12670</v>
      </c>
      <c r="C5684" s="5" t="s">
        <v>69</v>
      </c>
      <c r="D5684" s="5" t="s">
        <v>70</v>
      </c>
      <c r="E5684" s="5" t="s">
        <v>51</v>
      </c>
      <c r="F5684" s="9">
        <v>44</v>
      </c>
      <c r="G5684" s="9">
        <v>440</v>
      </c>
      <c r="H5684" s="5" t="s">
        <v>20</v>
      </c>
      <c r="I5684" s="5" t="s">
        <v>12671</v>
      </c>
      <c r="J5684" s="12" t="str">
        <f>HYPERLINK("https://www.boe.es/gazeta/dias/1806/05/27/pdfs/GMD-1806-44.pdf#page=4","Abrir facsímil")</f>
        <v>Abrir facsímil</v>
      </c>
      <c r="K5684" s="15" t="s">
        <v>22</v>
      </c>
    </row>
    <row r="5685" spans="1:11" ht="42" customHeight="1">
      <c r="A5685" s="4" t="s">
        <v>12669</v>
      </c>
      <c r="B5685" s="5" t="s">
        <v>12670</v>
      </c>
      <c r="C5685" s="5" t="s">
        <v>69</v>
      </c>
      <c r="D5685" s="5" t="s">
        <v>70</v>
      </c>
      <c r="E5685" s="5" t="s">
        <v>306</v>
      </c>
      <c r="F5685" s="9">
        <v>59</v>
      </c>
      <c r="G5685" s="9">
        <v>609</v>
      </c>
      <c r="H5685" s="5" t="s">
        <v>20</v>
      </c>
      <c r="I5685" s="5" t="s">
        <v>12672</v>
      </c>
      <c r="J5685" s="12" t="str">
        <f>HYPERLINK("https://www.boe.es/gazeta/dias/1806/07/18/pdfs/GMD-1806-59.pdf#page=5","Abrir facsímil")</f>
        <v>Abrir facsímil</v>
      </c>
      <c r="K5685" s="15" t="s">
        <v>22</v>
      </c>
    </row>
    <row r="5686" spans="1:11" ht="42" customHeight="1">
      <c r="A5686" s="4" t="s">
        <v>12673</v>
      </c>
      <c r="B5686" s="5" t="s">
        <v>12674</v>
      </c>
      <c r="C5686" s="5" t="s">
        <v>69</v>
      </c>
      <c r="D5686" s="5" t="s">
        <v>70</v>
      </c>
      <c r="E5686" s="5" t="s">
        <v>405</v>
      </c>
      <c r="F5686" s="9">
        <v>80</v>
      </c>
      <c r="G5686" s="9">
        <v>821</v>
      </c>
      <c r="H5686" s="5" t="s">
        <v>20</v>
      </c>
      <c r="I5686" s="5" t="s">
        <v>12675</v>
      </c>
      <c r="J5686" s="12" t="str">
        <f>HYPERLINK("https://www.boe.es/gazeta/dias/1806/09/30/pdfs/GMD-1806-80.pdf#page=1","Abrir facsímil")</f>
        <v>Abrir facsímil</v>
      </c>
      <c r="K5686" s="15" t="s">
        <v>22</v>
      </c>
    </row>
    <row r="5687" spans="1:11" ht="42" customHeight="1">
      <c r="A5687" s="4" t="s">
        <v>12676</v>
      </c>
      <c r="B5687" s="5" t="s">
        <v>12676</v>
      </c>
      <c r="C5687" s="5" t="s">
        <v>69</v>
      </c>
      <c r="D5687" s="5" t="s">
        <v>70</v>
      </c>
      <c r="E5687" s="5" t="s">
        <v>870</v>
      </c>
      <c r="F5687" s="9">
        <v>35</v>
      </c>
      <c r="G5687" s="9">
        <v>339</v>
      </c>
      <c r="H5687" s="5" t="s">
        <v>20</v>
      </c>
      <c r="I5687" s="5" t="s">
        <v>12677</v>
      </c>
      <c r="J5687" s="12" t="str">
        <f>HYPERLINK("https://www.boe.es/gazeta/dias/1806/04/25/pdfs/GMD-1806-35.pdf#page=3","Abrir facsímil")</f>
        <v>Abrir facsímil</v>
      </c>
      <c r="K5687" s="15" t="s">
        <v>22</v>
      </c>
    </row>
    <row r="5688" spans="1:11" ht="42" customHeight="1">
      <c r="A5688" s="4" t="s">
        <v>12678</v>
      </c>
      <c r="B5688" s="5" t="s">
        <v>12678</v>
      </c>
      <c r="C5688" s="5" t="s">
        <v>31</v>
      </c>
      <c r="D5688" s="5" t="s">
        <v>32</v>
      </c>
      <c r="E5688" s="5" t="s">
        <v>870</v>
      </c>
      <c r="F5688" s="9">
        <v>35</v>
      </c>
      <c r="G5688" s="9">
        <v>338</v>
      </c>
      <c r="H5688" s="5" t="s">
        <v>20</v>
      </c>
      <c r="I5688" s="5" t="s">
        <v>12679</v>
      </c>
      <c r="J5688" s="12" t="str">
        <f>HYPERLINK("https://www.boe.es/gazeta/dias/1806/04/25/pdfs/GMD-1806-35.pdf#page=2","Abrir facsímil")</f>
        <v>Abrir facsímil</v>
      </c>
      <c r="K5688" s="15" t="s">
        <v>22</v>
      </c>
    </row>
    <row r="5689" spans="1:11" ht="42" customHeight="1">
      <c r="A5689" s="4" t="s">
        <v>12678</v>
      </c>
      <c r="B5689" s="5" t="s">
        <v>12678</v>
      </c>
      <c r="C5689" s="5" t="s">
        <v>69</v>
      </c>
      <c r="D5689" s="5" t="s">
        <v>70</v>
      </c>
      <c r="E5689" s="5" t="s">
        <v>870</v>
      </c>
      <c r="F5689" s="9">
        <v>35</v>
      </c>
      <c r="G5689" s="9">
        <v>339</v>
      </c>
      <c r="H5689" s="5" t="s">
        <v>20</v>
      </c>
      <c r="I5689" s="5" t="s">
        <v>12680</v>
      </c>
      <c r="J5689" s="12" t="str">
        <f>HYPERLINK("https://www.boe.es/gazeta/dias/1806/04/25/pdfs/GMD-1806-35.pdf#page=3","Abrir facsímil")</f>
        <v>Abrir facsímil</v>
      </c>
      <c r="K5689" s="15" t="s">
        <v>22</v>
      </c>
    </row>
    <row r="5690" spans="1:11" ht="42" customHeight="1">
      <c r="A5690" s="4" t="s">
        <v>12678</v>
      </c>
      <c r="B5690" s="5" t="s">
        <v>12678</v>
      </c>
      <c r="C5690" s="5" t="s">
        <v>69</v>
      </c>
      <c r="D5690" s="5" t="s">
        <v>70</v>
      </c>
      <c r="E5690" s="5" t="s">
        <v>870</v>
      </c>
      <c r="F5690" s="9">
        <v>35</v>
      </c>
      <c r="G5690" s="9">
        <v>340</v>
      </c>
      <c r="H5690" s="5" t="s">
        <v>20</v>
      </c>
      <c r="I5690" s="5" t="s">
        <v>12681</v>
      </c>
      <c r="J5690" s="12" t="str">
        <f>HYPERLINK("https://www.boe.es/gazeta/dias/1806/04/25/pdfs/GMD-1806-35.pdf#page=4","Abrir facsímil")</f>
        <v>Abrir facsímil</v>
      </c>
      <c r="K5690" s="15" t="s">
        <v>22</v>
      </c>
    </row>
    <row r="5691" spans="1:11" ht="42" customHeight="1">
      <c r="A5691" s="4" t="s">
        <v>12678</v>
      </c>
      <c r="B5691" s="5" t="s">
        <v>12678</v>
      </c>
      <c r="C5691" s="5" t="s">
        <v>69</v>
      </c>
      <c r="D5691" s="5" t="s">
        <v>70</v>
      </c>
      <c r="E5691" s="5" t="s">
        <v>62</v>
      </c>
      <c r="F5691" s="9">
        <v>45</v>
      </c>
      <c r="G5691" s="9">
        <v>453</v>
      </c>
      <c r="H5691" s="5" t="s">
        <v>20</v>
      </c>
      <c r="I5691" s="5" t="s">
        <v>12682</v>
      </c>
      <c r="J5691" s="12" t="str">
        <f>HYPERLINK("https://www.boe.es/gazeta/dias/1806/05/30/pdfs/GMD-1806-45.pdf#page=5","Abrir facsímil")</f>
        <v>Abrir facsímil</v>
      </c>
      <c r="K5691" s="15" t="s">
        <v>22</v>
      </c>
    </row>
    <row r="5692" spans="1:11" ht="42" customHeight="1">
      <c r="A5692" s="4" t="s">
        <v>12678</v>
      </c>
      <c r="B5692" s="5" t="s">
        <v>12678</v>
      </c>
      <c r="C5692" s="5" t="s">
        <v>69</v>
      </c>
      <c r="D5692" s="5" t="s">
        <v>70</v>
      </c>
      <c r="E5692" s="5" t="s">
        <v>62</v>
      </c>
      <c r="F5692" s="9">
        <v>45</v>
      </c>
      <c r="G5692" s="9">
        <v>454</v>
      </c>
      <c r="H5692" s="5" t="s">
        <v>20</v>
      </c>
      <c r="I5692" s="5" t="s">
        <v>12683</v>
      </c>
      <c r="J5692" s="12" t="str">
        <f>HYPERLINK("https://www.boe.es/gazeta/dias/1806/05/30/pdfs/GMD-1806-45.pdf#page=6","Abrir facsímil")</f>
        <v>Abrir facsímil</v>
      </c>
      <c r="K5692" s="15" t="s">
        <v>22</v>
      </c>
    </row>
    <row r="5693" spans="1:11" ht="42" customHeight="1">
      <c r="A5693" s="4" t="s">
        <v>12678</v>
      </c>
      <c r="B5693" s="5" t="s">
        <v>12678</v>
      </c>
      <c r="C5693" s="5" t="s">
        <v>69</v>
      </c>
      <c r="D5693" s="5" t="s">
        <v>70</v>
      </c>
      <c r="E5693" s="5" t="s">
        <v>205</v>
      </c>
      <c r="F5693" s="9">
        <v>57</v>
      </c>
      <c r="G5693" s="9">
        <v>592</v>
      </c>
      <c r="H5693" s="5" t="s">
        <v>20</v>
      </c>
      <c r="I5693" s="5" t="s">
        <v>12684</v>
      </c>
      <c r="J5693" s="12" t="str">
        <f>HYPERLINK("https://www.boe.es/gazeta/dias/1806/07/11/pdfs/GMD-1806-57.pdf#page=4","Abrir facsímil")</f>
        <v>Abrir facsímil</v>
      </c>
      <c r="K5693" s="15" t="s">
        <v>22</v>
      </c>
    </row>
    <row r="5694" spans="1:11" ht="42" customHeight="1">
      <c r="A5694" s="4" t="s">
        <v>12678</v>
      </c>
      <c r="B5694" s="5" t="s">
        <v>12678</v>
      </c>
      <c r="C5694" s="5" t="s">
        <v>69</v>
      </c>
      <c r="D5694" s="5" t="s">
        <v>70</v>
      </c>
      <c r="E5694" s="5" t="s">
        <v>130</v>
      </c>
      <c r="F5694" s="9">
        <v>66</v>
      </c>
      <c r="G5694" s="9">
        <v>686</v>
      </c>
      <c r="H5694" s="5" t="s">
        <v>20</v>
      </c>
      <c r="I5694" s="5" t="s">
        <v>12685</v>
      </c>
      <c r="J5694" s="12" t="str">
        <f>HYPERLINK("https://www.boe.es/gazeta/dias/1806/08/12/pdfs/GMD-1806-66.pdf#page=2","Abrir facsímil")</f>
        <v>Abrir facsímil</v>
      </c>
      <c r="K5694" s="15" t="s">
        <v>22</v>
      </c>
    </row>
    <row r="5695" spans="1:11" ht="42" customHeight="1">
      <c r="A5695" s="4" t="s">
        <v>12678</v>
      </c>
      <c r="B5695" s="5" t="s">
        <v>12678</v>
      </c>
      <c r="C5695" s="5" t="s">
        <v>36</v>
      </c>
      <c r="D5695" s="5" t="s">
        <v>37</v>
      </c>
      <c r="E5695" s="5" t="s">
        <v>130</v>
      </c>
      <c r="F5695" s="9">
        <v>66</v>
      </c>
      <c r="G5695" s="9">
        <v>687</v>
      </c>
      <c r="H5695" s="5" t="s">
        <v>20</v>
      </c>
      <c r="I5695" s="5" t="s">
        <v>12686</v>
      </c>
      <c r="J5695" s="12" t="str">
        <f>HYPERLINK("https://www.boe.es/gazeta/dias/1806/08/12/pdfs/GMD-1806-66.pdf#page=3","Abrir facsímil")</f>
        <v>Abrir facsímil</v>
      </c>
      <c r="K5695" s="15" t="s">
        <v>22</v>
      </c>
    </row>
    <row r="5696" spans="1:11" ht="42" customHeight="1">
      <c r="A5696" s="4" t="s">
        <v>12678</v>
      </c>
      <c r="B5696" s="5" t="s">
        <v>12678</v>
      </c>
      <c r="C5696" s="5" t="s">
        <v>31</v>
      </c>
      <c r="D5696" s="5" t="s">
        <v>32</v>
      </c>
      <c r="E5696" s="5" t="s">
        <v>396</v>
      </c>
      <c r="F5696" s="9">
        <v>91</v>
      </c>
      <c r="G5696" s="9">
        <v>942</v>
      </c>
      <c r="H5696" s="5" t="s">
        <v>20</v>
      </c>
      <c r="I5696" s="5" t="s">
        <v>12687</v>
      </c>
      <c r="J5696" s="12" t="str">
        <f>HYPERLINK("https://www.boe.es/gazeta/dias/1806/11/07/pdfs/GMD-1806-91.pdf#page=6","Abrir facsímil")</f>
        <v>Abrir facsímil</v>
      </c>
      <c r="K5696" s="15" t="s">
        <v>22</v>
      </c>
    </row>
    <row r="5697" spans="1:11" ht="42" customHeight="1">
      <c r="A5697" s="4" t="s">
        <v>12688</v>
      </c>
      <c r="B5697" s="5" t="s">
        <v>12689</v>
      </c>
      <c r="C5697" s="5" t="s">
        <v>69</v>
      </c>
      <c r="D5697" s="5" t="s">
        <v>70</v>
      </c>
      <c r="E5697" s="5" t="s">
        <v>716</v>
      </c>
      <c r="F5697" s="9">
        <v>56</v>
      </c>
      <c r="G5697" s="9">
        <v>578</v>
      </c>
      <c r="H5697" s="5" t="s">
        <v>20</v>
      </c>
      <c r="I5697" s="5" t="s">
        <v>12690</v>
      </c>
      <c r="J5697" s="12" t="str">
        <f>HYPERLINK("https://www.boe.es/gazeta/dias/1806/07/08/pdfs/GMD-1806-56.pdf#page=2","Abrir facsímil")</f>
        <v>Abrir facsímil</v>
      </c>
      <c r="K5697" s="15" t="s">
        <v>22</v>
      </c>
    </row>
    <row r="5698" spans="1:11" ht="42" customHeight="1">
      <c r="A5698" s="4" t="s">
        <v>12691</v>
      </c>
      <c r="B5698" s="5" t="s">
        <v>12692</v>
      </c>
      <c r="C5698" s="5" t="s">
        <v>36</v>
      </c>
      <c r="D5698" s="5" t="s">
        <v>37</v>
      </c>
      <c r="E5698" s="5" t="s">
        <v>716</v>
      </c>
      <c r="F5698" s="9">
        <v>56</v>
      </c>
      <c r="G5698" s="9">
        <v>578</v>
      </c>
      <c r="H5698" s="5" t="s">
        <v>20</v>
      </c>
      <c r="I5698" s="5" t="s">
        <v>12693</v>
      </c>
      <c r="J5698" s="12" t="str">
        <f>HYPERLINK("https://www.boe.es/gazeta/dias/1806/07/08/pdfs/GMD-1806-56.pdf#page=2","Abrir facsímil")</f>
        <v>Abrir facsímil</v>
      </c>
      <c r="K5698" s="15" t="s">
        <v>22</v>
      </c>
    </row>
    <row r="5699" spans="1:11" ht="42" customHeight="1">
      <c r="A5699" s="4" t="s">
        <v>12691</v>
      </c>
      <c r="B5699" s="5" t="s">
        <v>12692</v>
      </c>
      <c r="C5699" s="5" t="s">
        <v>69</v>
      </c>
      <c r="D5699" s="5" t="s">
        <v>70</v>
      </c>
      <c r="E5699" s="5" t="s">
        <v>103</v>
      </c>
      <c r="F5699" s="9">
        <v>61</v>
      </c>
      <c r="G5699" s="9">
        <v>629</v>
      </c>
      <c r="H5699" s="5" t="s">
        <v>20</v>
      </c>
      <c r="I5699" s="5" t="s">
        <v>12694</v>
      </c>
      <c r="J5699" s="12" t="str">
        <f>HYPERLINK("https://www.boe.es/gazeta/dias/1806/07/25/pdfs/GMD-1806-61.pdf#page=1","Abrir facsímil")</f>
        <v>Abrir facsímil</v>
      </c>
      <c r="K5699" s="15" t="s">
        <v>22</v>
      </c>
    </row>
    <row r="5700" spans="1:11" ht="42" customHeight="1">
      <c r="A5700" s="4" t="s">
        <v>12691</v>
      </c>
      <c r="B5700" s="5" t="s">
        <v>12692</v>
      </c>
      <c r="C5700" s="5" t="s">
        <v>69</v>
      </c>
      <c r="D5700" s="5" t="s">
        <v>70</v>
      </c>
      <c r="E5700" s="5" t="s">
        <v>33</v>
      </c>
      <c r="F5700" s="9">
        <v>82</v>
      </c>
      <c r="G5700" s="9">
        <v>845</v>
      </c>
      <c r="H5700" s="5" t="s">
        <v>20</v>
      </c>
      <c r="I5700" s="5" t="s">
        <v>12695</v>
      </c>
      <c r="J5700" s="12" t="str">
        <f>HYPERLINK("https://www.boe.es/gazeta/dias/1806/10/07/pdfs/GMD-1806-82.pdf#page=5","Abrir facsímil")</f>
        <v>Abrir facsímil</v>
      </c>
      <c r="K5700" s="15" t="s">
        <v>22</v>
      </c>
    </row>
    <row r="5701" spans="1:11" ht="42" customHeight="1">
      <c r="A5701" s="4" t="s">
        <v>12691</v>
      </c>
      <c r="B5701" s="5" t="s">
        <v>12692</v>
      </c>
      <c r="C5701" s="5" t="s">
        <v>69</v>
      </c>
      <c r="D5701" s="5" t="s">
        <v>70</v>
      </c>
      <c r="E5701" s="5" t="s">
        <v>816</v>
      </c>
      <c r="F5701" s="9">
        <v>86</v>
      </c>
      <c r="G5701" s="9">
        <v>888</v>
      </c>
      <c r="H5701" s="5" t="s">
        <v>20</v>
      </c>
      <c r="I5701" s="5" t="s">
        <v>12696</v>
      </c>
      <c r="J5701" s="12" t="str">
        <f>HYPERLINK("https://www.boe.es/gazeta/dias/1806/10/21/pdfs/GMD-1806-86.pdf#page=4","Abrir facsímil")</f>
        <v>Abrir facsímil</v>
      </c>
      <c r="K5701" s="15" t="s">
        <v>22</v>
      </c>
    </row>
    <row r="5702" spans="1:11" ht="42" customHeight="1">
      <c r="A5702" s="4" t="s">
        <v>12697</v>
      </c>
      <c r="B5702" s="5" t="s">
        <v>12698</v>
      </c>
      <c r="C5702" s="5" t="s">
        <v>69</v>
      </c>
      <c r="D5702" s="5" t="s">
        <v>70</v>
      </c>
      <c r="E5702" s="5" t="s">
        <v>136</v>
      </c>
      <c r="F5702" s="9">
        <v>50</v>
      </c>
      <c r="G5702" s="9">
        <v>512</v>
      </c>
      <c r="H5702" s="5" t="s">
        <v>20</v>
      </c>
      <c r="I5702" s="5" t="s">
        <v>12699</v>
      </c>
      <c r="J5702" s="12" t="str">
        <f>HYPERLINK("https://www.boe.es/gazeta/dias/1806/06/17/pdfs/GMD-1806-50.pdf#page=4","Abrir facsímil")</f>
        <v>Abrir facsímil</v>
      </c>
      <c r="K5702" s="15" t="s">
        <v>22</v>
      </c>
    </row>
    <row r="5703" spans="1:11" ht="42" customHeight="1">
      <c r="A5703" s="4" t="s">
        <v>12700</v>
      </c>
      <c r="B5703" s="5" t="s">
        <v>12701</v>
      </c>
      <c r="C5703" s="5" t="s">
        <v>75</v>
      </c>
      <c r="D5703" s="5" t="s">
        <v>43</v>
      </c>
      <c r="E5703" s="5" t="s">
        <v>494</v>
      </c>
      <c r="F5703" s="9">
        <v>69</v>
      </c>
      <c r="G5703" s="9">
        <v>719</v>
      </c>
      <c r="H5703" s="5" t="s">
        <v>20</v>
      </c>
      <c r="I5703" s="5" t="s">
        <v>12702</v>
      </c>
      <c r="J5703" s="12" t="str">
        <f>HYPERLINK("https://www.boe.es/gazeta/dias/1806/08/22/pdfs/GMD-1806-69.pdf#page=7","Abrir facsímil")</f>
        <v>Abrir facsímil</v>
      </c>
      <c r="K5703" s="15" t="s">
        <v>22</v>
      </c>
    </row>
    <row r="5704" spans="1:11" ht="42" customHeight="1">
      <c r="A5704" s="4" t="s">
        <v>12703</v>
      </c>
      <c r="B5704" s="5" t="s">
        <v>12704</v>
      </c>
      <c r="C5704" s="5" t="s">
        <v>69</v>
      </c>
      <c r="D5704" s="5" t="s">
        <v>70</v>
      </c>
      <c r="E5704" s="5" t="s">
        <v>474</v>
      </c>
      <c r="F5704" s="9">
        <v>10</v>
      </c>
      <c r="G5704" s="9">
        <v>88</v>
      </c>
      <c r="H5704" s="5" t="s">
        <v>20</v>
      </c>
      <c r="I5704" s="5" t="s">
        <v>12705</v>
      </c>
      <c r="J5704" s="12" t="str">
        <f>HYPERLINK("https://www.boe.es/gazeta/dias/1806/01/28/pdfs/GMD-1806-10.pdf#page=4","Abrir facsímil")</f>
        <v>Abrir facsímil</v>
      </c>
      <c r="K5704" s="15" t="s">
        <v>22</v>
      </c>
    </row>
    <row r="5705" spans="1:11" ht="42" customHeight="1">
      <c r="A5705" s="4" t="s">
        <v>12706</v>
      </c>
      <c r="B5705" s="5" t="s">
        <v>12707</v>
      </c>
      <c r="C5705" s="5" t="s">
        <v>75</v>
      </c>
      <c r="D5705" s="5" t="s">
        <v>43</v>
      </c>
      <c r="E5705" s="5" t="s">
        <v>136</v>
      </c>
      <c r="F5705" s="9">
        <v>50</v>
      </c>
      <c r="G5705" s="9">
        <v>509</v>
      </c>
      <c r="H5705" s="5" t="s">
        <v>20</v>
      </c>
      <c r="I5705" s="5" t="s">
        <v>12708</v>
      </c>
      <c r="J5705" s="12" t="str">
        <f>HYPERLINK("https://www.boe.es/gazeta/dias/1806/06/17/pdfs/GMD-1806-50.pdf#page=1","Abrir facsímil")</f>
        <v>Abrir facsímil</v>
      </c>
      <c r="K5705" s="15" t="s">
        <v>22</v>
      </c>
    </row>
    <row r="5706" spans="1:11" ht="42" customHeight="1">
      <c r="A5706" s="4" t="s">
        <v>12709</v>
      </c>
      <c r="B5706" s="5" t="s">
        <v>12710</v>
      </c>
      <c r="C5706" s="5" t="s">
        <v>69</v>
      </c>
      <c r="D5706" s="5" t="s">
        <v>70</v>
      </c>
      <c r="E5706" s="5" t="s">
        <v>127</v>
      </c>
      <c r="F5706" s="9">
        <v>81</v>
      </c>
      <c r="G5706" s="9">
        <v>836</v>
      </c>
      <c r="H5706" s="5" t="s">
        <v>20</v>
      </c>
      <c r="I5706" s="5" t="s">
        <v>12711</v>
      </c>
      <c r="J5706" s="12" t="str">
        <f>HYPERLINK("https://www.boe.es/gazeta/dias/1806/10/03/pdfs/GMD-1806-81.pdf#page=4","Abrir facsímil")</f>
        <v>Abrir facsímil</v>
      </c>
      <c r="K5706" s="15" t="s">
        <v>22</v>
      </c>
    </row>
    <row r="5707" spans="1:11" ht="42" customHeight="1">
      <c r="A5707" s="4" t="s">
        <v>12712</v>
      </c>
      <c r="B5707" s="5" t="s">
        <v>12712</v>
      </c>
      <c r="C5707" s="5" t="s">
        <v>69</v>
      </c>
      <c r="D5707" s="5" t="s">
        <v>70</v>
      </c>
      <c r="E5707" s="5" t="s">
        <v>859</v>
      </c>
      <c r="F5707" s="9">
        <v>63</v>
      </c>
      <c r="G5707" s="9">
        <v>657</v>
      </c>
      <c r="H5707" s="5" t="s">
        <v>20</v>
      </c>
      <c r="I5707" s="5" t="s">
        <v>12713</v>
      </c>
      <c r="J5707" s="12" t="str">
        <f>HYPERLINK("https://www.boe.es/gazeta/dias/1806/08/01/pdfs/GMD-1806-63.pdf#page=5","Abrir facsímil")</f>
        <v>Abrir facsímil</v>
      </c>
      <c r="K5707" s="15" t="s">
        <v>22</v>
      </c>
    </row>
    <row r="5708" spans="1:11" ht="42" customHeight="1">
      <c r="A5708" s="4" t="s">
        <v>12714</v>
      </c>
      <c r="B5708" s="5" t="s">
        <v>12714</v>
      </c>
      <c r="C5708" s="5" t="s">
        <v>69</v>
      </c>
      <c r="D5708" s="5" t="s">
        <v>70</v>
      </c>
      <c r="E5708" s="5" t="s">
        <v>1568</v>
      </c>
      <c r="F5708" s="9">
        <v>84</v>
      </c>
      <c r="G5708" s="9">
        <v>866</v>
      </c>
      <c r="H5708" s="5" t="s">
        <v>20</v>
      </c>
      <c r="I5708" s="5" t="s">
        <v>12715</v>
      </c>
      <c r="J5708" s="12" t="str">
        <f>HYPERLINK("https://www.boe.es/gazeta/dias/1806/10/14/pdfs/GMD-1806-84.pdf#page=2","Abrir facsímil")</f>
        <v>Abrir facsímil</v>
      </c>
      <c r="K5708" s="15" t="s">
        <v>22</v>
      </c>
    </row>
    <row r="5709" spans="1:11" ht="42" customHeight="1">
      <c r="A5709" s="4" t="s">
        <v>12716</v>
      </c>
      <c r="B5709" s="5" t="s">
        <v>12717</v>
      </c>
      <c r="C5709" s="5" t="s">
        <v>69</v>
      </c>
      <c r="D5709" s="5" t="s">
        <v>70</v>
      </c>
      <c r="E5709" s="5" t="s">
        <v>405</v>
      </c>
      <c r="F5709" s="9">
        <v>80</v>
      </c>
      <c r="G5709" s="9">
        <v>824</v>
      </c>
      <c r="H5709" s="5" t="s">
        <v>20</v>
      </c>
      <c r="I5709" s="5" t="s">
        <v>12718</v>
      </c>
      <c r="J5709" s="12" t="str">
        <f>HYPERLINK("https://www.boe.es/gazeta/dias/1806/09/30/pdfs/GMD-1806-80.pdf#page=4","Abrir facsímil")</f>
        <v>Abrir facsímil</v>
      </c>
      <c r="K5709" s="15" t="s">
        <v>22</v>
      </c>
    </row>
    <row r="5710" spans="1:11" ht="42" customHeight="1">
      <c r="A5710" s="4" t="s">
        <v>12719</v>
      </c>
      <c r="B5710" s="5" t="s">
        <v>12720</v>
      </c>
      <c r="C5710" s="5" t="s">
        <v>69</v>
      </c>
      <c r="D5710" s="5" t="s">
        <v>70</v>
      </c>
      <c r="E5710" s="5" t="s">
        <v>82</v>
      </c>
      <c r="F5710" s="9">
        <v>48</v>
      </c>
      <c r="G5710" s="9">
        <v>492</v>
      </c>
      <c r="H5710" s="5" t="s">
        <v>20</v>
      </c>
      <c r="I5710" s="5" t="s">
        <v>12721</v>
      </c>
      <c r="J5710" s="12" t="str">
        <f>HYPERLINK("https://www.boe.es/gazeta/dias/1806/06/10/pdfs/GMD-1806-48.pdf#page=4","Abrir facsímil")</f>
        <v>Abrir facsímil</v>
      </c>
      <c r="K5710" s="15" t="s">
        <v>22</v>
      </c>
    </row>
    <row r="5711" spans="1:11" ht="42" customHeight="1">
      <c r="A5711" s="4" t="s">
        <v>12719</v>
      </c>
      <c r="B5711" s="5" t="s">
        <v>12720</v>
      </c>
      <c r="C5711" s="5" t="s">
        <v>17</v>
      </c>
      <c r="D5711" s="5" t="s">
        <v>18</v>
      </c>
      <c r="E5711" s="5" t="s">
        <v>306</v>
      </c>
      <c r="F5711" s="9">
        <v>59</v>
      </c>
      <c r="G5711" s="9">
        <v>612</v>
      </c>
      <c r="H5711" s="5" t="s">
        <v>20</v>
      </c>
      <c r="I5711" s="5" t="s">
        <v>12722</v>
      </c>
      <c r="J5711" s="12" t="str">
        <f>HYPERLINK("https://www.boe.es/gazeta/dias/1806/07/18/pdfs/GMD-1806-59.pdf#page=8","Abrir facsímil")</f>
        <v>Abrir facsímil</v>
      </c>
      <c r="K5711" s="15" t="s">
        <v>22</v>
      </c>
    </row>
    <row r="5712" spans="1:11" ht="42" customHeight="1">
      <c r="A5712" s="4" t="s">
        <v>12719</v>
      </c>
      <c r="B5712" s="5" t="s">
        <v>12720</v>
      </c>
      <c r="C5712" s="5" t="s">
        <v>69</v>
      </c>
      <c r="D5712" s="5" t="s">
        <v>70</v>
      </c>
      <c r="E5712" s="5" t="s">
        <v>96</v>
      </c>
      <c r="F5712" s="9">
        <v>62</v>
      </c>
      <c r="G5712" s="9">
        <v>646</v>
      </c>
      <c r="H5712" s="5" t="s">
        <v>20</v>
      </c>
      <c r="I5712" s="5" t="s">
        <v>12723</v>
      </c>
      <c r="J5712" s="12" t="str">
        <f>HYPERLINK("https://www.boe.es/gazeta/dias/1806/07/29/pdfs/GMD-1806-62.pdf#page=6","Abrir facsímil")</f>
        <v>Abrir facsímil</v>
      </c>
      <c r="K5712" s="15" t="s">
        <v>22</v>
      </c>
    </row>
    <row r="5713" spans="1:11" ht="42" customHeight="1">
      <c r="A5713" s="4" t="s">
        <v>12719</v>
      </c>
      <c r="B5713" s="5" t="s">
        <v>12720</v>
      </c>
      <c r="C5713" s="5" t="s">
        <v>69</v>
      </c>
      <c r="D5713" s="5" t="s">
        <v>70</v>
      </c>
      <c r="E5713" s="5" t="s">
        <v>148</v>
      </c>
      <c r="F5713" s="9">
        <v>78</v>
      </c>
      <c r="G5713" s="9">
        <v>800</v>
      </c>
      <c r="H5713" s="5" t="s">
        <v>20</v>
      </c>
      <c r="I5713" s="5" t="s">
        <v>12724</v>
      </c>
      <c r="J5713" s="12" t="str">
        <f>HYPERLINK("https://www.boe.es/gazeta/dias/1806/09/23/pdfs/GMD-1806-78.pdf#page=4","Abrir facsímil")</f>
        <v>Abrir facsímil</v>
      </c>
      <c r="K5713" s="15" t="s">
        <v>22</v>
      </c>
    </row>
    <row r="5714" spans="1:11" ht="42" customHeight="1">
      <c r="A5714" s="4" t="s">
        <v>12719</v>
      </c>
      <c r="B5714" s="5" t="s">
        <v>12720</v>
      </c>
      <c r="C5714" s="5" t="s">
        <v>17</v>
      </c>
      <c r="D5714" s="5" t="s">
        <v>18</v>
      </c>
      <c r="E5714" s="5" t="s">
        <v>816</v>
      </c>
      <c r="F5714" s="9">
        <v>86</v>
      </c>
      <c r="G5714" s="9">
        <v>889</v>
      </c>
      <c r="H5714" s="5" t="s">
        <v>20</v>
      </c>
      <c r="I5714" s="5" t="s">
        <v>12725</v>
      </c>
      <c r="J5714" s="12" t="str">
        <f>HYPERLINK("https://www.boe.es/gazeta/dias/1806/10/21/pdfs/GMD-1806-86.pdf#page=5","Abrir facsímil")</f>
        <v>Abrir facsímil</v>
      </c>
      <c r="K5714" s="15" t="s">
        <v>22</v>
      </c>
    </row>
    <row r="5715" spans="1:11" ht="42" customHeight="1">
      <c r="A5715" s="4" t="s">
        <v>12726</v>
      </c>
      <c r="B5715" s="5" t="s">
        <v>12726</v>
      </c>
      <c r="C5715" s="5" t="s">
        <v>36</v>
      </c>
      <c r="D5715" s="5" t="s">
        <v>37</v>
      </c>
      <c r="E5715" s="5" t="s">
        <v>82</v>
      </c>
      <c r="F5715" s="9">
        <v>48</v>
      </c>
      <c r="G5715" s="9">
        <v>499</v>
      </c>
      <c r="H5715" s="5" t="s">
        <v>20</v>
      </c>
      <c r="I5715" s="5" t="s">
        <v>12727</v>
      </c>
      <c r="J5715" s="12" t="str">
        <f>HYPERLINK("https://www.boe.es/gazeta/dias/1806/06/10/pdfs/GMD-1806-48.pdf#page=11","Abrir facsímil")</f>
        <v>Abrir facsímil</v>
      </c>
      <c r="K5715" s="15" t="s">
        <v>22</v>
      </c>
    </row>
    <row r="5716" spans="1:11" ht="42" customHeight="1">
      <c r="A5716" s="4" t="s">
        <v>12728</v>
      </c>
      <c r="B5716" s="5" t="s">
        <v>12728</v>
      </c>
      <c r="C5716" s="5" t="s">
        <v>69</v>
      </c>
      <c r="D5716" s="5" t="s">
        <v>70</v>
      </c>
      <c r="E5716" s="5" t="s">
        <v>483</v>
      </c>
      <c r="F5716" s="9">
        <v>58</v>
      </c>
      <c r="G5716" s="9">
        <v>599</v>
      </c>
      <c r="H5716" s="5" t="s">
        <v>20</v>
      </c>
      <c r="I5716" s="5" t="s">
        <v>12729</v>
      </c>
      <c r="J5716" s="12" t="str">
        <f>HYPERLINK("https://www.boe.es/gazeta/dias/1806/07/15/pdfs/GMD-1806-58.pdf#page=3","Abrir facsímil")</f>
        <v>Abrir facsímil</v>
      </c>
      <c r="K5716" s="15" t="s">
        <v>22</v>
      </c>
    </row>
    <row r="5717" spans="1:11" ht="42" customHeight="1">
      <c r="A5717" s="4" t="s">
        <v>12730</v>
      </c>
      <c r="B5717" s="5" t="s">
        <v>12731</v>
      </c>
      <c r="C5717" s="5" t="s">
        <v>69</v>
      </c>
      <c r="D5717" s="5" t="s">
        <v>70</v>
      </c>
      <c r="E5717" s="5" t="s">
        <v>136</v>
      </c>
      <c r="F5717" s="9">
        <v>50</v>
      </c>
      <c r="G5717" s="9">
        <v>509</v>
      </c>
      <c r="H5717" s="5" t="s">
        <v>20</v>
      </c>
      <c r="I5717" s="5" t="s">
        <v>12732</v>
      </c>
      <c r="J5717" s="12" t="str">
        <f>HYPERLINK("https://www.boe.es/gazeta/dias/1806/06/17/pdfs/GMD-1806-50.pdf#page=1","Abrir facsímil")</f>
        <v>Abrir facsímil</v>
      </c>
      <c r="K5717" s="15" t="s">
        <v>22</v>
      </c>
    </row>
    <row r="5718" spans="1:11" ht="42" customHeight="1">
      <c r="A5718" s="4" t="s">
        <v>12730</v>
      </c>
      <c r="B5718" s="5" t="s">
        <v>12731</v>
      </c>
      <c r="C5718" s="5" t="s">
        <v>69</v>
      </c>
      <c r="D5718" s="5" t="s">
        <v>70</v>
      </c>
      <c r="E5718" s="5" t="s">
        <v>136</v>
      </c>
      <c r="F5718" s="9">
        <v>50</v>
      </c>
      <c r="G5718" s="9">
        <v>512</v>
      </c>
      <c r="H5718" s="5" t="s">
        <v>20</v>
      </c>
      <c r="I5718" s="5" t="s">
        <v>12733</v>
      </c>
      <c r="J5718" s="12" t="str">
        <f>HYPERLINK("https://www.boe.es/gazeta/dias/1806/06/17/pdfs/GMD-1806-50.pdf#page=4","Abrir facsímil")</f>
        <v>Abrir facsímil</v>
      </c>
      <c r="K5718" s="15" t="s">
        <v>22</v>
      </c>
    </row>
    <row r="5719" spans="1:11" ht="42" customHeight="1">
      <c r="A5719" s="4" t="s">
        <v>12734</v>
      </c>
      <c r="B5719" s="5" t="s">
        <v>12734</v>
      </c>
      <c r="C5719" s="5" t="s">
        <v>69</v>
      </c>
      <c r="D5719" s="5" t="s">
        <v>70</v>
      </c>
      <c r="E5719" s="5" t="s">
        <v>396</v>
      </c>
      <c r="F5719" s="9">
        <v>91</v>
      </c>
      <c r="G5719" s="9">
        <v>941</v>
      </c>
      <c r="H5719" s="5" t="s">
        <v>20</v>
      </c>
      <c r="I5719" s="5" t="s">
        <v>12735</v>
      </c>
      <c r="J5719" s="12" t="str">
        <f>HYPERLINK("https://www.boe.es/gazeta/dias/1806/11/07/pdfs/GMD-1806-91.pdf#page=5","Abrir facsímil")</f>
        <v>Abrir facsímil</v>
      </c>
      <c r="K5719" s="15" t="s">
        <v>22</v>
      </c>
    </row>
    <row r="5720" spans="1:11" ht="42" customHeight="1">
      <c r="A5720" s="4" t="s">
        <v>12736</v>
      </c>
      <c r="B5720" s="5" t="s">
        <v>12737</v>
      </c>
      <c r="C5720" s="5" t="s">
        <v>17</v>
      </c>
      <c r="D5720" s="5" t="s">
        <v>18</v>
      </c>
      <c r="E5720" s="5" t="s">
        <v>202</v>
      </c>
      <c r="F5720" s="9">
        <v>30</v>
      </c>
      <c r="G5720" s="9">
        <v>294</v>
      </c>
      <c r="H5720" s="5" t="s">
        <v>20</v>
      </c>
      <c r="I5720" s="5" t="s">
        <v>12738</v>
      </c>
      <c r="J5720" s="12" t="str">
        <f>HYPERLINK("https://www.boe.es/gazeta/dias/1806/04/08/pdfs/GMD-1806-30.pdf#page=6","Abrir facsímil")</f>
        <v>Abrir facsímil</v>
      </c>
      <c r="K5720" s="15" t="s">
        <v>22</v>
      </c>
    </row>
    <row r="5721" spans="1:11" ht="42" customHeight="1">
      <c r="A5721" s="4" t="s">
        <v>12739</v>
      </c>
      <c r="B5721" s="5" t="s">
        <v>12739</v>
      </c>
      <c r="C5721" s="5" t="s">
        <v>31</v>
      </c>
      <c r="D5721" s="5" t="s">
        <v>32</v>
      </c>
      <c r="E5721" s="5" t="s">
        <v>55</v>
      </c>
      <c r="F5721" s="9">
        <v>20</v>
      </c>
      <c r="G5721" s="9">
        <v>181</v>
      </c>
      <c r="H5721" s="5" t="s">
        <v>20</v>
      </c>
      <c r="I5721" s="5" t="s">
        <v>12740</v>
      </c>
      <c r="J5721" s="12" t="str">
        <f>HYPERLINK("https://www.boe.es/gazeta/dias/1806/03/04/pdfs/GMD-1806-20.pdf#page=5","Abrir facsímil")</f>
        <v>Abrir facsímil</v>
      </c>
      <c r="K5721" s="15" t="s">
        <v>22</v>
      </c>
    </row>
    <row r="5722" spans="1:11" ht="42" customHeight="1">
      <c r="A5722" s="4" t="s">
        <v>12741</v>
      </c>
      <c r="B5722" s="5" t="s">
        <v>12741</v>
      </c>
      <c r="C5722" s="5" t="s">
        <v>69</v>
      </c>
      <c r="D5722" s="5" t="s">
        <v>70</v>
      </c>
      <c r="E5722" s="5" t="s">
        <v>172</v>
      </c>
      <c r="F5722" s="9">
        <v>17</v>
      </c>
      <c r="G5722" s="9">
        <v>149</v>
      </c>
      <c r="H5722" s="5" t="s">
        <v>20</v>
      </c>
      <c r="I5722" s="5" t="s">
        <v>12742</v>
      </c>
      <c r="J5722" s="12" t="str">
        <f>HYPERLINK("https://www.boe.es/gazeta/dias/1806/02/21/pdfs/GMD-1806-17.pdf#page=5","Abrir facsímil")</f>
        <v>Abrir facsímil</v>
      </c>
      <c r="K5722" s="15" t="s">
        <v>22</v>
      </c>
    </row>
    <row r="5723" spans="1:11" ht="42" customHeight="1">
      <c r="A5723" s="4" t="s">
        <v>12741</v>
      </c>
      <c r="B5723" s="5" t="s">
        <v>12741</v>
      </c>
      <c r="C5723" s="5" t="s">
        <v>36</v>
      </c>
      <c r="D5723" s="5" t="s">
        <v>37</v>
      </c>
      <c r="E5723" s="5" t="s">
        <v>238</v>
      </c>
      <c r="F5723" s="9">
        <v>18</v>
      </c>
      <c r="G5723" s="9">
        <v>155</v>
      </c>
      <c r="H5723" s="5" t="s">
        <v>20</v>
      </c>
      <c r="I5723" s="5" t="s">
        <v>12743</v>
      </c>
      <c r="J5723" s="12" t="str">
        <f>HYPERLINK("https://www.boe.es/gazeta/dias/1806/02/25/pdfs/GMD-1806-18.pdf#page=3","Abrir facsímil")</f>
        <v>Abrir facsímil</v>
      </c>
      <c r="K5723" s="15" t="s">
        <v>22</v>
      </c>
    </row>
    <row r="5724" spans="1:11" ht="42" customHeight="1">
      <c r="A5724" s="4" t="s">
        <v>12741</v>
      </c>
      <c r="B5724" s="5" t="s">
        <v>12741</v>
      </c>
      <c r="C5724" s="5" t="s">
        <v>69</v>
      </c>
      <c r="D5724" s="5" t="s">
        <v>70</v>
      </c>
      <c r="E5724" s="5" t="s">
        <v>238</v>
      </c>
      <c r="F5724" s="9">
        <v>18</v>
      </c>
      <c r="G5724" s="9">
        <v>157</v>
      </c>
      <c r="H5724" s="5" t="s">
        <v>20</v>
      </c>
      <c r="I5724" s="5" t="s">
        <v>12744</v>
      </c>
      <c r="J5724" s="12" t="str">
        <f>HYPERLINK("https://www.boe.es/gazeta/dias/1806/02/25/pdfs/GMD-1806-18.pdf#page=5","Abrir facsímil")</f>
        <v>Abrir facsímil</v>
      </c>
      <c r="K5724" s="15" t="s">
        <v>22</v>
      </c>
    </row>
    <row r="5725" spans="1:11" ht="42" customHeight="1">
      <c r="A5725" s="4" t="s">
        <v>12741</v>
      </c>
      <c r="B5725" s="5" t="s">
        <v>12741</v>
      </c>
      <c r="C5725" s="5" t="s">
        <v>69</v>
      </c>
      <c r="D5725" s="5" t="s">
        <v>70</v>
      </c>
      <c r="E5725" s="5" t="s">
        <v>124</v>
      </c>
      <c r="F5725" s="9">
        <v>25</v>
      </c>
      <c r="G5725" s="9">
        <v>240</v>
      </c>
      <c r="H5725" s="5" t="s">
        <v>20</v>
      </c>
      <c r="I5725" s="5" t="s">
        <v>12745</v>
      </c>
      <c r="J5725" s="12" t="str">
        <f>HYPERLINK("https://www.boe.es/gazeta/dias/1806/03/21/pdfs/GMD-1806-25.pdf#page=4","Abrir facsímil")</f>
        <v>Abrir facsímil</v>
      </c>
      <c r="K5725" s="15" t="s">
        <v>22</v>
      </c>
    </row>
    <row r="5726" spans="1:11" ht="42" customHeight="1">
      <c r="A5726" s="4" t="s">
        <v>12741</v>
      </c>
      <c r="B5726" s="5" t="s">
        <v>12741</v>
      </c>
      <c r="C5726" s="5" t="s">
        <v>31</v>
      </c>
      <c r="D5726" s="5" t="s">
        <v>32</v>
      </c>
      <c r="E5726" s="5" t="s">
        <v>227</v>
      </c>
      <c r="F5726" s="9">
        <v>27</v>
      </c>
      <c r="G5726" s="9">
        <v>264</v>
      </c>
      <c r="H5726" s="5" t="s">
        <v>20</v>
      </c>
      <c r="I5726" s="5" t="s">
        <v>12746</v>
      </c>
      <c r="J5726" s="12" t="str">
        <f>HYPERLINK("https://www.boe.es/gazeta/dias/1806/03/28/pdfs/GMD-1806-27.pdf#page=4","Abrir facsímil")</f>
        <v>Abrir facsímil</v>
      </c>
      <c r="K5726" s="15" t="s">
        <v>22</v>
      </c>
    </row>
    <row r="5727" spans="1:11" ht="42" customHeight="1">
      <c r="A5727" s="4" t="s">
        <v>12741</v>
      </c>
      <c r="B5727" s="5" t="s">
        <v>12741</v>
      </c>
      <c r="C5727" s="5" t="s">
        <v>69</v>
      </c>
      <c r="D5727" s="5" t="s">
        <v>70</v>
      </c>
      <c r="E5727" s="5" t="s">
        <v>175</v>
      </c>
      <c r="F5727" s="9">
        <v>40</v>
      </c>
      <c r="G5727" s="9">
        <v>392</v>
      </c>
      <c r="H5727" s="5" t="s">
        <v>20</v>
      </c>
      <c r="I5727" s="5" t="s">
        <v>12747</v>
      </c>
      <c r="J5727" s="12" t="str">
        <f>HYPERLINK("https://www.boe.es/gazeta/dias/1806/05/13/pdfs/GMD-1806-40.pdf#page=4","Abrir facsímil")</f>
        <v>Abrir facsímil</v>
      </c>
      <c r="K5727" s="15" t="s">
        <v>22</v>
      </c>
    </row>
    <row r="5728" spans="1:11" ht="42" customHeight="1">
      <c r="A5728" s="4" t="s">
        <v>12741</v>
      </c>
      <c r="B5728" s="5" t="s">
        <v>12741</v>
      </c>
      <c r="C5728" s="5" t="s">
        <v>69</v>
      </c>
      <c r="D5728" s="5" t="s">
        <v>70</v>
      </c>
      <c r="E5728" s="5" t="s">
        <v>62</v>
      </c>
      <c r="F5728" s="9">
        <v>45</v>
      </c>
      <c r="G5728" s="9">
        <v>454</v>
      </c>
      <c r="H5728" s="5" t="s">
        <v>20</v>
      </c>
      <c r="I5728" s="5" t="s">
        <v>12748</v>
      </c>
      <c r="J5728" s="12" t="str">
        <f>HYPERLINK("https://www.boe.es/gazeta/dias/1806/05/30/pdfs/GMD-1806-45.pdf#page=6","Abrir facsímil")</f>
        <v>Abrir facsímil</v>
      </c>
      <c r="K5728" s="15" t="s">
        <v>22</v>
      </c>
    </row>
    <row r="5729" spans="1:11" ht="42" customHeight="1">
      <c r="A5729" s="4" t="s">
        <v>12741</v>
      </c>
      <c r="B5729" s="5" t="s">
        <v>12741</v>
      </c>
      <c r="C5729" s="5" t="s">
        <v>69</v>
      </c>
      <c r="D5729" s="5" t="s">
        <v>70</v>
      </c>
      <c r="E5729" s="5" t="s">
        <v>279</v>
      </c>
      <c r="F5729" s="9">
        <v>52</v>
      </c>
      <c r="G5729" s="9">
        <v>537</v>
      </c>
      <c r="H5729" s="5" t="s">
        <v>20</v>
      </c>
      <c r="I5729" s="5" t="s">
        <v>12749</v>
      </c>
      <c r="J5729" s="12" t="str">
        <f>HYPERLINK("https://www.boe.es/gazeta/dias/1806/06/24/pdfs/GMD-1806-52.pdf#page=5","Abrir facsímil")</f>
        <v>Abrir facsímil</v>
      </c>
      <c r="K5729" s="15" t="s">
        <v>22</v>
      </c>
    </row>
    <row r="5730" spans="1:11" ht="42" customHeight="1">
      <c r="A5730" s="4" t="s">
        <v>12741</v>
      </c>
      <c r="B5730" s="5" t="s">
        <v>12741</v>
      </c>
      <c r="C5730" s="5" t="s">
        <v>69</v>
      </c>
      <c r="D5730" s="5" t="s">
        <v>70</v>
      </c>
      <c r="E5730" s="5" t="s">
        <v>86</v>
      </c>
      <c r="F5730" s="9">
        <v>53</v>
      </c>
      <c r="G5730" s="9">
        <v>549</v>
      </c>
      <c r="H5730" s="5" t="s">
        <v>20</v>
      </c>
      <c r="I5730" s="5" t="s">
        <v>12750</v>
      </c>
      <c r="J5730" s="12" t="str">
        <f>HYPERLINK("https://www.boe.es/gazeta/dias/1806/06/27/pdfs/GMD-1806-53.pdf#page=5","Abrir facsímil")</f>
        <v>Abrir facsímil</v>
      </c>
      <c r="K5730" s="15" t="s">
        <v>22</v>
      </c>
    </row>
    <row r="5731" spans="1:11" ht="42" customHeight="1">
      <c r="A5731" s="4" t="s">
        <v>12741</v>
      </c>
      <c r="B5731" s="5" t="s">
        <v>12741</v>
      </c>
      <c r="C5731" s="5" t="s">
        <v>69</v>
      </c>
      <c r="D5731" s="5" t="s">
        <v>70</v>
      </c>
      <c r="E5731" s="5" t="s">
        <v>434</v>
      </c>
      <c r="F5731" s="9">
        <v>74</v>
      </c>
      <c r="G5731" s="9">
        <v>763</v>
      </c>
      <c r="H5731" s="5" t="s">
        <v>20</v>
      </c>
      <c r="I5731" s="5" t="s">
        <v>12751</v>
      </c>
      <c r="J5731" s="12" t="str">
        <f>HYPERLINK("https://www.boe.es/gazeta/dias/1806/09/09/pdfs/GMD-1806-74.pdf#page=3","Abrir facsímil")</f>
        <v>Abrir facsímil</v>
      </c>
      <c r="K5731" s="15" t="s">
        <v>22</v>
      </c>
    </row>
    <row r="5732" spans="1:11" ht="42" customHeight="1">
      <c r="A5732" s="4" t="s">
        <v>12741</v>
      </c>
      <c r="B5732" s="5" t="s">
        <v>12741</v>
      </c>
      <c r="C5732" s="5" t="s">
        <v>31</v>
      </c>
      <c r="D5732" s="5" t="s">
        <v>32</v>
      </c>
      <c r="E5732" s="5" t="s">
        <v>455</v>
      </c>
      <c r="F5732" s="9">
        <v>85</v>
      </c>
      <c r="G5732" s="9">
        <v>878</v>
      </c>
      <c r="H5732" s="5" t="s">
        <v>20</v>
      </c>
      <c r="I5732" s="5" t="s">
        <v>12752</v>
      </c>
      <c r="J5732" s="12" t="str">
        <f>HYPERLINK("https://www.boe.es/gazeta/dias/1806/10/17/pdfs/GMD-1806-85.pdf#page=6","Abrir facsímil")</f>
        <v>Abrir facsímil</v>
      </c>
      <c r="K5732" s="15" t="s">
        <v>22</v>
      </c>
    </row>
    <row r="5733" spans="1:11" ht="42" customHeight="1">
      <c r="A5733" s="4" t="s">
        <v>12753</v>
      </c>
      <c r="B5733" s="5" t="s">
        <v>12753</v>
      </c>
      <c r="C5733" s="5" t="s">
        <v>69</v>
      </c>
      <c r="D5733" s="5" t="s">
        <v>70</v>
      </c>
      <c r="E5733" s="5" t="s">
        <v>348</v>
      </c>
      <c r="F5733" s="9">
        <v>88</v>
      </c>
      <c r="G5733" s="9">
        <v>909</v>
      </c>
      <c r="H5733" s="5" t="s">
        <v>20</v>
      </c>
      <c r="I5733" s="5" t="s">
        <v>12754</v>
      </c>
      <c r="J5733" s="12" t="str">
        <f>HYPERLINK("https://www.boe.es/gazeta/dias/1806/10/28/pdfs/GMD-1806-88.pdf#page=5","Abrir facsímil")</f>
        <v>Abrir facsímil</v>
      </c>
      <c r="K5733" s="15" t="s">
        <v>22</v>
      </c>
    </row>
    <row r="5734" spans="1:11" ht="42" customHeight="1">
      <c r="A5734" s="4" t="s">
        <v>12755</v>
      </c>
      <c r="B5734" s="5" t="s">
        <v>12755</v>
      </c>
      <c r="C5734" s="5" t="s">
        <v>69</v>
      </c>
      <c r="D5734" s="5" t="s">
        <v>70</v>
      </c>
      <c r="E5734" s="5" t="s">
        <v>405</v>
      </c>
      <c r="F5734" s="9">
        <v>80</v>
      </c>
      <c r="G5734" s="9">
        <v>824</v>
      </c>
      <c r="H5734" s="5" t="s">
        <v>20</v>
      </c>
      <c r="I5734" s="5" t="s">
        <v>12756</v>
      </c>
      <c r="J5734" s="12" t="str">
        <f>HYPERLINK("https://www.boe.es/gazeta/dias/1806/09/30/pdfs/GMD-1806-80.pdf#page=4","Abrir facsímil")</f>
        <v>Abrir facsímil</v>
      </c>
      <c r="K5734" s="15" t="s">
        <v>22</v>
      </c>
    </row>
    <row r="5735" spans="1:11" ht="42" customHeight="1">
      <c r="A5735" s="4" t="s">
        <v>12757</v>
      </c>
      <c r="B5735" s="5" t="s">
        <v>12757</v>
      </c>
      <c r="C5735" s="5" t="s">
        <v>75</v>
      </c>
      <c r="D5735" s="5" t="s">
        <v>43</v>
      </c>
      <c r="E5735" s="5" t="s">
        <v>911</v>
      </c>
      <c r="F5735" s="9">
        <v>64</v>
      </c>
      <c r="G5735" s="9">
        <v>670</v>
      </c>
      <c r="H5735" s="5" t="s">
        <v>20</v>
      </c>
      <c r="I5735" s="5" t="s">
        <v>12758</v>
      </c>
      <c r="J5735" s="12" t="str">
        <f>HYPERLINK("https://www.boe.es/gazeta/dias/1806/08/05/pdfs/GMD-1806-64.pdf#page=6","Abrir facsímil")</f>
        <v>Abrir facsímil</v>
      </c>
      <c r="K5735" s="15" t="s">
        <v>22</v>
      </c>
    </row>
    <row r="5736" spans="1:11" ht="42" customHeight="1">
      <c r="A5736" s="4" t="s">
        <v>12759</v>
      </c>
      <c r="B5736" s="5" t="s">
        <v>12759</v>
      </c>
      <c r="C5736" s="5" t="s">
        <v>69</v>
      </c>
      <c r="D5736" s="5" t="s">
        <v>70</v>
      </c>
      <c r="E5736" s="5" t="s">
        <v>501</v>
      </c>
      <c r="F5736" s="9">
        <v>39</v>
      </c>
      <c r="G5736" s="9">
        <v>377</v>
      </c>
      <c r="H5736" s="5" t="s">
        <v>20</v>
      </c>
      <c r="I5736" s="5" t="s">
        <v>12760</v>
      </c>
      <c r="J5736" s="12" t="str">
        <f>HYPERLINK("https://www.boe.es/gazeta/dias/1806/05/09/pdfs/GMD-1806-39.pdf#page=1","Abrir facsímil")</f>
        <v>Abrir facsímil</v>
      </c>
      <c r="K5736" s="15" t="s">
        <v>22</v>
      </c>
    </row>
    <row r="5737" spans="1:11" ht="42" customHeight="1">
      <c r="A5737" s="4" t="s">
        <v>12761</v>
      </c>
      <c r="B5737" s="5" t="s">
        <v>12762</v>
      </c>
      <c r="C5737" s="5" t="s">
        <v>42</v>
      </c>
      <c r="D5737" s="5" t="s">
        <v>43</v>
      </c>
      <c r="E5737" s="5" t="s">
        <v>172</v>
      </c>
      <c r="F5737" s="9">
        <v>17</v>
      </c>
      <c r="G5737" s="9">
        <v>145</v>
      </c>
      <c r="H5737" s="5" t="s">
        <v>20</v>
      </c>
      <c r="I5737" s="5" t="s">
        <v>12763</v>
      </c>
      <c r="J5737" s="12" t="str">
        <f>HYPERLINK("https://www.boe.es/gazeta/dias/1806/02/21/pdfs/GMD-1806-17.pdf#page=1","Abrir facsímil")</f>
        <v>Abrir facsímil</v>
      </c>
      <c r="K5737" s="15" t="s">
        <v>22</v>
      </c>
    </row>
    <row r="5738" spans="1:11" ht="42" customHeight="1">
      <c r="A5738" s="4" t="s">
        <v>12764</v>
      </c>
      <c r="B5738" s="5" t="s">
        <v>12765</v>
      </c>
      <c r="C5738" s="5" t="s">
        <v>69</v>
      </c>
      <c r="D5738" s="5" t="s">
        <v>70</v>
      </c>
      <c r="E5738" s="5" t="s">
        <v>657</v>
      </c>
      <c r="F5738" s="9">
        <v>96</v>
      </c>
      <c r="G5738" s="9">
        <v>1017</v>
      </c>
      <c r="H5738" s="5" t="s">
        <v>20</v>
      </c>
      <c r="I5738" s="5" t="s">
        <v>12766</v>
      </c>
      <c r="J5738" s="12" t="str">
        <f>HYPERLINK("https://www.boe.es/gazeta/dias/1806/11/25/pdfs/GMD-1806-96.pdf#page=9","Abrir facsímil")</f>
        <v>Abrir facsímil</v>
      </c>
      <c r="K5738" s="15" t="s">
        <v>22</v>
      </c>
    </row>
    <row r="5739" spans="1:11" ht="42" customHeight="1">
      <c r="A5739" s="4" t="s">
        <v>12767</v>
      </c>
      <c r="B5739" s="5" t="s">
        <v>12768</v>
      </c>
      <c r="C5739" s="5" t="s">
        <v>36</v>
      </c>
      <c r="D5739" s="5" t="s">
        <v>37</v>
      </c>
      <c r="E5739" s="5" t="s">
        <v>494</v>
      </c>
      <c r="F5739" s="9">
        <v>69</v>
      </c>
      <c r="G5739" s="9">
        <v>719</v>
      </c>
      <c r="H5739" s="5" t="s">
        <v>20</v>
      </c>
      <c r="I5739" s="5" t="s">
        <v>12769</v>
      </c>
      <c r="J5739" s="12" t="str">
        <f>HYPERLINK("https://www.boe.es/gazeta/dias/1806/08/22/pdfs/GMD-1806-69.pdf#page=7","Abrir facsímil")</f>
        <v>Abrir facsímil</v>
      </c>
      <c r="K5739" s="15" t="s">
        <v>22</v>
      </c>
    </row>
    <row r="5740" spans="1:11" ht="42" customHeight="1">
      <c r="A5740" s="4" t="s">
        <v>12770</v>
      </c>
      <c r="B5740" s="5" t="s">
        <v>12771</v>
      </c>
      <c r="C5740" s="5" t="s">
        <v>17</v>
      </c>
      <c r="D5740" s="5" t="s">
        <v>18</v>
      </c>
      <c r="E5740" s="5" t="s">
        <v>26</v>
      </c>
      <c r="F5740" s="9">
        <v>65</v>
      </c>
      <c r="G5740" s="9">
        <v>678</v>
      </c>
      <c r="H5740" s="5" t="s">
        <v>20</v>
      </c>
      <c r="I5740" s="5" t="s">
        <v>12772</v>
      </c>
      <c r="J5740" s="12" t="str">
        <f>HYPERLINK("https://www.boe.es/gazeta/dias/1806/08/08/pdfs/GMD-1806-65.pdf#page=6","Abrir facsímil")</f>
        <v>Abrir facsímil</v>
      </c>
      <c r="K5740" s="15" t="s">
        <v>22</v>
      </c>
    </row>
    <row r="5741" spans="1:11" ht="42" customHeight="1">
      <c r="A5741" s="4" t="s">
        <v>12773</v>
      </c>
      <c r="B5741" s="5" t="s">
        <v>12774</v>
      </c>
      <c r="C5741" s="5" t="s">
        <v>31</v>
      </c>
      <c r="D5741" s="5" t="s">
        <v>32</v>
      </c>
      <c r="E5741" s="5" t="s">
        <v>110</v>
      </c>
      <c r="F5741" s="9">
        <v>55</v>
      </c>
      <c r="G5741" s="9">
        <v>572</v>
      </c>
      <c r="H5741" s="5" t="s">
        <v>20</v>
      </c>
      <c r="I5741" s="5" t="s">
        <v>12775</v>
      </c>
      <c r="J5741" s="12" t="str">
        <f>HYPERLINK("https://www.boe.es/gazeta/dias/1806/07/04/pdfs/GMD-1806-55.pdf#page=8","Abrir facsímil")</f>
        <v>Abrir facsímil</v>
      </c>
      <c r="K5741" s="15" t="s">
        <v>22</v>
      </c>
    </row>
    <row r="5742" spans="1:11" ht="42" customHeight="1">
      <c r="A5742" s="4" t="s">
        <v>12776</v>
      </c>
      <c r="B5742" s="5" t="s">
        <v>12777</v>
      </c>
      <c r="C5742" s="5" t="s">
        <v>17</v>
      </c>
      <c r="D5742" s="5" t="s">
        <v>18</v>
      </c>
      <c r="E5742" s="5" t="s">
        <v>55</v>
      </c>
      <c r="F5742" s="9">
        <v>20</v>
      </c>
      <c r="G5742" s="9">
        <v>184</v>
      </c>
      <c r="H5742" s="5" t="s">
        <v>20</v>
      </c>
      <c r="I5742" s="5" t="s">
        <v>12778</v>
      </c>
      <c r="J5742" s="12" t="str">
        <f>HYPERLINK("https://www.boe.es/gazeta/dias/1806/03/04/pdfs/GMD-1806-20.pdf#page=8","Abrir facsímil")</f>
        <v>Abrir facsímil</v>
      </c>
      <c r="K5742" s="15" t="s">
        <v>22</v>
      </c>
    </row>
    <row r="5743" spans="1:11" ht="42" customHeight="1">
      <c r="A5743" s="4" t="s">
        <v>12779</v>
      </c>
      <c r="B5743" s="5" t="s">
        <v>12780</v>
      </c>
      <c r="C5743" s="5" t="s">
        <v>17</v>
      </c>
      <c r="D5743" s="5" t="s">
        <v>18</v>
      </c>
      <c r="E5743" s="5" t="s">
        <v>494</v>
      </c>
      <c r="F5743" s="9">
        <v>69</v>
      </c>
      <c r="G5743" s="9">
        <v>721</v>
      </c>
      <c r="H5743" s="5" t="s">
        <v>20</v>
      </c>
      <c r="I5743" s="5" t="s">
        <v>12781</v>
      </c>
      <c r="J5743" s="12" t="str">
        <f>HYPERLINK("https://www.boe.es/gazeta/dias/1806/08/22/pdfs/GMD-1806-69.pdf#page=9","Abrir facsímil")</f>
        <v>Abrir facsímil</v>
      </c>
      <c r="K5743" s="15" t="s">
        <v>22</v>
      </c>
    </row>
    <row r="5744" spans="1:11" ht="42" customHeight="1">
      <c r="A5744" s="4" t="s">
        <v>12782</v>
      </c>
      <c r="B5744" s="5" t="s">
        <v>12783</v>
      </c>
      <c r="C5744" s="5" t="s">
        <v>31</v>
      </c>
      <c r="D5744" s="5" t="s">
        <v>32</v>
      </c>
      <c r="E5744" s="5" t="s">
        <v>279</v>
      </c>
      <c r="F5744" s="9">
        <v>52</v>
      </c>
      <c r="G5744" s="9">
        <v>543</v>
      </c>
      <c r="H5744" s="5" t="s">
        <v>20</v>
      </c>
      <c r="I5744" s="5" t="s">
        <v>12784</v>
      </c>
      <c r="J5744" s="12" t="str">
        <f>HYPERLINK("https://www.boe.es/gazeta/dias/1806/06/24/pdfs/GMD-1806-52.pdf#page=11","Abrir facsímil")</f>
        <v>Abrir facsímil</v>
      </c>
      <c r="K5744" s="15" t="s">
        <v>22</v>
      </c>
    </row>
    <row r="5745" spans="1:11" ht="42" customHeight="1">
      <c r="A5745" s="4" t="s">
        <v>12785</v>
      </c>
      <c r="B5745" s="5" t="s">
        <v>12786</v>
      </c>
      <c r="C5745" s="5" t="s">
        <v>31</v>
      </c>
      <c r="D5745" s="5" t="s">
        <v>32</v>
      </c>
      <c r="E5745" s="5" t="s">
        <v>110</v>
      </c>
      <c r="F5745" s="9">
        <v>55</v>
      </c>
      <c r="G5745" s="9">
        <v>572</v>
      </c>
      <c r="H5745" s="5" t="s">
        <v>20</v>
      </c>
      <c r="I5745" s="5" t="s">
        <v>12787</v>
      </c>
      <c r="J5745" s="12" t="str">
        <f>HYPERLINK("https://www.boe.es/gazeta/dias/1806/07/04/pdfs/GMD-1806-55.pdf#page=8","Abrir facsímil")</f>
        <v>Abrir facsímil</v>
      </c>
      <c r="K5745" s="15" t="s">
        <v>22</v>
      </c>
    </row>
    <row r="5746" spans="1:11" ht="42" customHeight="1">
      <c r="A5746" s="4" t="s">
        <v>12785</v>
      </c>
      <c r="B5746" s="5" t="s">
        <v>12786</v>
      </c>
      <c r="C5746" s="5" t="s">
        <v>31</v>
      </c>
      <c r="D5746" s="5" t="s">
        <v>32</v>
      </c>
      <c r="E5746" s="5" t="s">
        <v>570</v>
      </c>
      <c r="F5746" s="9">
        <v>93</v>
      </c>
      <c r="G5746" s="9">
        <v>978</v>
      </c>
      <c r="H5746" s="5" t="s">
        <v>20</v>
      </c>
      <c r="I5746" s="5" t="s">
        <v>12788</v>
      </c>
      <c r="J5746" s="12" t="str">
        <f>HYPERLINK("https://www.boe.es/gazeta/dias/1806/11/14/pdfs/GMD-1806-93.pdf#page=14","Abrir facsímil")</f>
        <v>Abrir facsímil</v>
      </c>
      <c r="K5746" s="15" t="s">
        <v>22</v>
      </c>
    </row>
    <row r="5747" spans="1:11" ht="42" customHeight="1">
      <c r="A5747" s="4" t="s">
        <v>12789</v>
      </c>
      <c r="B5747" s="5" t="s">
        <v>12790</v>
      </c>
      <c r="C5747" s="5" t="s">
        <v>36</v>
      </c>
      <c r="D5747" s="5" t="s">
        <v>37</v>
      </c>
      <c r="E5747" s="5" t="s">
        <v>59</v>
      </c>
      <c r="F5747" s="9">
        <v>21</v>
      </c>
      <c r="G5747" s="9">
        <v>200</v>
      </c>
      <c r="H5747" s="5" t="s">
        <v>20</v>
      </c>
      <c r="I5747" s="5" t="s">
        <v>12791</v>
      </c>
      <c r="J5747" s="12" t="str">
        <f>HYPERLINK("https://www.boe.es/gazeta/dias/1806/03/07/pdfs/GMD-1806-21.pdf#page=12","Abrir facsímil")</f>
        <v>Abrir facsímil</v>
      </c>
      <c r="K5747" s="15" t="s">
        <v>22</v>
      </c>
    </row>
    <row r="5748" spans="1:11" ht="42" customHeight="1">
      <c r="A5748" s="4" t="s">
        <v>12792</v>
      </c>
      <c r="B5748" s="5" t="s">
        <v>12793</v>
      </c>
      <c r="C5748" s="5" t="s">
        <v>42</v>
      </c>
      <c r="D5748" s="5" t="s">
        <v>43</v>
      </c>
      <c r="E5748" s="5" t="s">
        <v>570</v>
      </c>
      <c r="F5748" s="9">
        <v>93</v>
      </c>
      <c r="G5748" s="9">
        <v>978</v>
      </c>
      <c r="H5748" s="5" t="s">
        <v>20</v>
      </c>
      <c r="I5748" s="5" t="s">
        <v>12794</v>
      </c>
      <c r="J5748" s="12" t="str">
        <f>HYPERLINK("https://www.boe.es/gazeta/dias/1806/11/14/pdfs/GMD-1806-93.pdf#page=14","Abrir facsímil")</f>
        <v>Abrir facsímil</v>
      </c>
      <c r="K5748" s="15" t="s">
        <v>22</v>
      </c>
    </row>
    <row r="5749" spans="1:11" ht="42" customHeight="1">
      <c r="A5749" s="4" t="s">
        <v>12795</v>
      </c>
      <c r="B5749" s="5" t="s">
        <v>12796</v>
      </c>
      <c r="C5749" s="5" t="s">
        <v>31</v>
      </c>
      <c r="D5749" s="5" t="s">
        <v>32</v>
      </c>
      <c r="E5749" s="5" t="s">
        <v>76</v>
      </c>
      <c r="F5749" s="9">
        <v>98</v>
      </c>
      <c r="G5749" s="9">
        <v>1043</v>
      </c>
      <c r="H5749" s="5" t="s">
        <v>20</v>
      </c>
      <c r="I5749" s="5" t="s">
        <v>12797</v>
      </c>
      <c r="J5749" s="12" t="str">
        <f>HYPERLINK("https://www.boe.es/gazeta/dias/1806/12/02/pdfs/GMD-1806-98.pdf#page=11","Abrir facsímil")</f>
        <v>Abrir facsímil</v>
      </c>
      <c r="K5749" s="15" t="s">
        <v>22</v>
      </c>
    </row>
    <row r="5750" spans="1:11" ht="42" customHeight="1">
      <c r="A5750" s="4" t="s">
        <v>12798</v>
      </c>
      <c r="B5750" s="5" t="s">
        <v>12799</v>
      </c>
      <c r="C5750" s="5" t="s">
        <v>36</v>
      </c>
      <c r="D5750" s="5" t="s">
        <v>37</v>
      </c>
      <c r="E5750" s="5" t="s">
        <v>124</v>
      </c>
      <c r="F5750" s="9">
        <v>25</v>
      </c>
      <c r="G5750" s="9">
        <v>246</v>
      </c>
      <c r="H5750" s="5" t="s">
        <v>20</v>
      </c>
      <c r="I5750" s="5" t="s">
        <v>12800</v>
      </c>
      <c r="J5750" s="12" t="str">
        <f>HYPERLINK("https://www.boe.es/gazeta/dias/1806/03/21/pdfs/GMD-1806-25.pdf#page=10","Abrir facsímil")</f>
        <v>Abrir facsímil</v>
      </c>
      <c r="K5750" s="15" t="s">
        <v>22</v>
      </c>
    </row>
    <row r="5751" spans="1:11" ht="42" customHeight="1">
      <c r="A5751" s="4" t="s">
        <v>12798</v>
      </c>
      <c r="B5751" s="5" t="s">
        <v>12799</v>
      </c>
      <c r="C5751" s="5" t="s">
        <v>36</v>
      </c>
      <c r="D5751" s="5" t="s">
        <v>37</v>
      </c>
      <c r="E5751" s="5" t="s">
        <v>340</v>
      </c>
      <c r="F5751" s="9">
        <v>31</v>
      </c>
      <c r="G5751" s="9">
        <v>306</v>
      </c>
      <c r="H5751" s="5" t="s">
        <v>20</v>
      </c>
      <c r="I5751" s="5" t="s">
        <v>12801</v>
      </c>
      <c r="J5751" s="12" t="str">
        <f>HYPERLINK("https://www.boe.es/gazeta/dias/1806/04/11/pdfs/GMD-1806-31.pdf#page=10","Abrir facsímil")</f>
        <v>Abrir facsímil</v>
      </c>
      <c r="K5751" s="15" t="s">
        <v>22</v>
      </c>
    </row>
    <row r="5752" spans="1:11" ht="42" customHeight="1">
      <c r="A5752" s="4" t="s">
        <v>12802</v>
      </c>
      <c r="B5752" s="5" t="s">
        <v>12803</v>
      </c>
      <c r="C5752" s="5" t="s">
        <v>36</v>
      </c>
      <c r="D5752" s="5" t="s">
        <v>37</v>
      </c>
      <c r="E5752" s="5" t="s">
        <v>44</v>
      </c>
      <c r="F5752" s="9">
        <v>42</v>
      </c>
      <c r="G5752" s="9">
        <v>422</v>
      </c>
      <c r="H5752" s="5" t="s">
        <v>20</v>
      </c>
      <c r="I5752" s="5" t="s">
        <v>12804</v>
      </c>
      <c r="J5752" s="12" t="str">
        <f>HYPERLINK("https://www.boe.es/gazeta/dias/1806/05/20/pdfs/GMD-1806-42.pdf#page=10","Abrir facsímil")</f>
        <v>Abrir facsímil</v>
      </c>
      <c r="K5752" s="15" t="s">
        <v>22</v>
      </c>
    </row>
    <row r="5753" spans="1:11" ht="42" customHeight="1">
      <c r="A5753" s="4" t="s">
        <v>12798</v>
      </c>
      <c r="B5753" s="5" t="s">
        <v>12799</v>
      </c>
      <c r="C5753" s="5" t="s">
        <v>17</v>
      </c>
      <c r="D5753" s="5" t="s">
        <v>18</v>
      </c>
      <c r="E5753" s="5" t="s">
        <v>90</v>
      </c>
      <c r="F5753" s="9">
        <v>60</v>
      </c>
      <c r="G5753" s="9">
        <v>625</v>
      </c>
      <c r="H5753" s="5" t="s">
        <v>20</v>
      </c>
      <c r="I5753" s="5" t="s">
        <v>12805</v>
      </c>
      <c r="J5753" s="12" t="str">
        <f>HYPERLINK("https://www.boe.es/gazeta/dias/1806/07/22/pdfs/GMD-1806-60.pdf#page=9","Abrir facsímil")</f>
        <v>Abrir facsímil</v>
      </c>
      <c r="K5753" s="15" t="s">
        <v>22</v>
      </c>
    </row>
    <row r="5754" spans="1:11" ht="42" customHeight="1">
      <c r="A5754" s="4" t="s">
        <v>12798</v>
      </c>
      <c r="B5754" s="5" t="s">
        <v>12799</v>
      </c>
      <c r="C5754" s="5" t="s">
        <v>75</v>
      </c>
      <c r="D5754" s="5" t="s">
        <v>43</v>
      </c>
      <c r="E5754" s="5" t="s">
        <v>140</v>
      </c>
      <c r="F5754" s="9">
        <v>83</v>
      </c>
      <c r="G5754" s="9">
        <v>862</v>
      </c>
      <c r="H5754" s="5" t="s">
        <v>20</v>
      </c>
      <c r="I5754" s="5" t="s">
        <v>12806</v>
      </c>
      <c r="J5754" s="12" t="str">
        <f>HYPERLINK("https://www.boe.es/gazeta/dias/1806/10/10/pdfs/GMD-1806-83.pdf#page=10","Abrir facsímil")</f>
        <v>Abrir facsímil</v>
      </c>
      <c r="K5754" s="15" t="s">
        <v>22</v>
      </c>
    </row>
    <row r="5755" spans="1:11" ht="42" customHeight="1">
      <c r="A5755" s="4" t="s">
        <v>12798</v>
      </c>
      <c r="B5755" s="5" t="s">
        <v>12799</v>
      </c>
      <c r="C5755" s="5" t="s">
        <v>17</v>
      </c>
      <c r="D5755" s="5" t="s">
        <v>18</v>
      </c>
      <c r="E5755" s="5" t="s">
        <v>209</v>
      </c>
      <c r="F5755" s="9">
        <v>95</v>
      </c>
      <c r="G5755" s="9">
        <v>1007</v>
      </c>
      <c r="H5755" s="5" t="s">
        <v>20</v>
      </c>
      <c r="I5755" s="5" t="s">
        <v>12807</v>
      </c>
      <c r="J5755" s="12" t="str">
        <f>HYPERLINK("https://www.boe.es/gazeta/dias/1806/11/21/pdfs/GMD-1806-95.pdf#page=15","Abrir facsímil")</f>
        <v>Abrir facsímil</v>
      </c>
      <c r="K5755" s="15" t="s">
        <v>22</v>
      </c>
    </row>
    <row r="5756" spans="1:11" ht="42" customHeight="1">
      <c r="A5756" s="4" t="s">
        <v>12798</v>
      </c>
      <c r="B5756" s="5" t="s">
        <v>12799</v>
      </c>
      <c r="C5756" s="5" t="s">
        <v>75</v>
      </c>
      <c r="D5756" s="5" t="s">
        <v>43</v>
      </c>
      <c r="E5756" s="5" t="s">
        <v>181</v>
      </c>
      <c r="F5756" s="9">
        <v>99</v>
      </c>
      <c r="G5756" s="9">
        <v>1054</v>
      </c>
      <c r="H5756" s="5" t="s">
        <v>20</v>
      </c>
      <c r="I5756" s="5" t="s">
        <v>12808</v>
      </c>
      <c r="J5756" s="12" t="str">
        <f>HYPERLINK("https://www.boe.es/gazeta/dias/1806/12/05/pdfs/GMD-1806-99.pdf#page=10","Abrir facsímil")</f>
        <v>Abrir facsímil</v>
      </c>
      <c r="K5756" s="15" t="s">
        <v>22</v>
      </c>
    </row>
    <row r="5757" spans="1:11" ht="42" customHeight="1">
      <c r="A5757" s="4" t="s">
        <v>12809</v>
      </c>
      <c r="B5757" s="5" t="s">
        <v>12810</v>
      </c>
      <c r="C5757" s="5" t="s">
        <v>31</v>
      </c>
      <c r="D5757" s="5" t="s">
        <v>32</v>
      </c>
      <c r="E5757" s="5" t="s">
        <v>290</v>
      </c>
      <c r="F5757" s="9">
        <v>1</v>
      </c>
      <c r="G5757" s="9">
        <v>8</v>
      </c>
      <c r="H5757" s="5" t="s">
        <v>20</v>
      </c>
      <c r="I5757" s="5" t="s">
        <v>12811</v>
      </c>
      <c r="J5757" s="12" t="str">
        <f>HYPERLINK("https://www.boe.es/gazeta/dias/1806/01/03/pdfs/GMD-1806-1.pdf#page=8","Abrir facsímil")</f>
        <v>Abrir facsímil</v>
      </c>
      <c r="K5757" s="15" t="s">
        <v>22</v>
      </c>
    </row>
    <row r="5758" spans="1:11" ht="42" customHeight="1">
      <c r="A5758" s="4" t="s">
        <v>12812</v>
      </c>
      <c r="B5758" s="5" t="s">
        <v>12812</v>
      </c>
      <c r="C5758" s="5" t="s">
        <v>31</v>
      </c>
      <c r="D5758" s="5" t="s">
        <v>32</v>
      </c>
      <c r="E5758" s="5" t="s">
        <v>178</v>
      </c>
      <c r="F5758" s="9">
        <v>36</v>
      </c>
      <c r="G5758" s="9">
        <v>352</v>
      </c>
      <c r="H5758" s="5" t="s">
        <v>20</v>
      </c>
      <c r="I5758" s="5" t="s">
        <v>12813</v>
      </c>
      <c r="J5758" s="12" t="str">
        <f>HYPERLINK("https://www.boe.es/gazeta/dias/1806/04/29/pdfs/GMD-1806-36.pdf#page=8","Abrir facsímil")</f>
        <v>Abrir facsímil</v>
      </c>
      <c r="K5758" s="15" t="s">
        <v>22</v>
      </c>
    </row>
    <row r="5759" spans="1:11" ht="42" customHeight="1">
      <c r="A5759" s="4" t="s">
        <v>12814</v>
      </c>
      <c r="B5759" s="5" t="s">
        <v>12815</v>
      </c>
      <c r="C5759" s="5" t="s">
        <v>36</v>
      </c>
      <c r="D5759" s="5" t="s">
        <v>37</v>
      </c>
      <c r="E5759" s="5" t="s">
        <v>213</v>
      </c>
      <c r="F5759" s="9">
        <v>73</v>
      </c>
      <c r="G5759" s="9">
        <v>760</v>
      </c>
      <c r="H5759" s="5" t="s">
        <v>20</v>
      </c>
      <c r="I5759" s="5" t="s">
        <v>12816</v>
      </c>
      <c r="J5759" s="12" t="str">
        <f>HYPERLINK("https://www.boe.es/gazeta/dias/1806/09/05/pdfs/GMD-1806-73.pdf#page=8","Abrir facsímil")</f>
        <v>Abrir facsímil</v>
      </c>
      <c r="K5759" s="15" t="s">
        <v>22</v>
      </c>
    </row>
    <row r="5760" spans="1:11" ht="42" customHeight="1">
      <c r="A5760" s="4" t="s">
        <v>12817</v>
      </c>
      <c r="B5760" s="5" t="s">
        <v>12818</v>
      </c>
      <c r="C5760" s="5" t="s">
        <v>42</v>
      </c>
      <c r="D5760" s="5" t="s">
        <v>43</v>
      </c>
      <c r="E5760" s="5" t="s">
        <v>285</v>
      </c>
      <c r="F5760" s="9">
        <v>13</v>
      </c>
      <c r="G5760" s="9">
        <v>116</v>
      </c>
      <c r="H5760" s="5" t="s">
        <v>20</v>
      </c>
      <c r="I5760" s="5" t="s">
        <v>12819</v>
      </c>
      <c r="J5760" s="12" t="str">
        <f>HYPERLINK("https://www.boe.es/gazeta/dias/1806/02/07/pdfs/GMD-1806-13.pdf#page=8","Abrir facsímil")</f>
        <v>Abrir facsímil</v>
      </c>
      <c r="K5760" s="15" t="s">
        <v>22</v>
      </c>
    </row>
    <row r="5761" spans="1:11" ht="42" customHeight="1">
      <c r="A5761" s="4" t="s">
        <v>12820</v>
      </c>
      <c r="B5761" s="5" t="s">
        <v>12821</v>
      </c>
      <c r="C5761" s="5" t="s">
        <v>69</v>
      </c>
      <c r="D5761" s="5" t="s">
        <v>70</v>
      </c>
      <c r="E5761" s="5" t="s">
        <v>455</v>
      </c>
      <c r="F5761" s="9">
        <v>85</v>
      </c>
      <c r="G5761" s="9">
        <v>875</v>
      </c>
      <c r="H5761" s="5" t="s">
        <v>20</v>
      </c>
      <c r="I5761" s="5" t="s">
        <v>12822</v>
      </c>
      <c r="J5761" s="12" t="str">
        <f>HYPERLINK("https://www.boe.es/gazeta/dias/1806/10/17/pdfs/GMD-1806-85.pdf#page=3","Abrir facsímil")</f>
        <v>Abrir facsímil</v>
      </c>
      <c r="K5761" s="15" t="s">
        <v>22</v>
      </c>
    </row>
    <row r="5762" spans="1:11" ht="42" customHeight="1">
      <c r="A5762" s="4" t="s">
        <v>12823</v>
      </c>
      <c r="B5762" s="5" t="s">
        <v>12824</v>
      </c>
      <c r="C5762" s="5" t="s">
        <v>75</v>
      </c>
      <c r="D5762" s="5" t="s">
        <v>43</v>
      </c>
      <c r="E5762" s="5" t="s">
        <v>309</v>
      </c>
      <c r="F5762" s="9">
        <v>41</v>
      </c>
      <c r="G5762" s="9">
        <v>411</v>
      </c>
      <c r="H5762" s="5" t="s">
        <v>20</v>
      </c>
      <c r="I5762" s="5" t="s">
        <v>12825</v>
      </c>
      <c r="J5762" s="12" t="str">
        <f>HYPERLINK("https://www.boe.es/gazeta/dias/1806/05/16/pdfs/GMD-1806-41.pdf#page=11","Abrir facsímil")</f>
        <v>Abrir facsímil</v>
      </c>
      <c r="K5762" s="15" t="s">
        <v>22</v>
      </c>
    </row>
    <row r="5763" spans="1:11" ht="42" customHeight="1">
      <c r="A5763" s="4" t="s">
        <v>12823</v>
      </c>
      <c r="B5763" s="5" t="s">
        <v>12824</v>
      </c>
      <c r="C5763" s="5" t="s">
        <v>75</v>
      </c>
      <c r="D5763" s="5" t="s">
        <v>43</v>
      </c>
      <c r="E5763" s="5" t="s">
        <v>383</v>
      </c>
      <c r="F5763" s="9">
        <v>54</v>
      </c>
      <c r="G5763" s="9">
        <v>563</v>
      </c>
      <c r="H5763" s="5" t="s">
        <v>20</v>
      </c>
      <c r="I5763" s="5" t="s">
        <v>12826</v>
      </c>
      <c r="J5763" s="12" t="str">
        <f>HYPERLINK("https://www.boe.es/gazeta/dias/1806/07/01/pdfs/GMD-1806-54.pdf#page=7","Abrir facsímil")</f>
        <v>Abrir facsímil</v>
      </c>
      <c r="K5763" s="15" t="s">
        <v>22</v>
      </c>
    </row>
    <row r="5764" spans="1:11" ht="42" customHeight="1">
      <c r="A5764" s="4" t="s">
        <v>12823</v>
      </c>
      <c r="B5764" s="5" t="s">
        <v>12824</v>
      </c>
      <c r="C5764" s="5" t="s">
        <v>31</v>
      </c>
      <c r="D5764" s="5" t="s">
        <v>32</v>
      </c>
      <c r="E5764" s="5" t="s">
        <v>301</v>
      </c>
      <c r="F5764" s="9">
        <v>75</v>
      </c>
      <c r="G5764" s="9">
        <v>778</v>
      </c>
      <c r="H5764" s="5" t="s">
        <v>20</v>
      </c>
      <c r="I5764" s="5" t="s">
        <v>12827</v>
      </c>
      <c r="J5764" s="12" t="str">
        <f>HYPERLINK("https://www.boe.es/gazeta/dias/1806/09/12/pdfs/GMD-1806-75.pdf#page=10","Abrir facsímil")</f>
        <v>Abrir facsímil</v>
      </c>
      <c r="K5764" s="15" t="s">
        <v>22</v>
      </c>
    </row>
    <row r="5765" spans="1:11" ht="42" customHeight="1">
      <c r="A5765" s="4" t="s">
        <v>12828</v>
      </c>
      <c r="B5765" s="5" t="s">
        <v>12829</v>
      </c>
      <c r="C5765" s="5" t="s">
        <v>36</v>
      </c>
      <c r="D5765" s="5" t="s">
        <v>37</v>
      </c>
      <c r="E5765" s="5" t="s">
        <v>279</v>
      </c>
      <c r="F5765" s="9">
        <v>52</v>
      </c>
      <c r="G5765" s="9">
        <v>543</v>
      </c>
      <c r="H5765" s="5" t="s">
        <v>20</v>
      </c>
      <c r="I5765" s="5" t="s">
        <v>12830</v>
      </c>
      <c r="J5765" s="12" t="str">
        <f>HYPERLINK("https://www.boe.es/gazeta/dias/1806/06/24/pdfs/GMD-1806-52.pdf#page=11","Abrir facsímil")</f>
        <v>Abrir facsímil</v>
      </c>
      <c r="K5765" s="15" t="s">
        <v>22</v>
      </c>
    </row>
    <row r="5766" spans="1:11" ht="42" customHeight="1">
      <c r="A5766" s="4" t="s">
        <v>12828</v>
      </c>
      <c r="B5766" s="5" t="s">
        <v>12829</v>
      </c>
      <c r="C5766" s="5" t="s">
        <v>36</v>
      </c>
      <c r="D5766" s="5" t="s">
        <v>37</v>
      </c>
      <c r="E5766" s="5" t="s">
        <v>48</v>
      </c>
      <c r="F5766" s="9">
        <v>67</v>
      </c>
      <c r="G5766" s="9">
        <v>703</v>
      </c>
      <c r="H5766" s="5" t="s">
        <v>20</v>
      </c>
      <c r="I5766" s="5" t="s">
        <v>12831</v>
      </c>
      <c r="J5766" s="12" t="str">
        <f>HYPERLINK("https://www.boe.es/gazeta/dias/1806/08/15/pdfs/GMD-1806-67.pdf#page=11","Abrir facsímil")</f>
        <v>Abrir facsímil</v>
      </c>
      <c r="K5766" s="15" t="s">
        <v>22</v>
      </c>
    </row>
    <row r="5767" spans="1:11" ht="42" customHeight="1">
      <c r="A5767" s="4" t="s">
        <v>12832</v>
      </c>
      <c r="B5767" s="5" t="s">
        <v>12833</v>
      </c>
      <c r="C5767" s="5" t="s">
        <v>69</v>
      </c>
      <c r="D5767" s="5" t="s">
        <v>70</v>
      </c>
      <c r="E5767" s="5" t="s">
        <v>172</v>
      </c>
      <c r="F5767" s="9">
        <v>17</v>
      </c>
      <c r="G5767" s="9">
        <v>146</v>
      </c>
      <c r="H5767" s="5" t="s">
        <v>20</v>
      </c>
      <c r="I5767" s="5" t="s">
        <v>12834</v>
      </c>
      <c r="J5767" s="12" t="str">
        <f>HYPERLINK("https://www.boe.es/gazeta/dias/1806/02/21/pdfs/GMD-1806-17.pdf#page=2","Abrir facsímil")</f>
        <v>Abrir facsímil</v>
      </c>
      <c r="K5767" s="15" t="s">
        <v>22</v>
      </c>
    </row>
    <row r="5768" spans="1:11" ht="42" customHeight="1">
      <c r="A5768" s="4" t="s">
        <v>12835</v>
      </c>
      <c r="B5768" s="5" t="s">
        <v>12836</v>
      </c>
      <c r="C5768" s="5" t="s">
        <v>31</v>
      </c>
      <c r="D5768" s="5" t="s">
        <v>32</v>
      </c>
      <c r="E5768" s="5" t="s">
        <v>148</v>
      </c>
      <c r="F5768" s="9">
        <v>78</v>
      </c>
      <c r="G5768" s="9">
        <v>803</v>
      </c>
      <c r="H5768" s="5" t="s">
        <v>20</v>
      </c>
      <c r="I5768" s="5" t="s">
        <v>12837</v>
      </c>
      <c r="J5768" s="12" t="str">
        <f>HYPERLINK("https://www.boe.es/gazeta/dias/1806/09/23/pdfs/GMD-1806-78.pdf#page=7","Abrir facsímil")</f>
        <v>Abrir facsímil</v>
      </c>
      <c r="K5768" s="15" t="s">
        <v>22</v>
      </c>
    </row>
    <row r="5769" spans="1:11" ht="42" customHeight="1">
      <c r="A5769" s="4" t="s">
        <v>12838</v>
      </c>
      <c r="B5769" s="5" t="s">
        <v>12839</v>
      </c>
      <c r="C5769" s="5" t="s">
        <v>69</v>
      </c>
      <c r="D5769" s="5" t="s">
        <v>70</v>
      </c>
      <c r="E5769" s="5" t="s">
        <v>62</v>
      </c>
      <c r="F5769" s="9">
        <v>45</v>
      </c>
      <c r="G5769" s="9">
        <v>453</v>
      </c>
      <c r="H5769" s="5" t="s">
        <v>20</v>
      </c>
      <c r="I5769" s="5" t="s">
        <v>12840</v>
      </c>
      <c r="J5769" s="12" t="str">
        <f>HYPERLINK("https://www.boe.es/gazeta/dias/1806/05/30/pdfs/GMD-1806-45.pdf#page=5","Abrir facsímil")</f>
        <v>Abrir facsímil</v>
      </c>
      <c r="K5769" s="15" t="s">
        <v>22</v>
      </c>
    </row>
    <row r="5770" spans="1:11" ht="42" customHeight="1">
      <c r="A5770" s="4" t="s">
        <v>12841</v>
      </c>
      <c r="B5770" s="5" t="s">
        <v>12842</v>
      </c>
      <c r="C5770" s="5" t="s">
        <v>42</v>
      </c>
      <c r="D5770" s="5" t="s">
        <v>43</v>
      </c>
      <c r="E5770" s="5" t="s">
        <v>231</v>
      </c>
      <c r="F5770" s="9">
        <v>89</v>
      </c>
      <c r="G5770" s="9">
        <v>921</v>
      </c>
      <c r="H5770" s="5" t="s">
        <v>20</v>
      </c>
      <c r="I5770" s="5" t="s">
        <v>12843</v>
      </c>
      <c r="J5770" s="12" t="str">
        <f>HYPERLINK("https://www.boe.es/gazeta/dias/1806/10/31/pdfs/GMD-1806-89.pdf#page=9","Abrir facsímil")</f>
        <v>Abrir facsímil</v>
      </c>
      <c r="K5770" s="15" t="s">
        <v>22</v>
      </c>
    </row>
    <row r="5771" spans="1:11" ht="42" customHeight="1">
      <c r="A5771" s="4" t="s">
        <v>12844</v>
      </c>
      <c r="B5771" s="5" t="s">
        <v>12845</v>
      </c>
      <c r="C5771" s="5" t="s">
        <v>36</v>
      </c>
      <c r="D5771" s="5" t="s">
        <v>37</v>
      </c>
      <c r="E5771" s="5" t="s">
        <v>290</v>
      </c>
      <c r="F5771" s="9">
        <v>1</v>
      </c>
      <c r="G5771" s="9">
        <v>11</v>
      </c>
      <c r="H5771" s="5" t="s">
        <v>20</v>
      </c>
      <c r="I5771" s="5" t="s">
        <v>12846</v>
      </c>
      <c r="J5771" s="12" t="str">
        <f>HYPERLINK("https://www.boe.es/gazeta/dias/1806/01/03/pdfs/GMD-1806-1.pdf#page=11","Abrir facsímil")</f>
        <v>Abrir facsímil</v>
      </c>
      <c r="K5771" s="15" t="s">
        <v>22</v>
      </c>
    </row>
    <row r="5772" spans="1:11" ht="42" customHeight="1">
      <c r="A5772" s="4" t="s">
        <v>12847</v>
      </c>
      <c r="B5772" s="5" t="s">
        <v>12848</v>
      </c>
      <c r="C5772" s="5" t="s">
        <v>69</v>
      </c>
      <c r="D5772" s="5" t="s">
        <v>70</v>
      </c>
      <c r="E5772" s="5" t="s">
        <v>306</v>
      </c>
      <c r="F5772" s="9">
        <v>59</v>
      </c>
      <c r="G5772" s="9">
        <v>611</v>
      </c>
      <c r="H5772" s="5" t="s">
        <v>20</v>
      </c>
      <c r="I5772" s="5" t="s">
        <v>12849</v>
      </c>
      <c r="J5772" s="12" t="str">
        <f>HYPERLINK("https://www.boe.es/gazeta/dias/1806/07/18/pdfs/GMD-1806-59.pdf#page=7","Abrir facsímil")</f>
        <v>Abrir facsímil</v>
      </c>
      <c r="K5772" s="15" t="s">
        <v>22</v>
      </c>
    </row>
    <row r="5773" spans="1:11" ht="42" customHeight="1">
      <c r="A5773" s="4" t="s">
        <v>12850</v>
      </c>
      <c r="B5773" s="5" t="s">
        <v>12851</v>
      </c>
      <c r="C5773" s="5" t="s">
        <v>31</v>
      </c>
      <c r="D5773" s="5" t="s">
        <v>32</v>
      </c>
      <c r="E5773" s="5" t="s">
        <v>213</v>
      </c>
      <c r="F5773" s="9">
        <v>73</v>
      </c>
      <c r="G5773" s="9">
        <v>759</v>
      </c>
      <c r="H5773" s="5" t="s">
        <v>20</v>
      </c>
      <c r="I5773" s="5" t="s">
        <v>12852</v>
      </c>
      <c r="J5773" s="12" t="str">
        <f>HYPERLINK("https://www.boe.es/gazeta/dias/1806/09/05/pdfs/GMD-1806-73.pdf#page=7","Abrir facsímil")</f>
        <v>Abrir facsímil</v>
      </c>
      <c r="K5773" s="15" t="s">
        <v>22</v>
      </c>
    </row>
    <row r="5774" spans="1:11" ht="42" customHeight="1">
      <c r="A5774" s="4" t="s">
        <v>12853</v>
      </c>
      <c r="B5774" s="5" t="s">
        <v>12854</v>
      </c>
      <c r="C5774" s="5" t="s">
        <v>69</v>
      </c>
      <c r="D5774" s="5" t="s">
        <v>70</v>
      </c>
      <c r="E5774" s="5" t="s">
        <v>716</v>
      </c>
      <c r="F5774" s="9">
        <v>56</v>
      </c>
      <c r="G5774" s="9">
        <v>585</v>
      </c>
      <c r="H5774" s="5" t="s">
        <v>20</v>
      </c>
      <c r="I5774" s="5" t="s">
        <v>12855</v>
      </c>
      <c r="J5774" s="12" t="str">
        <f>HYPERLINK("https://www.boe.es/gazeta/dias/1806/07/08/pdfs/GMD-1806-56.pdf#page=9","Abrir facsímil")</f>
        <v>Abrir facsímil</v>
      </c>
      <c r="K5774" s="15" t="s">
        <v>22</v>
      </c>
    </row>
    <row r="5775" spans="1:11" ht="42" customHeight="1">
      <c r="A5775" s="4" t="s">
        <v>12853</v>
      </c>
      <c r="B5775" s="5" t="s">
        <v>12854</v>
      </c>
      <c r="C5775" s="5" t="s">
        <v>69</v>
      </c>
      <c r="D5775" s="5" t="s">
        <v>70</v>
      </c>
      <c r="E5775" s="5" t="s">
        <v>306</v>
      </c>
      <c r="F5775" s="9">
        <v>59</v>
      </c>
      <c r="G5775" s="9">
        <v>611</v>
      </c>
      <c r="H5775" s="5" t="s">
        <v>20</v>
      </c>
      <c r="I5775" s="5" t="s">
        <v>12856</v>
      </c>
      <c r="J5775" s="12" t="str">
        <f>HYPERLINK("https://www.boe.es/gazeta/dias/1806/07/18/pdfs/GMD-1806-59.pdf#page=7","Abrir facsímil")</f>
        <v>Abrir facsímil</v>
      </c>
      <c r="K5775" s="15" t="s">
        <v>22</v>
      </c>
    </row>
    <row r="5776" spans="1:11" ht="42" customHeight="1">
      <c r="A5776" s="4" t="s">
        <v>12853</v>
      </c>
      <c r="B5776" s="5" t="s">
        <v>12854</v>
      </c>
      <c r="C5776" s="5" t="s">
        <v>69</v>
      </c>
      <c r="D5776" s="5" t="s">
        <v>70</v>
      </c>
      <c r="E5776" s="5" t="s">
        <v>859</v>
      </c>
      <c r="F5776" s="9">
        <v>63</v>
      </c>
      <c r="G5776" s="9">
        <v>657</v>
      </c>
      <c r="H5776" s="5" t="s">
        <v>20</v>
      </c>
      <c r="I5776" s="5" t="s">
        <v>12857</v>
      </c>
      <c r="J5776" s="12" t="str">
        <f>HYPERLINK("https://www.boe.es/gazeta/dias/1806/08/01/pdfs/GMD-1806-63.pdf#page=5","Abrir facsímil")</f>
        <v>Abrir facsímil</v>
      </c>
      <c r="K5776" s="15" t="s">
        <v>22</v>
      </c>
    </row>
    <row r="5777" spans="1:11" ht="42" customHeight="1">
      <c r="A5777" s="4" t="s">
        <v>12853</v>
      </c>
      <c r="B5777" s="5" t="s">
        <v>12854</v>
      </c>
      <c r="C5777" s="5" t="s">
        <v>69</v>
      </c>
      <c r="D5777" s="5" t="s">
        <v>70</v>
      </c>
      <c r="E5777" s="5" t="s">
        <v>48</v>
      </c>
      <c r="F5777" s="9">
        <v>67</v>
      </c>
      <c r="G5777" s="9">
        <v>698</v>
      </c>
      <c r="H5777" s="5" t="s">
        <v>20</v>
      </c>
      <c r="I5777" s="5" t="s">
        <v>12858</v>
      </c>
      <c r="J5777" s="12" t="str">
        <f>HYPERLINK("https://www.boe.es/gazeta/dias/1806/08/15/pdfs/GMD-1806-67.pdf#page=6","Abrir facsímil")</f>
        <v>Abrir facsímil</v>
      </c>
      <c r="K5777" s="15" t="s">
        <v>22</v>
      </c>
    </row>
    <row r="5778" spans="1:11" ht="42" customHeight="1">
      <c r="A5778" s="4" t="s">
        <v>12853</v>
      </c>
      <c r="B5778" s="5" t="s">
        <v>12854</v>
      </c>
      <c r="C5778" s="5" t="s">
        <v>69</v>
      </c>
      <c r="D5778" s="5" t="s">
        <v>70</v>
      </c>
      <c r="E5778" s="5" t="s">
        <v>327</v>
      </c>
      <c r="F5778" s="9">
        <v>104</v>
      </c>
      <c r="G5778" s="9">
        <v>1107</v>
      </c>
      <c r="H5778" s="5" t="s">
        <v>20</v>
      </c>
      <c r="I5778" s="5" t="s">
        <v>12859</v>
      </c>
      <c r="J5778" s="12" t="str">
        <f>HYPERLINK("https://www.boe.es/gazeta/dias/1806/12/23/pdfs/GMD-1806-104.pdf#page=7","Abrir facsímil")</f>
        <v>Abrir facsímil</v>
      </c>
      <c r="K5778" s="15" t="s">
        <v>22</v>
      </c>
    </row>
    <row r="5779" spans="1:11" ht="42" customHeight="1">
      <c r="A5779" s="4" t="s">
        <v>12860</v>
      </c>
      <c r="B5779" s="5" t="s">
        <v>12860</v>
      </c>
      <c r="C5779" s="5" t="s">
        <v>69</v>
      </c>
      <c r="D5779" s="5" t="s">
        <v>70</v>
      </c>
      <c r="E5779" s="5" t="s">
        <v>86</v>
      </c>
      <c r="F5779" s="9">
        <v>53</v>
      </c>
      <c r="G5779" s="9">
        <v>549</v>
      </c>
      <c r="H5779" s="5" t="s">
        <v>20</v>
      </c>
      <c r="I5779" s="5" t="s">
        <v>12861</v>
      </c>
      <c r="J5779" s="12" t="str">
        <f>HYPERLINK("https://www.boe.es/gazeta/dias/1806/06/27/pdfs/GMD-1806-53.pdf#page=5","Abrir facsímil")</f>
        <v>Abrir facsímil</v>
      </c>
      <c r="K5779" s="15" t="s">
        <v>22</v>
      </c>
    </row>
    <row r="5780" spans="1:11" ht="42" customHeight="1">
      <c r="A5780" s="4" t="s">
        <v>12862</v>
      </c>
      <c r="B5780" s="5" t="s">
        <v>12863</v>
      </c>
      <c r="C5780" s="5" t="s">
        <v>17</v>
      </c>
      <c r="D5780" s="5" t="s">
        <v>18</v>
      </c>
      <c r="E5780" s="5" t="s">
        <v>110</v>
      </c>
      <c r="F5780" s="9">
        <v>55</v>
      </c>
      <c r="G5780" s="9">
        <v>574</v>
      </c>
      <c r="H5780" s="5" t="s">
        <v>20</v>
      </c>
      <c r="I5780" s="5" t="s">
        <v>12864</v>
      </c>
      <c r="J5780" s="12" t="str">
        <f>HYPERLINK("https://www.boe.es/gazeta/dias/1806/07/04/pdfs/GMD-1806-55.pdf#page=10","Abrir facsímil")</f>
        <v>Abrir facsímil</v>
      </c>
      <c r="K5780" s="15" t="s">
        <v>22</v>
      </c>
    </row>
    <row r="5781" spans="1:11" ht="42" customHeight="1">
      <c r="A5781" s="4" t="s">
        <v>12865</v>
      </c>
      <c r="B5781" s="5" t="s">
        <v>12866</v>
      </c>
      <c r="C5781" s="5" t="s">
        <v>31</v>
      </c>
      <c r="D5781" s="5" t="s">
        <v>32</v>
      </c>
      <c r="E5781" s="5" t="s">
        <v>271</v>
      </c>
      <c r="F5781" s="9">
        <v>6</v>
      </c>
      <c r="G5781" s="9">
        <v>54</v>
      </c>
      <c r="H5781" s="5" t="s">
        <v>20</v>
      </c>
      <c r="I5781" s="5" t="s">
        <v>12867</v>
      </c>
      <c r="J5781" s="12" t="str">
        <f>HYPERLINK("https://www.boe.es/gazeta/dias/1806/01/17/pdfs/GMD-1806-6.pdf#page=10","Abrir facsímil")</f>
        <v>Abrir facsímil</v>
      </c>
      <c r="K5781" s="15" t="s">
        <v>22</v>
      </c>
    </row>
    <row r="5782" spans="1:11" ht="42" customHeight="1">
      <c r="A5782" s="4" t="s">
        <v>12868</v>
      </c>
      <c r="B5782" s="5" t="s">
        <v>12869</v>
      </c>
      <c r="C5782" s="5" t="s">
        <v>36</v>
      </c>
      <c r="D5782" s="5" t="s">
        <v>37</v>
      </c>
      <c r="E5782" s="5" t="s">
        <v>90</v>
      </c>
      <c r="F5782" s="9">
        <v>60</v>
      </c>
      <c r="G5782" s="9">
        <v>627</v>
      </c>
      <c r="H5782" s="5" t="s">
        <v>20</v>
      </c>
      <c r="I5782" s="5" t="s">
        <v>12870</v>
      </c>
      <c r="J5782" s="12" t="str">
        <f>HYPERLINK("https://www.boe.es/gazeta/dias/1806/07/22/pdfs/GMD-1806-60.pdf#page=11","Abrir facsímil")</f>
        <v>Abrir facsímil</v>
      </c>
      <c r="K5782" s="15" t="s">
        <v>22</v>
      </c>
    </row>
    <row r="5783" spans="1:11" ht="42" customHeight="1">
      <c r="A5783" s="4" t="s">
        <v>12871</v>
      </c>
      <c r="B5783" s="5" t="s">
        <v>12872</v>
      </c>
      <c r="C5783" s="5" t="s">
        <v>69</v>
      </c>
      <c r="D5783" s="5" t="s">
        <v>70</v>
      </c>
      <c r="E5783" s="5" t="s">
        <v>231</v>
      </c>
      <c r="F5783" s="9">
        <v>89</v>
      </c>
      <c r="G5783" s="9">
        <v>916</v>
      </c>
      <c r="H5783" s="5" t="s">
        <v>20</v>
      </c>
      <c r="I5783" s="5" t="s">
        <v>12873</v>
      </c>
      <c r="J5783" s="12" t="str">
        <f>HYPERLINK("https://www.boe.es/gazeta/dias/1806/10/31/pdfs/GMD-1806-89.pdf#page=4","Abrir facsímil")</f>
        <v>Abrir facsímil</v>
      </c>
      <c r="K5783" s="15" t="s">
        <v>22</v>
      </c>
    </row>
    <row r="5784" spans="1:11" ht="42" customHeight="1">
      <c r="A5784" s="4" t="s">
        <v>12874</v>
      </c>
      <c r="B5784" s="5" t="s">
        <v>12875</v>
      </c>
      <c r="C5784" s="5" t="s">
        <v>42</v>
      </c>
      <c r="D5784" s="5" t="s">
        <v>43</v>
      </c>
      <c r="E5784" s="5" t="s">
        <v>400</v>
      </c>
      <c r="F5784" s="9">
        <v>22</v>
      </c>
      <c r="G5784" s="9">
        <v>207</v>
      </c>
      <c r="H5784" s="5" t="s">
        <v>20</v>
      </c>
      <c r="I5784" s="5" t="s">
        <v>12876</v>
      </c>
      <c r="J5784" s="12" t="str">
        <f>HYPERLINK("https://www.boe.es/gazeta/dias/1806/03/11/pdfs/GMD-1806-22.pdf#page=7","Abrir facsímil")</f>
        <v>Abrir facsímil</v>
      </c>
      <c r="K5784" s="15" t="s">
        <v>22</v>
      </c>
    </row>
    <row r="5785" spans="1:11" ht="42" customHeight="1">
      <c r="A5785" s="4" t="s">
        <v>12877</v>
      </c>
      <c r="B5785" s="5" t="s">
        <v>12878</v>
      </c>
      <c r="C5785" s="5" t="s">
        <v>42</v>
      </c>
      <c r="D5785" s="5" t="s">
        <v>43</v>
      </c>
      <c r="E5785" s="5" t="s">
        <v>474</v>
      </c>
      <c r="F5785" s="9">
        <v>10</v>
      </c>
      <c r="G5785" s="9">
        <v>92</v>
      </c>
      <c r="H5785" s="5" t="s">
        <v>20</v>
      </c>
      <c r="I5785" s="5" t="s">
        <v>12879</v>
      </c>
      <c r="J5785" s="12" t="str">
        <f>HYPERLINK("https://www.boe.es/gazeta/dias/1806/01/28/pdfs/GMD-1806-10.pdf#page=8","Abrir facsímil")</f>
        <v>Abrir facsímil</v>
      </c>
      <c r="K5785" s="15" t="s">
        <v>22</v>
      </c>
    </row>
    <row r="5786" spans="1:11" ht="42" customHeight="1">
      <c r="A5786" s="4" t="s">
        <v>12877</v>
      </c>
      <c r="B5786" s="5" t="s">
        <v>12878</v>
      </c>
      <c r="C5786" s="5" t="s">
        <v>31</v>
      </c>
      <c r="D5786" s="5" t="s">
        <v>32</v>
      </c>
      <c r="E5786" s="5" t="s">
        <v>127</v>
      </c>
      <c r="F5786" s="9">
        <v>81</v>
      </c>
      <c r="G5786" s="9">
        <v>837</v>
      </c>
      <c r="H5786" s="5" t="s">
        <v>20</v>
      </c>
      <c r="I5786" s="5" t="s">
        <v>12880</v>
      </c>
      <c r="J5786" s="12" t="str">
        <f>HYPERLINK("https://www.boe.es/gazeta/dias/1806/10/03/pdfs/GMD-1806-81.pdf#page=5","Abrir facsímil")</f>
        <v>Abrir facsímil</v>
      </c>
      <c r="K5786" s="15" t="s">
        <v>22</v>
      </c>
    </row>
    <row r="5787" spans="1:11" ht="42" customHeight="1">
      <c r="A5787" s="4" t="s">
        <v>12881</v>
      </c>
      <c r="B5787" s="5" t="s">
        <v>12882</v>
      </c>
      <c r="C5787" s="5" t="s">
        <v>31</v>
      </c>
      <c r="D5787" s="5" t="s">
        <v>32</v>
      </c>
      <c r="E5787" s="5" t="s">
        <v>348</v>
      </c>
      <c r="F5787" s="9">
        <v>88</v>
      </c>
      <c r="G5787" s="9">
        <v>910</v>
      </c>
      <c r="H5787" s="5" t="s">
        <v>20</v>
      </c>
      <c r="I5787" s="5" t="s">
        <v>12883</v>
      </c>
      <c r="J5787" s="12" t="str">
        <f>HYPERLINK("https://www.boe.es/gazeta/dias/1806/10/28/pdfs/GMD-1806-88.pdf#page=6","Abrir facsímil")</f>
        <v>Abrir facsímil</v>
      </c>
      <c r="K5787" s="15" t="s">
        <v>22</v>
      </c>
    </row>
    <row r="5788" spans="1:11" ht="42" customHeight="1">
      <c r="A5788" s="4" t="s">
        <v>12884</v>
      </c>
      <c r="B5788" s="5" t="s">
        <v>12885</v>
      </c>
      <c r="C5788" s="5" t="s">
        <v>31</v>
      </c>
      <c r="D5788" s="5" t="s">
        <v>32</v>
      </c>
      <c r="E5788" s="5" t="s">
        <v>1005</v>
      </c>
      <c r="F5788" s="9">
        <v>76</v>
      </c>
      <c r="G5788" s="9">
        <v>786</v>
      </c>
      <c r="H5788" s="5" t="s">
        <v>20</v>
      </c>
      <c r="I5788" s="5" t="s">
        <v>12886</v>
      </c>
      <c r="J5788" s="12" t="str">
        <f>HYPERLINK("https://www.boe.es/gazeta/dias/1806/09/16/pdfs/GMD-1806-76.pdf#page=6","Abrir facsímil")</f>
        <v>Abrir facsímil</v>
      </c>
      <c r="K5788" s="15" t="s">
        <v>22</v>
      </c>
    </row>
    <row r="5789" spans="1:11" ht="42" customHeight="1">
      <c r="A5789" s="4" t="s">
        <v>12887</v>
      </c>
      <c r="B5789" s="5" t="s">
        <v>12888</v>
      </c>
      <c r="C5789" s="5" t="s">
        <v>69</v>
      </c>
      <c r="D5789" s="5" t="s">
        <v>70</v>
      </c>
      <c r="E5789" s="5" t="s">
        <v>327</v>
      </c>
      <c r="F5789" s="9">
        <v>104</v>
      </c>
      <c r="G5789" s="9">
        <v>1104</v>
      </c>
      <c r="H5789" s="5" t="s">
        <v>20</v>
      </c>
      <c r="I5789" s="5" t="s">
        <v>12889</v>
      </c>
      <c r="J5789" s="12" t="str">
        <f>HYPERLINK("https://www.boe.es/gazeta/dias/1806/12/23/pdfs/GMD-1806-104.pdf#page=4","Abrir facsímil")</f>
        <v>Abrir facsímil</v>
      </c>
      <c r="K5789" s="15" t="s">
        <v>22</v>
      </c>
    </row>
    <row r="5790" spans="1:11" ht="42" customHeight="1">
      <c r="A5790" s="4" t="s">
        <v>12890</v>
      </c>
      <c r="B5790" s="5" t="s">
        <v>12891</v>
      </c>
      <c r="C5790" s="5" t="s">
        <v>69</v>
      </c>
      <c r="D5790" s="5" t="s">
        <v>70</v>
      </c>
      <c r="E5790" s="5" t="s">
        <v>301</v>
      </c>
      <c r="F5790" s="9">
        <v>75</v>
      </c>
      <c r="G5790" s="9">
        <v>771</v>
      </c>
      <c r="H5790" s="5" t="s">
        <v>20</v>
      </c>
      <c r="I5790" s="5" t="s">
        <v>12892</v>
      </c>
      <c r="J5790" s="12" t="str">
        <f>HYPERLINK("https://www.boe.es/gazeta/dias/1806/09/12/pdfs/GMD-1806-75.pdf#page=3","Abrir facsímil")</f>
        <v>Abrir facsímil</v>
      </c>
      <c r="K5790" s="15" t="s">
        <v>22</v>
      </c>
    </row>
    <row r="5791" spans="1:11" ht="42" customHeight="1">
      <c r="A5791" s="4" t="s">
        <v>12893</v>
      </c>
      <c r="B5791" s="5" t="s">
        <v>12894</v>
      </c>
      <c r="C5791" s="5" t="s">
        <v>31</v>
      </c>
      <c r="D5791" s="5" t="s">
        <v>32</v>
      </c>
      <c r="E5791" s="5" t="s">
        <v>55</v>
      </c>
      <c r="F5791" s="9">
        <v>20</v>
      </c>
      <c r="G5791" s="9">
        <v>184</v>
      </c>
      <c r="H5791" s="5" t="s">
        <v>20</v>
      </c>
      <c r="I5791" s="5" t="s">
        <v>12895</v>
      </c>
      <c r="J5791" s="12" t="str">
        <f>HYPERLINK("https://www.boe.es/gazeta/dias/1806/03/04/pdfs/GMD-1806-20.pdf#page=8","Abrir facsímil")</f>
        <v>Abrir facsímil</v>
      </c>
      <c r="K5791" s="15" t="s">
        <v>22</v>
      </c>
    </row>
    <row r="5792" spans="1:11" ht="42" customHeight="1">
      <c r="A5792" s="4" t="s">
        <v>12896</v>
      </c>
      <c r="B5792" s="5" t="s">
        <v>12896</v>
      </c>
      <c r="C5792" s="5" t="s">
        <v>69</v>
      </c>
      <c r="D5792" s="5" t="s">
        <v>70</v>
      </c>
      <c r="E5792" s="5" t="s">
        <v>405</v>
      </c>
      <c r="F5792" s="9">
        <v>80</v>
      </c>
      <c r="G5792" s="9">
        <v>827</v>
      </c>
      <c r="H5792" s="5" t="s">
        <v>20</v>
      </c>
      <c r="I5792" s="5" t="s">
        <v>12897</v>
      </c>
      <c r="J5792" s="12" t="str">
        <f>HYPERLINK("https://www.boe.es/gazeta/dias/1806/09/30/pdfs/GMD-1806-80.pdf#page=7","Abrir facsímil")</f>
        <v>Abrir facsímil</v>
      </c>
      <c r="K5792" s="15" t="s">
        <v>22</v>
      </c>
    </row>
    <row r="5793" spans="1:11" ht="42" customHeight="1">
      <c r="A5793" s="4" t="s">
        <v>12898</v>
      </c>
      <c r="B5793" s="5" t="s">
        <v>12899</v>
      </c>
      <c r="C5793" s="5" t="s">
        <v>69</v>
      </c>
      <c r="D5793" s="5" t="s">
        <v>70</v>
      </c>
      <c r="E5793" s="5" t="s">
        <v>297</v>
      </c>
      <c r="F5793" s="9">
        <v>94</v>
      </c>
      <c r="G5793" s="9">
        <v>983</v>
      </c>
      <c r="H5793" s="5" t="s">
        <v>20</v>
      </c>
      <c r="I5793" s="5" t="s">
        <v>12900</v>
      </c>
      <c r="J5793" s="12" t="str">
        <f>HYPERLINK("https://www.boe.es/gazeta/dias/1806/11/18/pdfs/GMD-1806-94.pdf#page=3","Abrir facsímil")</f>
        <v>Abrir facsímil</v>
      </c>
      <c r="K5793" s="15" t="s">
        <v>22</v>
      </c>
    </row>
    <row r="5794" spans="1:11" ht="42" customHeight="1">
      <c r="A5794" s="4" t="s">
        <v>12901</v>
      </c>
      <c r="B5794" s="5" t="s">
        <v>12902</v>
      </c>
      <c r="C5794" s="5" t="s">
        <v>17</v>
      </c>
      <c r="D5794" s="5" t="s">
        <v>18</v>
      </c>
      <c r="E5794" s="5" t="s">
        <v>580</v>
      </c>
      <c r="F5794" s="9">
        <v>23</v>
      </c>
      <c r="G5794" s="9">
        <v>221</v>
      </c>
      <c r="H5794" s="5" t="s">
        <v>20</v>
      </c>
      <c r="I5794" s="5" t="s">
        <v>12903</v>
      </c>
      <c r="J5794" s="12" t="str">
        <f>HYPERLINK("https://www.boe.es/gazeta/dias/1806/03/14/pdfs/GMD-1806-23.pdf#page=9","Abrir facsímil")</f>
        <v>Abrir facsímil</v>
      </c>
      <c r="K5794" s="15" t="s">
        <v>22</v>
      </c>
    </row>
    <row r="5795" spans="1:11" ht="42" customHeight="1">
      <c r="A5795" s="4" t="s">
        <v>12904</v>
      </c>
      <c r="B5795" s="5" t="s">
        <v>12905</v>
      </c>
      <c r="C5795" s="5" t="s">
        <v>31</v>
      </c>
      <c r="D5795" s="5" t="s">
        <v>32</v>
      </c>
      <c r="E5795" s="5" t="s">
        <v>118</v>
      </c>
      <c r="F5795" s="9">
        <v>15</v>
      </c>
      <c r="G5795" s="9">
        <v>134</v>
      </c>
      <c r="H5795" s="5" t="s">
        <v>20</v>
      </c>
      <c r="I5795" s="5" t="s">
        <v>12906</v>
      </c>
      <c r="J5795" s="12" t="str">
        <f>HYPERLINK("https://www.boe.es/gazeta/dias/1806/02/14/pdfs/GMD-1806-15.pdf#page=10","Abrir facsímil")</f>
        <v>Abrir facsímil</v>
      </c>
      <c r="K5795" s="15" t="s">
        <v>22</v>
      </c>
    </row>
    <row r="5796" spans="1:11" ht="42" customHeight="1">
      <c r="A5796" s="4" t="s">
        <v>12904</v>
      </c>
      <c r="B5796" s="5" t="s">
        <v>12905</v>
      </c>
      <c r="C5796" s="5" t="s">
        <v>31</v>
      </c>
      <c r="D5796" s="5" t="s">
        <v>32</v>
      </c>
      <c r="E5796" s="5" t="s">
        <v>455</v>
      </c>
      <c r="F5796" s="9">
        <v>85</v>
      </c>
      <c r="G5796" s="9">
        <v>881</v>
      </c>
      <c r="H5796" s="5" t="s">
        <v>20</v>
      </c>
      <c r="I5796" s="5" t="s">
        <v>12907</v>
      </c>
      <c r="J5796" s="12" t="str">
        <f>HYPERLINK("https://www.boe.es/gazeta/dias/1806/10/17/pdfs/GMD-1806-85.pdf#page=9","Abrir facsímil")</f>
        <v>Abrir facsímil</v>
      </c>
      <c r="K5796" s="15" t="s">
        <v>22</v>
      </c>
    </row>
    <row r="5797" spans="1:11" ht="42" customHeight="1">
      <c r="A5797" s="4" t="s">
        <v>12908</v>
      </c>
      <c r="B5797" s="5" t="s">
        <v>12909</v>
      </c>
      <c r="C5797" s="5" t="s">
        <v>31</v>
      </c>
      <c r="D5797" s="5" t="s">
        <v>32</v>
      </c>
      <c r="E5797" s="5" t="s">
        <v>185</v>
      </c>
      <c r="F5797" s="9">
        <v>46</v>
      </c>
      <c r="G5797" s="9">
        <v>469</v>
      </c>
      <c r="H5797" s="5" t="s">
        <v>20</v>
      </c>
      <c r="I5797" s="5" t="s">
        <v>12910</v>
      </c>
      <c r="J5797" s="12" t="str">
        <f>HYPERLINK("https://www.boe.es/gazeta/dias/1806/06/03/pdfs/GMD-1806-46.pdf#page=9","Abrir facsímil")</f>
        <v>Abrir facsímil</v>
      </c>
      <c r="K5797" s="15" t="s">
        <v>22</v>
      </c>
    </row>
    <row r="5798" spans="1:11" ht="42" customHeight="1">
      <c r="A5798" s="4" t="s">
        <v>12911</v>
      </c>
      <c r="B5798" s="5" t="s">
        <v>12912</v>
      </c>
      <c r="C5798" s="5" t="s">
        <v>17</v>
      </c>
      <c r="D5798" s="5" t="s">
        <v>18</v>
      </c>
      <c r="E5798" s="5" t="s">
        <v>348</v>
      </c>
      <c r="F5798" s="9">
        <v>88</v>
      </c>
      <c r="G5798" s="9">
        <v>911</v>
      </c>
      <c r="H5798" s="5" t="s">
        <v>20</v>
      </c>
      <c r="I5798" s="5" t="s">
        <v>12913</v>
      </c>
      <c r="J5798" s="12" t="str">
        <f>HYPERLINK("https://www.boe.es/gazeta/dias/1806/10/28/pdfs/GMD-1806-88.pdf#page=7","Abrir facsímil")</f>
        <v>Abrir facsímil</v>
      </c>
      <c r="K5798" s="15" t="s">
        <v>22</v>
      </c>
    </row>
    <row r="5799" spans="1:11" ht="42" customHeight="1">
      <c r="A5799" s="4" t="s">
        <v>12914</v>
      </c>
      <c r="B5799" s="5" t="s">
        <v>12914</v>
      </c>
      <c r="C5799" s="5" t="s">
        <v>69</v>
      </c>
      <c r="D5799" s="5" t="s">
        <v>70</v>
      </c>
      <c r="E5799" s="5" t="s">
        <v>59</v>
      </c>
      <c r="F5799" s="9">
        <v>21</v>
      </c>
      <c r="G5799" s="9">
        <v>190</v>
      </c>
      <c r="H5799" s="5" t="s">
        <v>20</v>
      </c>
      <c r="I5799" s="5" t="s">
        <v>12915</v>
      </c>
      <c r="J5799" s="12" t="str">
        <f>HYPERLINK("https://www.boe.es/gazeta/dias/1806/03/07/pdfs/GMD-1806-21.pdf#page=2","Abrir facsímil")</f>
        <v>Abrir facsímil</v>
      </c>
      <c r="K5799" s="15" t="s">
        <v>22</v>
      </c>
    </row>
    <row r="5800" spans="1:11" ht="42" customHeight="1">
      <c r="A5800" s="4" t="s">
        <v>12916</v>
      </c>
      <c r="B5800" s="5" t="s">
        <v>12916</v>
      </c>
      <c r="C5800" s="5" t="s">
        <v>69</v>
      </c>
      <c r="D5800" s="5" t="s">
        <v>70</v>
      </c>
      <c r="E5800" s="5" t="s">
        <v>405</v>
      </c>
      <c r="F5800" s="9">
        <v>80</v>
      </c>
      <c r="G5800" s="9">
        <v>829</v>
      </c>
      <c r="H5800" s="5" t="s">
        <v>20</v>
      </c>
      <c r="I5800" s="5" t="s">
        <v>12917</v>
      </c>
      <c r="J5800" s="12" t="str">
        <f>HYPERLINK("https://www.boe.es/gazeta/dias/1806/09/30/pdfs/GMD-1806-80.pdf#page=9","Abrir facsímil")</f>
        <v>Abrir facsímil</v>
      </c>
      <c r="K5800" s="15" t="s">
        <v>22</v>
      </c>
    </row>
    <row r="5801" spans="1:11" ht="42" customHeight="1">
      <c r="A5801" s="6" t="s">
        <v>12918</v>
      </c>
      <c r="B5801" s="7" t="s">
        <v>12919</v>
      </c>
      <c r="C5801" s="7" t="s">
        <v>31</v>
      </c>
      <c r="D5801" s="7" t="s">
        <v>32</v>
      </c>
      <c r="E5801" s="7" t="s">
        <v>554</v>
      </c>
      <c r="F5801" s="10">
        <v>90</v>
      </c>
      <c r="G5801" s="10">
        <v>934</v>
      </c>
      <c r="H5801" s="7" t="s">
        <v>20</v>
      </c>
      <c r="I5801" s="7" t="s">
        <v>12920</v>
      </c>
      <c r="J5801" s="13" t="str">
        <f>HYPERLINK("https://www.boe.es/gazeta/dias/1806/11/04/pdfs/GMD-1806-90.pdf#page=10","Abrir facsímil")</f>
        <v>Abrir facsímil</v>
      </c>
      <c r="K5801" s="16" t="s">
        <v>22</v>
      </c>
    </row>
  </sheetData>
  <mergeCells count="5">
    <mergeCell ref="A1:K1"/>
    <mergeCell ref="A2:K2"/>
    <mergeCell ref="A3:C3"/>
    <mergeCell ref="D3:K3"/>
    <mergeCell ref="A4:K4"/>
  </mergeCells>
  <conditionalFormatting sqref="K7:K5801">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32"/>
  <sheetViews>
    <sheetView showGridLines="0" workbookViewId="0">
      <pane ySplit="3" topLeftCell="A4" activePane="bottomLeft" state="frozen"/>
      <selection pane="bottomLeft"/>
    </sheetView>
  </sheetViews>
  <sheetFormatPr baseColWidth="10" defaultColWidth="8.796875" defaultRowHeight="13.8"/>
  <cols>
    <col min="1" max="1" width="26" customWidth="1"/>
    <col min="2" max="2" width="28" customWidth="1"/>
    <col min="3" max="3" width="26" customWidth="1"/>
    <col min="4" max="4" width="13" customWidth="1"/>
    <col min="5" max="5" width="22" customWidth="1"/>
  </cols>
  <sheetData>
    <row r="1" spans="1:5" ht="31.95" customHeight="1">
      <c r="A1" s="30" t="s">
        <v>12921</v>
      </c>
      <c r="B1" s="30"/>
      <c r="C1" s="30"/>
      <c r="D1" s="30"/>
      <c r="E1" s="30"/>
    </row>
    <row r="3" spans="1:5">
      <c r="A3" s="1" t="s">
        <v>10</v>
      </c>
      <c r="B3" s="1" t="s">
        <v>9</v>
      </c>
      <c r="C3" s="1" t="s">
        <v>12922</v>
      </c>
      <c r="D3" s="1" t="s">
        <v>12923</v>
      </c>
      <c r="E3" s="1" t="s">
        <v>12924</v>
      </c>
    </row>
    <row r="4" spans="1:5">
      <c r="A4" s="20">
        <v>1</v>
      </c>
      <c r="B4" s="17" t="s">
        <v>290</v>
      </c>
      <c r="C4" s="23" t="s">
        <v>12925</v>
      </c>
      <c r="D4" s="23">
        <v>50</v>
      </c>
      <c r="E4" s="26" t="str">
        <f>HYPERLINK("https://www.boe.es/gazeta/dias/1806/01/03/pdfs/GMD-1806-1.pdf","Abrir fascículo")</f>
        <v>Abrir fascículo</v>
      </c>
    </row>
    <row r="5" spans="1:5">
      <c r="A5" s="21">
        <v>2</v>
      </c>
      <c r="B5" s="18" t="s">
        <v>188</v>
      </c>
      <c r="C5" s="24" t="s">
        <v>12926</v>
      </c>
      <c r="D5" s="24">
        <v>36</v>
      </c>
      <c r="E5" s="27" t="str">
        <f>HYPERLINK("https://www.boe.es/gazeta/dias/1806/01/07/pdfs/GMD-1806-2.pdf","Abrir fascículo")</f>
        <v>Abrir fascículo</v>
      </c>
    </row>
    <row r="6" spans="1:5">
      <c r="A6" s="21">
        <v>3</v>
      </c>
      <c r="B6" s="18" t="s">
        <v>19</v>
      </c>
      <c r="C6" s="24" t="s">
        <v>12927</v>
      </c>
      <c r="D6" s="24">
        <v>35</v>
      </c>
      <c r="E6" s="27" t="str">
        <f>HYPERLINK("https://www.boe.es/gazeta/dias/1806/01/10/pdfs/GMD-1806-3.pdf","Abrir fascículo")</f>
        <v>Abrir fascículo</v>
      </c>
    </row>
    <row r="7" spans="1:5">
      <c r="A7" s="21">
        <v>4</v>
      </c>
      <c r="B7" s="18" t="s">
        <v>195</v>
      </c>
      <c r="C7" s="24" t="s">
        <v>12928</v>
      </c>
      <c r="D7" s="24">
        <v>79</v>
      </c>
      <c r="E7" s="27" t="str">
        <f>HYPERLINK("https://www.boe.es/gazeta/dias/1806/01/14/pdfs/GMD-1806-4.pdf","Abrir fascículo")</f>
        <v>Abrir fascículo</v>
      </c>
    </row>
    <row r="8" spans="1:5">
      <c r="A8" s="21" t="s">
        <v>708</v>
      </c>
      <c r="B8" s="18" t="s">
        <v>195</v>
      </c>
      <c r="C8" s="24" t="s">
        <v>12929</v>
      </c>
      <c r="D8" s="24">
        <v>21</v>
      </c>
      <c r="E8" s="27" t="str">
        <f>HYPERLINK("https://www.boe.es/gazeta/dias/1806/01/14/pdfs/GMD-1806-5E.pdf","Abrir extraordinaria")</f>
        <v>Abrir extraordinaria</v>
      </c>
    </row>
    <row r="9" spans="1:5">
      <c r="A9" s="21">
        <v>6</v>
      </c>
      <c r="B9" s="18" t="s">
        <v>271</v>
      </c>
      <c r="C9" s="24" t="s">
        <v>12930</v>
      </c>
      <c r="D9" s="24">
        <v>82</v>
      </c>
      <c r="E9" s="27" t="str">
        <f>HYPERLINK("https://www.boe.es/gazeta/dias/1806/01/17/pdfs/GMD-1806-6.pdf","Abrir fascículo")</f>
        <v>Abrir fascículo</v>
      </c>
    </row>
    <row r="10" spans="1:5">
      <c r="A10" s="21">
        <v>7</v>
      </c>
      <c r="B10" s="18" t="s">
        <v>100</v>
      </c>
      <c r="C10" s="24" t="s">
        <v>12931</v>
      </c>
      <c r="D10" s="24">
        <v>58</v>
      </c>
      <c r="E10" s="27" t="str">
        <f>HYPERLINK("https://www.boe.es/gazeta/dias/1806/01/21/pdfs/GMD-1806-7.pdf","Abrir fascículo")</f>
        <v>Abrir fascículo</v>
      </c>
    </row>
    <row r="11" spans="1:5">
      <c r="A11" s="21">
        <v>8</v>
      </c>
      <c r="B11" s="18" t="s">
        <v>363</v>
      </c>
      <c r="C11" s="24" t="s">
        <v>12932</v>
      </c>
      <c r="D11" s="24">
        <v>34</v>
      </c>
      <c r="E11" s="27" t="str">
        <f>HYPERLINK("https://www.boe.es/gazeta/dias/1806/01/24/pdfs/GMD-1806-8.pdf","Abrir fascículo")</f>
        <v>Abrir fascículo</v>
      </c>
    </row>
    <row r="12" spans="1:5">
      <c r="A12" s="21">
        <v>9</v>
      </c>
      <c r="B12" s="18" t="s">
        <v>256</v>
      </c>
      <c r="C12" s="24" t="s">
        <v>12933</v>
      </c>
      <c r="D12" s="24">
        <v>12</v>
      </c>
      <c r="E12" s="27" t="str">
        <f>HYPERLINK("https://www.boe.es/gazeta/dias/1806/01/25/pdfs/GMD-1806-9.pdf","Abrir fascículo")</f>
        <v>Abrir fascículo</v>
      </c>
    </row>
    <row r="13" spans="1:5">
      <c r="A13" s="21">
        <v>10</v>
      </c>
      <c r="B13" s="18" t="s">
        <v>474</v>
      </c>
      <c r="C13" s="24" t="s">
        <v>12934</v>
      </c>
      <c r="D13" s="24">
        <v>30</v>
      </c>
      <c r="E13" s="27" t="str">
        <f>HYPERLINK("https://www.boe.es/gazeta/dias/1806/01/28/pdfs/GMD-1806-10.pdf","Abrir fascículo")</f>
        <v>Abrir fascículo</v>
      </c>
    </row>
    <row r="14" spans="1:5">
      <c r="A14" s="21">
        <v>11</v>
      </c>
      <c r="B14" s="18" t="s">
        <v>161</v>
      </c>
      <c r="C14" s="24" t="s">
        <v>12935</v>
      </c>
      <c r="D14" s="24">
        <v>43</v>
      </c>
      <c r="E14" s="27" t="str">
        <f>HYPERLINK("https://www.boe.es/gazeta/dias/1806/01/31/pdfs/GMD-1806-11.pdf","Abrir fascículo")</f>
        <v>Abrir fascículo</v>
      </c>
    </row>
    <row r="15" spans="1:5">
      <c r="A15" s="21">
        <v>12</v>
      </c>
      <c r="B15" s="18" t="s">
        <v>430</v>
      </c>
      <c r="C15" s="24" t="s">
        <v>12936</v>
      </c>
      <c r="D15" s="24">
        <v>39</v>
      </c>
      <c r="E15" s="27" t="str">
        <f>HYPERLINK("https://www.boe.es/gazeta/dias/1806/02/04/pdfs/GMD-1806-12.pdf","Abrir fascículo")</f>
        <v>Abrir fascículo</v>
      </c>
    </row>
    <row r="16" spans="1:5">
      <c r="A16" s="21">
        <v>13</v>
      </c>
      <c r="B16" s="18" t="s">
        <v>285</v>
      </c>
      <c r="C16" s="24" t="s">
        <v>12937</v>
      </c>
      <c r="D16" s="24">
        <v>56</v>
      </c>
      <c r="E16" s="27" t="str">
        <f>HYPERLINK("https://www.boe.es/gazeta/dias/1806/02/07/pdfs/GMD-1806-13.pdf","Abrir fascículo")</f>
        <v>Abrir fascículo</v>
      </c>
    </row>
    <row r="17" spans="1:5">
      <c r="A17" s="21">
        <v>14</v>
      </c>
      <c r="B17" s="18" t="s">
        <v>669</v>
      </c>
      <c r="C17" s="24" t="s">
        <v>12938</v>
      </c>
      <c r="D17" s="24">
        <v>19</v>
      </c>
      <c r="E17" s="27" t="str">
        <f>HYPERLINK("https://www.boe.es/gazeta/dias/1806/02/11/pdfs/GMD-1806-14.pdf","Abrir fascículo")</f>
        <v>Abrir fascículo</v>
      </c>
    </row>
    <row r="18" spans="1:5">
      <c r="A18" s="21">
        <v>15</v>
      </c>
      <c r="B18" s="18" t="s">
        <v>118</v>
      </c>
      <c r="C18" s="24" t="s">
        <v>12939</v>
      </c>
      <c r="D18" s="24">
        <v>61</v>
      </c>
      <c r="E18" s="27" t="str">
        <f>HYPERLINK("https://www.boe.es/gazeta/dias/1806/02/14/pdfs/GMD-1806-15.pdf","Abrir fascículo")</f>
        <v>Abrir fascículo</v>
      </c>
    </row>
    <row r="19" spans="1:5">
      <c r="A19" s="21">
        <v>16</v>
      </c>
      <c r="B19" s="18" t="s">
        <v>1778</v>
      </c>
      <c r="C19" s="24" t="s">
        <v>12940</v>
      </c>
      <c r="D19" s="24">
        <v>28</v>
      </c>
      <c r="E19" s="27" t="str">
        <f>HYPERLINK("https://www.boe.es/gazeta/dias/1806/02/18/pdfs/GMD-1806-16.pdf","Abrir fascículo")</f>
        <v>Abrir fascículo</v>
      </c>
    </row>
    <row r="20" spans="1:5">
      <c r="A20" s="21">
        <v>17</v>
      </c>
      <c r="B20" s="18" t="s">
        <v>172</v>
      </c>
      <c r="C20" s="24" t="s">
        <v>12941</v>
      </c>
      <c r="D20" s="24">
        <v>53</v>
      </c>
      <c r="E20" s="27" t="str">
        <f>HYPERLINK("https://www.boe.es/gazeta/dias/1806/02/21/pdfs/GMD-1806-17.pdf","Abrir fascículo")</f>
        <v>Abrir fascículo</v>
      </c>
    </row>
    <row r="21" spans="1:5">
      <c r="A21" s="21">
        <v>18</v>
      </c>
      <c r="B21" s="18" t="s">
        <v>238</v>
      </c>
      <c r="C21" s="24" t="s">
        <v>12942</v>
      </c>
      <c r="D21" s="24">
        <v>74</v>
      </c>
      <c r="E21" s="27" t="str">
        <f>HYPERLINK("https://www.boe.es/gazeta/dias/1806/02/25/pdfs/GMD-1806-18.pdf","Abrir fascículo")</f>
        <v>Abrir fascículo</v>
      </c>
    </row>
    <row r="22" spans="1:5">
      <c r="A22" s="21">
        <v>19</v>
      </c>
      <c r="B22" s="18" t="s">
        <v>121</v>
      </c>
      <c r="C22" s="24" t="s">
        <v>12943</v>
      </c>
      <c r="D22" s="24">
        <v>49</v>
      </c>
      <c r="E22" s="27" t="str">
        <f>HYPERLINK("https://www.boe.es/gazeta/dias/1806/02/28/pdfs/GMD-1806-19.pdf","Abrir fascículo")</f>
        <v>Abrir fascículo</v>
      </c>
    </row>
    <row r="23" spans="1:5">
      <c r="A23" s="21">
        <v>20</v>
      </c>
      <c r="B23" s="18" t="s">
        <v>55</v>
      </c>
      <c r="C23" s="24" t="s">
        <v>12944</v>
      </c>
      <c r="D23" s="24">
        <v>122</v>
      </c>
      <c r="E23" s="27" t="str">
        <f>HYPERLINK("https://www.boe.es/gazeta/dias/1806/03/04/pdfs/GMD-1806-20.pdf","Abrir fascículo")</f>
        <v>Abrir fascículo</v>
      </c>
    </row>
    <row r="24" spans="1:5">
      <c r="A24" s="21">
        <v>21</v>
      </c>
      <c r="B24" s="18" t="s">
        <v>59</v>
      </c>
      <c r="C24" s="24" t="s">
        <v>12945</v>
      </c>
      <c r="D24" s="24">
        <v>57</v>
      </c>
      <c r="E24" s="27" t="str">
        <f>HYPERLINK("https://www.boe.es/gazeta/dias/1806/03/07/pdfs/GMD-1806-21.pdf","Abrir fascículo")</f>
        <v>Abrir fascículo</v>
      </c>
    </row>
    <row r="25" spans="1:5">
      <c r="A25" s="21">
        <v>22</v>
      </c>
      <c r="B25" s="18" t="s">
        <v>400</v>
      </c>
      <c r="C25" s="24" t="s">
        <v>12946</v>
      </c>
      <c r="D25" s="24">
        <v>78</v>
      </c>
      <c r="E25" s="27" t="str">
        <f>HYPERLINK("https://www.boe.es/gazeta/dias/1806/03/11/pdfs/GMD-1806-22.pdf","Abrir fascículo")</f>
        <v>Abrir fascículo</v>
      </c>
    </row>
    <row r="26" spans="1:5">
      <c r="A26" s="21">
        <v>23</v>
      </c>
      <c r="B26" s="18" t="s">
        <v>580</v>
      </c>
      <c r="C26" s="24" t="s">
        <v>12947</v>
      </c>
      <c r="D26" s="24">
        <v>82</v>
      </c>
      <c r="E26" s="27" t="str">
        <f>HYPERLINK("https://www.boe.es/gazeta/dias/1806/03/14/pdfs/GMD-1806-23.pdf","Abrir fascículo")</f>
        <v>Abrir fascículo</v>
      </c>
    </row>
    <row r="27" spans="1:5">
      <c r="A27" s="21">
        <v>24</v>
      </c>
      <c r="B27" s="18" t="s">
        <v>220</v>
      </c>
      <c r="C27" s="24" t="s">
        <v>12948</v>
      </c>
      <c r="D27" s="24">
        <v>71</v>
      </c>
      <c r="E27" s="27" t="str">
        <f>HYPERLINK("https://www.boe.es/gazeta/dias/1806/03/18/pdfs/GMD-1806-24.pdf","Abrir fascículo")</f>
        <v>Abrir fascículo</v>
      </c>
    </row>
    <row r="28" spans="1:5">
      <c r="A28" s="21">
        <v>25</v>
      </c>
      <c r="B28" s="18" t="s">
        <v>124</v>
      </c>
      <c r="C28" s="24" t="s">
        <v>12949</v>
      </c>
      <c r="D28" s="24">
        <v>57</v>
      </c>
      <c r="E28" s="27" t="str">
        <f>HYPERLINK("https://www.boe.es/gazeta/dias/1806/03/21/pdfs/GMD-1806-25.pdf","Abrir fascículo")</f>
        <v>Abrir fascículo</v>
      </c>
    </row>
    <row r="29" spans="1:5">
      <c r="A29" s="21">
        <v>26</v>
      </c>
      <c r="B29" s="18" t="s">
        <v>837</v>
      </c>
      <c r="C29" s="24" t="s">
        <v>12950</v>
      </c>
      <c r="D29" s="24">
        <v>40</v>
      </c>
      <c r="E29" s="27" t="str">
        <f>HYPERLINK("https://www.boe.es/gazeta/dias/1806/03/25/pdfs/GMD-1806-26.pdf","Abrir fascículo")</f>
        <v>Abrir fascículo</v>
      </c>
    </row>
    <row r="30" spans="1:5">
      <c r="A30" s="21">
        <v>27</v>
      </c>
      <c r="B30" s="18" t="s">
        <v>227</v>
      </c>
      <c r="C30" s="24" t="s">
        <v>12951</v>
      </c>
      <c r="D30" s="24">
        <v>59</v>
      </c>
      <c r="E30" s="27" t="str">
        <f>HYPERLINK("https://www.boe.es/gazeta/dias/1806/03/28/pdfs/GMD-1806-27.pdf","Abrir fascículo")</f>
        <v>Abrir fascículo</v>
      </c>
    </row>
    <row r="31" spans="1:5">
      <c r="A31" s="21">
        <v>28</v>
      </c>
      <c r="B31" s="18" t="s">
        <v>113</v>
      </c>
      <c r="C31" s="24" t="s">
        <v>12952</v>
      </c>
      <c r="D31" s="24">
        <v>41</v>
      </c>
      <c r="E31" s="27" t="str">
        <f>HYPERLINK("https://www.boe.es/gazeta/dias/1806/04/01/pdfs/GMD-1806-28.pdf","Abrir fascículo")</f>
        <v>Abrir fascículo</v>
      </c>
    </row>
    <row r="32" spans="1:5">
      <c r="A32" s="21">
        <v>29</v>
      </c>
      <c r="B32" s="18" t="s">
        <v>71</v>
      </c>
      <c r="C32" s="24" t="s">
        <v>12953</v>
      </c>
      <c r="D32" s="24">
        <v>49</v>
      </c>
      <c r="E32" s="27" t="str">
        <f>HYPERLINK("https://www.boe.es/gazeta/dias/1806/04/04/pdfs/GMD-1806-29.pdf","Abrir fascículo")</f>
        <v>Abrir fascículo</v>
      </c>
    </row>
    <row r="33" spans="1:5">
      <c r="A33" s="21">
        <v>30</v>
      </c>
      <c r="B33" s="18" t="s">
        <v>202</v>
      </c>
      <c r="C33" s="24" t="s">
        <v>12954</v>
      </c>
      <c r="D33" s="24">
        <v>53</v>
      </c>
      <c r="E33" s="27" t="str">
        <f>HYPERLINK("https://www.boe.es/gazeta/dias/1806/04/08/pdfs/GMD-1806-30.pdf","Abrir fascículo")</f>
        <v>Abrir fascículo</v>
      </c>
    </row>
    <row r="34" spans="1:5">
      <c r="A34" s="21">
        <v>31</v>
      </c>
      <c r="B34" s="18" t="s">
        <v>340</v>
      </c>
      <c r="C34" s="24" t="s">
        <v>12955</v>
      </c>
      <c r="D34" s="24">
        <v>54</v>
      </c>
      <c r="E34" s="27" t="str">
        <f>HYPERLINK("https://www.boe.es/gazeta/dias/1806/04/11/pdfs/GMD-1806-31.pdf","Abrir fascículo")</f>
        <v>Abrir fascículo</v>
      </c>
    </row>
    <row r="35" spans="1:5">
      <c r="A35" s="21">
        <v>32</v>
      </c>
      <c r="B35" s="18" t="s">
        <v>24</v>
      </c>
      <c r="C35" s="24" t="s">
        <v>12956</v>
      </c>
      <c r="D35" s="24">
        <v>66</v>
      </c>
      <c r="E35" s="27" t="str">
        <f>HYPERLINK("https://www.boe.es/gazeta/dias/1806/04/15/pdfs/GMD-1806-32.pdf","Abrir fascículo")</f>
        <v>Abrir fascículo</v>
      </c>
    </row>
    <row r="36" spans="1:5">
      <c r="A36" s="21">
        <v>33</v>
      </c>
      <c r="B36" s="18" t="s">
        <v>780</v>
      </c>
      <c r="C36" s="24" t="s">
        <v>12957</v>
      </c>
      <c r="D36" s="24">
        <v>41</v>
      </c>
      <c r="E36" s="27" t="str">
        <f>HYPERLINK("https://www.boe.es/gazeta/dias/1806/04/18/pdfs/GMD-1806-33.pdf","Abrir fascículo")</f>
        <v>Abrir fascículo</v>
      </c>
    </row>
    <row r="37" spans="1:5">
      <c r="A37" s="21">
        <v>34</v>
      </c>
      <c r="B37" s="18" t="s">
        <v>259</v>
      </c>
      <c r="C37" s="24" t="s">
        <v>12958</v>
      </c>
      <c r="D37" s="24">
        <v>29</v>
      </c>
      <c r="E37" s="27" t="str">
        <f>HYPERLINK("https://www.boe.es/gazeta/dias/1806/04/22/pdfs/GMD-1806-34.pdf","Abrir fascículo")</f>
        <v>Abrir fascículo</v>
      </c>
    </row>
    <row r="38" spans="1:5">
      <c r="A38" s="21">
        <v>35</v>
      </c>
      <c r="B38" s="18" t="s">
        <v>870</v>
      </c>
      <c r="C38" s="24" t="s">
        <v>12959</v>
      </c>
      <c r="D38" s="24">
        <v>57</v>
      </c>
      <c r="E38" s="27" t="str">
        <f>HYPERLINK("https://www.boe.es/gazeta/dias/1806/04/25/pdfs/GMD-1806-35.pdf","Abrir fascículo")</f>
        <v>Abrir fascículo</v>
      </c>
    </row>
    <row r="39" spans="1:5">
      <c r="A39" s="21">
        <v>36</v>
      </c>
      <c r="B39" s="18" t="s">
        <v>178</v>
      </c>
      <c r="C39" s="24" t="s">
        <v>12960</v>
      </c>
      <c r="D39" s="24">
        <v>57</v>
      </c>
      <c r="E39" s="27" t="str">
        <f>HYPERLINK("https://www.boe.es/gazeta/dias/1806/04/29/pdfs/GMD-1806-36.pdf","Abrir fascículo")</f>
        <v>Abrir fascículo</v>
      </c>
    </row>
    <row r="40" spans="1:5">
      <c r="A40" s="21">
        <v>37</v>
      </c>
      <c r="B40" s="18" t="s">
        <v>689</v>
      </c>
      <c r="C40" s="24" t="s">
        <v>12961</v>
      </c>
      <c r="D40" s="24">
        <v>56</v>
      </c>
      <c r="E40" s="27" t="str">
        <f>HYPERLINK("https://www.boe.es/gazeta/dias/1806/05/02/pdfs/GMD-1806-37.pdf","Abrir fascículo")</f>
        <v>Abrir fascículo</v>
      </c>
    </row>
    <row r="41" spans="1:5">
      <c r="A41" s="21">
        <v>38</v>
      </c>
      <c r="B41" s="18" t="s">
        <v>661</v>
      </c>
      <c r="C41" s="24" t="s">
        <v>12962</v>
      </c>
      <c r="D41" s="24">
        <v>45</v>
      </c>
      <c r="E41" s="27" t="str">
        <f>HYPERLINK("https://www.boe.es/gazeta/dias/1806/05/06/pdfs/GMD-1806-38.pdf","Abrir fascículo")</f>
        <v>Abrir fascículo</v>
      </c>
    </row>
    <row r="42" spans="1:5">
      <c r="A42" s="21">
        <v>39</v>
      </c>
      <c r="B42" s="18" t="s">
        <v>501</v>
      </c>
      <c r="C42" s="24" t="s">
        <v>12963</v>
      </c>
      <c r="D42" s="24">
        <v>51</v>
      </c>
      <c r="E42" s="27" t="str">
        <f>HYPERLINK("https://www.boe.es/gazeta/dias/1806/05/09/pdfs/GMD-1806-39.pdf","Abrir fascículo")</f>
        <v>Abrir fascículo</v>
      </c>
    </row>
    <row r="43" spans="1:5">
      <c r="A43" s="21">
        <v>40</v>
      </c>
      <c r="B43" s="18" t="s">
        <v>175</v>
      </c>
      <c r="C43" s="24" t="s">
        <v>12964</v>
      </c>
      <c r="D43" s="24">
        <v>53</v>
      </c>
      <c r="E43" s="27" t="str">
        <f>HYPERLINK("https://www.boe.es/gazeta/dias/1806/05/13/pdfs/GMD-1806-40.pdf","Abrir fascículo")</f>
        <v>Abrir fascículo</v>
      </c>
    </row>
    <row r="44" spans="1:5">
      <c r="A44" s="21">
        <v>41</v>
      </c>
      <c r="B44" s="18" t="s">
        <v>309</v>
      </c>
      <c r="C44" s="24" t="s">
        <v>12965</v>
      </c>
      <c r="D44" s="24">
        <v>45</v>
      </c>
      <c r="E44" s="27" t="str">
        <f>HYPERLINK("https://www.boe.es/gazeta/dias/1806/05/16/pdfs/GMD-1806-41.pdf","Abrir fascículo")</f>
        <v>Abrir fascículo</v>
      </c>
    </row>
    <row r="45" spans="1:5">
      <c r="A45" s="21">
        <v>42</v>
      </c>
      <c r="B45" s="18" t="s">
        <v>44</v>
      </c>
      <c r="C45" s="24" t="s">
        <v>12966</v>
      </c>
      <c r="D45" s="24">
        <v>44</v>
      </c>
      <c r="E45" s="27" t="str">
        <f>HYPERLINK("https://www.boe.es/gazeta/dias/1806/05/20/pdfs/GMD-1806-42.pdf","Abrir fascículo")</f>
        <v>Abrir fascículo</v>
      </c>
    </row>
    <row r="46" spans="1:5">
      <c r="A46" s="21">
        <v>43</v>
      </c>
      <c r="B46" s="18" t="s">
        <v>702</v>
      </c>
      <c r="C46" s="24" t="s">
        <v>12967</v>
      </c>
      <c r="D46" s="24">
        <v>46</v>
      </c>
      <c r="E46" s="27" t="str">
        <f>HYPERLINK("https://www.boe.es/gazeta/dias/1806/05/23/pdfs/GMD-1806-43.pdf","Abrir fascículo")</f>
        <v>Abrir fascículo</v>
      </c>
    </row>
    <row r="47" spans="1:5">
      <c r="A47" s="21">
        <v>44</v>
      </c>
      <c r="B47" s="18" t="s">
        <v>51</v>
      </c>
      <c r="C47" s="24" t="s">
        <v>12968</v>
      </c>
      <c r="D47" s="24">
        <v>42</v>
      </c>
      <c r="E47" s="27" t="str">
        <f>HYPERLINK("https://www.boe.es/gazeta/dias/1806/05/27/pdfs/GMD-1806-44.pdf","Abrir fascículo")</f>
        <v>Abrir fascículo</v>
      </c>
    </row>
    <row r="48" spans="1:5">
      <c r="A48" s="21">
        <v>45</v>
      </c>
      <c r="B48" s="18" t="s">
        <v>62</v>
      </c>
      <c r="C48" s="24" t="s">
        <v>12969</v>
      </c>
      <c r="D48" s="24">
        <v>62</v>
      </c>
      <c r="E48" s="27" t="str">
        <f>HYPERLINK("https://www.boe.es/gazeta/dias/1806/05/30/pdfs/GMD-1806-45.pdf","Abrir fascículo")</f>
        <v>Abrir fascículo</v>
      </c>
    </row>
    <row r="49" spans="1:5">
      <c r="A49" s="21">
        <v>46</v>
      </c>
      <c r="B49" s="18" t="s">
        <v>185</v>
      </c>
      <c r="C49" s="24" t="s">
        <v>12970</v>
      </c>
      <c r="D49" s="24">
        <v>99</v>
      </c>
      <c r="E49" s="27" t="str">
        <f>HYPERLINK("https://www.boe.es/gazeta/dias/1806/06/03/pdfs/GMD-1806-46.pdf","Abrir fascículo")</f>
        <v>Abrir fascículo</v>
      </c>
    </row>
    <row r="50" spans="1:5">
      <c r="A50" s="21">
        <v>47</v>
      </c>
      <c r="B50" s="18" t="s">
        <v>304</v>
      </c>
      <c r="C50" s="24" t="s">
        <v>12971</v>
      </c>
      <c r="D50" s="24">
        <v>46</v>
      </c>
      <c r="E50" s="27" t="str">
        <f>HYPERLINK("https://www.boe.es/gazeta/dias/1806/06/06/pdfs/GMD-1806-47.pdf","Abrir fascículo")</f>
        <v>Abrir fascículo</v>
      </c>
    </row>
    <row r="51" spans="1:5">
      <c r="A51" s="21" t="s">
        <v>12972</v>
      </c>
      <c r="B51" s="18" t="s">
        <v>304</v>
      </c>
      <c r="C51" s="24" t="s">
        <v>12973</v>
      </c>
      <c r="D51" s="24">
        <v>56</v>
      </c>
      <c r="E51" s="27" t="str">
        <f>HYPERLINK("https://www.boe.es/gazeta/dias/1806/06/06/pdfs/GMD-C-1806-47.pdf","Abrir suplemento")</f>
        <v>Abrir suplemento</v>
      </c>
    </row>
    <row r="52" spans="1:5">
      <c r="A52" s="21">
        <v>48</v>
      </c>
      <c r="B52" s="18" t="s">
        <v>82</v>
      </c>
      <c r="C52" s="24" t="s">
        <v>12974</v>
      </c>
      <c r="D52" s="24">
        <v>68</v>
      </c>
      <c r="E52" s="27" t="str">
        <f>HYPERLINK("https://www.boe.es/gazeta/dias/1806/06/10/pdfs/GMD-1806-48.pdf","Abrir fascículo")</f>
        <v>Abrir fascículo</v>
      </c>
    </row>
    <row r="53" spans="1:5">
      <c r="A53" s="21">
        <v>49</v>
      </c>
      <c r="B53" s="18" t="s">
        <v>1080</v>
      </c>
      <c r="C53" s="24" t="s">
        <v>12975</v>
      </c>
      <c r="D53" s="24">
        <v>35</v>
      </c>
      <c r="E53" s="27" t="str">
        <f>HYPERLINK("https://www.boe.es/gazeta/dias/1806/06/13/pdfs/GMD-1806-49.pdf","Abrir fascículo")</f>
        <v>Abrir fascículo</v>
      </c>
    </row>
    <row r="54" spans="1:5">
      <c r="A54" s="21">
        <v>50</v>
      </c>
      <c r="B54" s="18" t="s">
        <v>136</v>
      </c>
      <c r="C54" s="24" t="s">
        <v>12976</v>
      </c>
      <c r="D54" s="24">
        <v>45</v>
      </c>
      <c r="E54" s="27" t="str">
        <f>HYPERLINK("https://www.boe.es/gazeta/dias/1806/06/17/pdfs/GMD-1806-50.pdf","Abrir fascículo")</f>
        <v>Abrir fascículo</v>
      </c>
    </row>
    <row r="55" spans="1:5">
      <c r="A55" s="21">
        <v>51</v>
      </c>
      <c r="B55" s="18" t="s">
        <v>540</v>
      </c>
      <c r="C55" s="24" t="s">
        <v>12977</v>
      </c>
      <c r="D55" s="24">
        <v>62</v>
      </c>
      <c r="E55" s="27" t="str">
        <f>HYPERLINK("https://www.boe.es/gazeta/dias/1806/06/20/pdfs/GMD-1806-51.pdf","Abrir fascículo")</f>
        <v>Abrir fascículo</v>
      </c>
    </row>
    <row r="56" spans="1:5">
      <c r="A56" s="21">
        <v>52</v>
      </c>
      <c r="B56" s="18" t="s">
        <v>279</v>
      </c>
      <c r="C56" s="24" t="s">
        <v>12978</v>
      </c>
      <c r="D56" s="24">
        <v>71</v>
      </c>
      <c r="E56" s="27" t="str">
        <f>HYPERLINK("https://www.boe.es/gazeta/dias/1806/06/24/pdfs/GMD-1806-52.pdf","Abrir fascículo")</f>
        <v>Abrir fascículo</v>
      </c>
    </row>
    <row r="57" spans="1:5">
      <c r="A57" s="21">
        <v>53</v>
      </c>
      <c r="B57" s="18" t="s">
        <v>86</v>
      </c>
      <c r="C57" s="24" t="s">
        <v>12979</v>
      </c>
      <c r="D57" s="24">
        <v>51</v>
      </c>
      <c r="E57" s="27" t="str">
        <f>HYPERLINK("https://www.boe.es/gazeta/dias/1806/06/27/pdfs/GMD-1806-53.pdf","Abrir fascículo")</f>
        <v>Abrir fascículo</v>
      </c>
    </row>
    <row r="58" spans="1:5">
      <c r="A58" s="21">
        <v>54</v>
      </c>
      <c r="B58" s="18" t="s">
        <v>383</v>
      </c>
      <c r="C58" s="24" t="s">
        <v>12980</v>
      </c>
      <c r="D58" s="24">
        <v>45</v>
      </c>
      <c r="E58" s="27" t="str">
        <f>HYPERLINK("https://www.boe.es/gazeta/dias/1806/07/01/pdfs/GMD-1806-54.pdf","Abrir fascículo")</f>
        <v>Abrir fascículo</v>
      </c>
    </row>
    <row r="59" spans="1:5">
      <c r="A59" s="21">
        <v>55</v>
      </c>
      <c r="B59" s="18" t="s">
        <v>110</v>
      </c>
      <c r="C59" s="24" t="s">
        <v>12981</v>
      </c>
      <c r="D59" s="24">
        <v>71</v>
      </c>
      <c r="E59" s="27" t="str">
        <f>HYPERLINK("https://www.boe.es/gazeta/dias/1806/07/04/pdfs/GMD-1806-55.pdf","Abrir fascículo")</f>
        <v>Abrir fascículo</v>
      </c>
    </row>
    <row r="60" spans="1:5">
      <c r="A60" s="21">
        <v>56</v>
      </c>
      <c r="B60" s="18" t="s">
        <v>716</v>
      </c>
      <c r="C60" s="24" t="s">
        <v>12982</v>
      </c>
      <c r="D60" s="24">
        <v>48</v>
      </c>
      <c r="E60" s="27" t="str">
        <f>HYPERLINK("https://www.boe.es/gazeta/dias/1806/07/08/pdfs/GMD-1806-56.pdf","Abrir fascículo")</f>
        <v>Abrir fascículo</v>
      </c>
    </row>
    <row r="61" spans="1:5">
      <c r="A61" s="21">
        <v>57</v>
      </c>
      <c r="B61" s="18" t="s">
        <v>205</v>
      </c>
      <c r="C61" s="24" t="s">
        <v>12983</v>
      </c>
      <c r="D61" s="24">
        <v>42</v>
      </c>
      <c r="E61" s="27" t="str">
        <f>HYPERLINK("https://www.boe.es/gazeta/dias/1806/07/11/pdfs/GMD-1806-57.pdf","Abrir fascículo")</f>
        <v>Abrir fascículo</v>
      </c>
    </row>
    <row r="62" spans="1:5">
      <c r="A62" s="21">
        <v>58</v>
      </c>
      <c r="B62" s="18" t="s">
        <v>483</v>
      </c>
      <c r="C62" s="24" t="s">
        <v>12984</v>
      </c>
      <c r="D62" s="24">
        <v>45</v>
      </c>
      <c r="E62" s="27" t="str">
        <f>HYPERLINK("https://www.boe.es/gazeta/dias/1806/07/15/pdfs/GMD-1806-58.pdf","Abrir fascículo")</f>
        <v>Abrir fascículo</v>
      </c>
    </row>
    <row r="63" spans="1:5">
      <c r="A63" s="21">
        <v>59</v>
      </c>
      <c r="B63" s="18" t="s">
        <v>306</v>
      </c>
      <c r="C63" s="24" t="s">
        <v>12985</v>
      </c>
      <c r="D63" s="24">
        <v>51</v>
      </c>
      <c r="E63" s="27" t="str">
        <f>HYPERLINK("https://www.boe.es/gazeta/dias/1806/07/18/pdfs/GMD-1806-59.pdf","Abrir fascículo")</f>
        <v>Abrir fascículo</v>
      </c>
    </row>
    <row r="64" spans="1:5">
      <c r="A64" s="21">
        <v>60</v>
      </c>
      <c r="B64" s="18" t="s">
        <v>90</v>
      </c>
      <c r="C64" s="24" t="s">
        <v>12986</v>
      </c>
      <c r="D64" s="24">
        <v>77</v>
      </c>
      <c r="E64" s="27" t="str">
        <f>HYPERLINK("https://www.boe.es/gazeta/dias/1806/07/22/pdfs/GMD-1806-60.pdf","Abrir fascículo")</f>
        <v>Abrir fascículo</v>
      </c>
    </row>
    <row r="65" spans="1:5">
      <c r="A65" s="21">
        <v>61</v>
      </c>
      <c r="B65" s="18" t="s">
        <v>103</v>
      </c>
      <c r="C65" s="24" t="s">
        <v>12987</v>
      </c>
      <c r="D65" s="24">
        <v>62</v>
      </c>
      <c r="E65" s="27" t="str">
        <f>HYPERLINK("https://www.boe.es/gazeta/dias/1806/07/25/pdfs/GMD-1806-61.pdf","Abrir fascículo")</f>
        <v>Abrir fascículo</v>
      </c>
    </row>
    <row r="66" spans="1:5">
      <c r="A66" s="21">
        <v>62</v>
      </c>
      <c r="B66" s="18" t="s">
        <v>96</v>
      </c>
      <c r="C66" s="24" t="s">
        <v>12988</v>
      </c>
      <c r="D66" s="24">
        <v>69</v>
      </c>
      <c r="E66" s="27" t="str">
        <f>HYPERLINK("https://www.boe.es/gazeta/dias/1806/07/29/pdfs/GMD-1806-62.pdf","Abrir fascículo")</f>
        <v>Abrir fascículo</v>
      </c>
    </row>
    <row r="67" spans="1:5">
      <c r="A67" s="21">
        <v>63</v>
      </c>
      <c r="B67" s="18" t="s">
        <v>859</v>
      </c>
      <c r="C67" s="24" t="s">
        <v>12989</v>
      </c>
      <c r="D67" s="24">
        <v>37</v>
      </c>
      <c r="E67" s="27" t="str">
        <f>HYPERLINK("https://www.boe.es/gazeta/dias/1806/08/01/pdfs/GMD-1806-63.pdf","Abrir fascículo")</f>
        <v>Abrir fascículo</v>
      </c>
    </row>
    <row r="68" spans="1:5">
      <c r="A68" s="21">
        <v>64</v>
      </c>
      <c r="B68" s="18" t="s">
        <v>911</v>
      </c>
      <c r="C68" s="24" t="s">
        <v>12990</v>
      </c>
      <c r="D68" s="24">
        <v>32</v>
      </c>
      <c r="E68" s="27" t="str">
        <f>HYPERLINK("https://www.boe.es/gazeta/dias/1806/08/05/pdfs/GMD-1806-64.pdf","Abrir fascículo")</f>
        <v>Abrir fascículo</v>
      </c>
    </row>
    <row r="69" spans="1:5">
      <c r="A69" s="21">
        <v>65</v>
      </c>
      <c r="B69" s="18" t="s">
        <v>26</v>
      </c>
      <c r="C69" s="24" t="s">
        <v>12991</v>
      </c>
      <c r="D69" s="24">
        <v>40</v>
      </c>
      <c r="E69" s="27" t="str">
        <f>HYPERLINK("https://www.boe.es/gazeta/dias/1806/08/08/pdfs/GMD-1806-65.pdf","Abrir fascículo")</f>
        <v>Abrir fascículo</v>
      </c>
    </row>
    <row r="70" spans="1:5">
      <c r="A70" s="21">
        <v>66</v>
      </c>
      <c r="B70" s="18" t="s">
        <v>130</v>
      </c>
      <c r="C70" s="24" t="s">
        <v>12992</v>
      </c>
      <c r="D70" s="24">
        <v>37</v>
      </c>
      <c r="E70" s="27" t="str">
        <f>HYPERLINK("https://www.boe.es/gazeta/dias/1806/08/12/pdfs/GMD-1806-66.pdf","Abrir fascículo")</f>
        <v>Abrir fascículo</v>
      </c>
    </row>
    <row r="71" spans="1:5">
      <c r="A71" s="21">
        <v>67</v>
      </c>
      <c r="B71" s="18" t="s">
        <v>48</v>
      </c>
      <c r="C71" s="24" t="s">
        <v>12993</v>
      </c>
      <c r="D71" s="24">
        <v>74</v>
      </c>
      <c r="E71" s="27" t="str">
        <f>HYPERLINK("https://www.boe.es/gazeta/dias/1806/08/15/pdfs/GMD-1806-67.pdf","Abrir fascículo")</f>
        <v>Abrir fascículo</v>
      </c>
    </row>
    <row r="72" spans="1:5">
      <c r="A72" s="21">
        <v>68</v>
      </c>
      <c r="B72" s="18" t="s">
        <v>79</v>
      </c>
      <c r="C72" s="24" t="s">
        <v>12994</v>
      </c>
      <c r="D72" s="24">
        <v>42</v>
      </c>
      <c r="E72" s="27" t="str">
        <f>HYPERLINK("https://www.boe.es/gazeta/dias/1806/08/19/pdfs/GMD-1806-68.pdf","Abrir fascículo")</f>
        <v>Abrir fascículo</v>
      </c>
    </row>
    <row r="73" spans="1:5">
      <c r="A73" s="21" t="s">
        <v>12995</v>
      </c>
      <c r="B73" s="18" t="s">
        <v>79</v>
      </c>
      <c r="C73" s="24" t="s">
        <v>12996</v>
      </c>
      <c r="D73" s="24">
        <v>1</v>
      </c>
      <c r="E73" s="27" t="str">
        <f>HYPERLINK("https://www.boe.es/gazeta/dias/1806/08/19/pdfs/GMD-C-1806-68.pdf","Abrir suplemento")</f>
        <v>Abrir suplemento</v>
      </c>
    </row>
    <row r="74" spans="1:5">
      <c r="A74" s="21">
        <v>69</v>
      </c>
      <c r="B74" s="18" t="s">
        <v>494</v>
      </c>
      <c r="C74" s="24" t="s">
        <v>12997</v>
      </c>
      <c r="D74" s="24">
        <v>75</v>
      </c>
      <c r="E74" s="27" t="str">
        <f>HYPERLINK("https://www.boe.es/gazeta/dias/1806/08/22/pdfs/GMD-1806-69.pdf","Abrir fascículo")</f>
        <v>Abrir fascículo</v>
      </c>
    </row>
    <row r="75" spans="1:5">
      <c r="A75" s="21">
        <v>70</v>
      </c>
      <c r="B75" s="18" t="s">
        <v>438</v>
      </c>
      <c r="C75" s="24" t="s">
        <v>12998</v>
      </c>
      <c r="D75" s="24">
        <v>59</v>
      </c>
      <c r="E75" s="27" t="str">
        <f>HYPERLINK("https://www.boe.es/gazeta/dias/1806/08/26/pdfs/GMD-1806-70.pdf","Abrir fascículo")</f>
        <v>Abrir fascículo</v>
      </c>
    </row>
    <row r="76" spans="1:5">
      <c r="A76" s="21">
        <v>71</v>
      </c>
      <c r="B76" s="18" t="s">
        <v>810</v>
      </c>
      <c r="C76" s="24" t="s">
        <v>12999</v>
      </c>
      <c r="D76" s="24">
        <v>31</v>
      </c>
      <c r="E76" s="27" t="str">
        <f>HYPERLINK("https://www.boe.es/gazeta/dias/1806/08/29/pdfs/GMD-1806-71.pdf","Abrir fascículo")</f>
        <v>Abrir fascículo</v>
      </c>
    </row>
    <row r="77" spans="1:5">
      <c r="A77" s="21" t="s">
        <v>13000</v>
      </c>
      <c r="B77" s="18" t="s">
        <v>810</v>
      </c>
      <c r="C77" s="24" t="s">
        <v>13001</v>
      </c>
      <c r="D77" s="24">
        <v>2</v>
      </c>
      <c r="E77" s="27" t="str">
        <f>HYPERLINK("https://www.boe.es/gazeta/dias/1806/08/29/pdfs/GMD-C-1806-71.pdf","Abrir suplemento")</f>
        <v>Abrir suplemento</v>
      </c>
    </row>
    <row r="78" spans="1:5">
      <c r="A78" s="21">
        <v>72</v>
      </c>
      <c r="B78" s="18" t="s">
        <v>93</v>
      </c>
      <c r="C78" s="24" t="s">
        <v>13002</v>
      </c>
      <c r="D78" s="24">
        <v>66</v>
      </c>
      <c r="E78" s="27" t="str">
        <f>HYPERLINK("https://www.boe.es/gazeta/dias/1806/09/02/pdfs/GMD-1806-72.pdf","Abrir fascículo")</f>
        <v>Abrir fascículo</v>
      </c>
    </row>
    <row r="79" spans="1:5">
      <c r="A79" s="21">
        <v>73</v>
      </c>
      <c r="B79" s="18" t="s">
        <v>213</v>
      </c>
      <c r="C79" s="24" t="s">
        <v>13003</v>
      </c>
      <c r="D79" s="24">
        <v>73</v>
      </c>
      <c r="E79" s="27" t="str">
        <f>HYPERLINK("https://www.boe.es/gazeta/dias/1806/09/05/pdfs/GMD-1806-73.pdf","Abrir fascículo")</f>
        <v>Abrir fascículo</v>
      </c>
    </row>
    <row r="80" spans="1:5">
      <c r="A80" s="21">
        <v>74</v>
      </c>
      <c r="B80" s="18" t="s">
        <v>434</v>
      </c>
      <c r="C80" s="24" t="s">
        <v>13004</v>
      </c>
      <c r="D80" s="24">
        <v>30</v>
      </c>
      <c r="E80" s="27" t="str">
        <f>HYPERLINK("https://www.boe.es/gazeta/dias/1806/09/09/pdfs/GMD-1806-74.pdf","Abrir fascículo")</f>
        <v>Abrir fascículo</v>
      </c>
    </row>
    <row r="81" spans="1:5">
      <c r="A81" s="21" t="s">
        <v>13005</v>
      </c>
      <c r="B81" s="18" t="s">
        <v>434</v>
      </c>
      <c r="C81" s="24" t="s">
        <v>13006</v>
      </c>
      <c r="D81" s="24">
        <v>9</v>
      </c>
      <c r="E81" s="27" t="str">
        <f>HYPERLINK("https://www.boe.es/gazeta/dias/1806/09/09/pdfs/GMD-C-1806-74.pdf","Abrir suplemento")</f>
        <v>Abrir suplemento</v>
      </c>
    </row>
    <row r="82" spans="1:5">
      <c r="A82" s="21">
        <v>75</v>
      </c>
      <c r="B82" s="18" t="s">
        <v>301</v>
      </c>
      <c r="C82" s="24" t="s">
        <v>13007</v>
      </c>
      <c r="D82" s="24">
        <v>49</v>
      </c>
      <c r="E82" s="27" t="str">
        <f>HYPERLINK("https://www.boe.es/gazeta/dias/1806/09/12/pdfs/GMD-1806-75.pdf","Abrir fascículo")</f>
        <v>Abrir fascículo</v>
      </c>
    </row>
    <row r="83" spans="1:5">
      <c r="A83" s="21">
        <v>76</v>
      </c>
      <c r="B83" s="18" t="s">
        <v>1005</v>
      </c>
      <c r="C83" s="24" t="s">
        <v>13008</v>
      </c>
      <c r="D83" s="24">
        <v>51</v>
      </c>
      <c r="E83" s="27" t="str">
        <f>HYPERLINK("https://www.boe.es/gazeta/dias/1806/09/16/pdfs/GMD-1806-76.pdf","Abrir fascículo")</f>
        <v>Abrir fascículo</v>
      </c>
    </row>
    <row r="84" spans="1:5">
      <c r="A84" s="21">
        <v>77</v>
      </c>
      <c r="B84" s="18" t="s">
        <v>600</v>
      </c>
      <c r="C84" s="24" t="s">
        <v>13009</v>
      </c>
      <c r="D84" s="24">
        <v>36</v>
      </c>
      <c r="E84" s="27" t="str">
        <f>HYPERLINK("https://www.boe.es/gazeta/dias/1806/09/19/pdfs/GMD-1806-77.pdf","Abrir fascículo")</f>
        <v>Abrir fascículo</v>
      </c>
    </row>
    <row r="85" spans="1:5">
      <c r="A85" s="21">
        <v>78</v>
      </c>
      <c r="B85" s="18" t="s">
        <v>148</v>
      </c>
      <c r="C85" s="24" t="s">
        <v>13010</v>
      </c>
      <c r="D85" s="24">
        <v>66</v>
      </c>
      <c r="E85" s="27" t="str">
        <f>HYPERLINK("https://www.boe.es/gazeta/dias/1806/09/23/pdfs/GMD-1806-78.pdf","Abrir fascículo")</f>
        <v>Abrir fascículo</v>
      </c>
    </row>
    <row r="86" spans="1:5">
      <c r="A86" s="21">
        <v>79</v>
      </c>
      <c r="B86" s="18" t="s">
        <v>144</v>
      </c>
      <c r="C86" s="24" t="s">
        <v>13011</v>
      </c>
      <c r="D86" s="24">
        <v>60</v>
      </c>
      <c r="E86" s="27" t="str">
        <f>HYPERLINK("https://www.boe.es/gazeta/dias/1806/09/26/pdfs/GMD-1806-79.pdf","Abrir fascículo")</f>
        <v>Abrir fascículo</v>
      </c>
    </row>
    <row r="87" spans="1:5">
      <c r="A87" s="21">
        <v>80</v>
      </c>
      <c r="B87" s="18" t="s">
        <v>405</v>
      </c>
      <c r="C87" s="24" t="s">
        <v>13012</v>
      </c>
      <c r="D87" s="24">
        <v>52</v>
      </c>
      <c r="E87" s="27" t="str">
        <f>HYPERLINK("https://www.boe.es/gazeta/dias/1806/09/30/pdfs/GMD-1806-80.pdf","Abrir fascículo")</f>
        <v>Abrir fascículo</v>
      </c>
    </row>
    <row r="88" spans="1:5">
      <c r="A88" s="21">
        <v>81</v>
      </c>
      <c r="B88" s="18" t="s">
        <v>127</v>
      </c>
      <c r="C88" s="24" t="s">
        <v>13013</v>
      </c>
      <c r="D88" s="24">
        <v>62</v>
      </c>
      <c r="E88" s="27" t="str">
        <f>HYPERLINK("https://www.boe.es/gazeta/dias/1806/10/03/pdfs/GMD-1806-81.pdf","Abrir fascículo")</f>
        <v>Abrir fascículo</v>
      </c>
    </row>
    <row r="89" spans="1:5">
      <c r="A89" s="21">
        <v>82</v>
      </c>
      <c r="B89" s="18" t="s">
        <v>33</v>
      </c>
      <c r="C89" s="24" t="s">
        <v>13014</v>
      </c>
      <c r="D89" s="24">
        <v>49</v>
      </c>
      <c r="E89" s="27" t="str">
        <f>HYPERLINK("https://www.boe.es/gazeta/dias/1806/10/07/pdfs/GMD-1806-82.pdf","Abrir fascículo")</f>
        <v>Abrir fascículo</v>
      </c>
    </row>
    <row r="90" spans="1:5">
      <c r="A90" s="21">
        <v>83</v>
      </c>
      <c r="B90" s="18" t="s">
        <v>140</v>
      </c>
      <c r="C90" s="24" t="s">
        <v>13015</v>
      </c>
      <c r="D90" s="24">
        <v>83</v>
      </c>
      <c r="E90" s="27" t="str">
        <f>HYPERLINK("https://www.boe.es/gazeta/dias/1806/10/10/pdfs/GMD-1806-83.pdf","Abrir fascículo")</f>
        <v>Abrir fascículo</v>
      </c>
    </row>
    <row r="91" spans="1:5">
      <c r="A91" s="21">
        <v>84</v>
      </c>
      <c r="B91" s="18" t="s">
        <v>1568</v>
      </c>
      <c r="C91" s="24" t="s">
        <v>13016</v>
      </c>
      <c r="D91" s="24">
        <v>34</v>
      </c>
      <c r="E91" s="27" t="str">
        <f>HYPERLINK("https://www.boe.es/gazeta/dias/1806/10/14/pdfs/GMD-1806-84.pdf","Abrir fascículo")</f>
        <v>Abrir fascículo</v>
      </c>
    </row>
    <row r="92" spans="1:5">
      <c r="A92" s="21" t="s">
        <v>13017</v>
      </c>
      <c r="B92" s="18" t="s">
        <v>1568</v>
      </c>
      <c r="C92" s="24" t="s">
        <v>13006</v>
      </c>
      <c r="D92" s="24">
        <v>5</v>
      </c>
      <c r="E92" s="27" t="str">
        <f>HYPERLINK("https://www.boe.es/gazeta/dias/1806/10/14/pdfs/GMD-C-1806-84.pdf","Abrir suplemento")</f>
        <v>Abrir suplemento</v>
      </c>
    </row>
    <row r="93" spans="1:5">
      <c r="A93" s="21">
        <v>85</v>
      </c>
      <c r="B93" s="18" t="s">
        <v>455</v>
      </c>
      <c r="C93" s="24" t="s">
        <v>13018</v>
      </c>
      <c r="D93" s="24">
        <v>65</v>
      </c>
      <c r="E93" s="27" t="str">
        <f>HYPERLINK("https://www.boe.es/gazeta/dias/1806/10/17/pdfs/GMD-1806-85.pdf","Abrir fascículo")</f>
        <v>Abrir fascículo</v>
      </c>
    </row>
    <row r="94" spans="1:5">
      <c r="A94" s="21">
        <v>86</v>
      </c>
      <c r="B94" s="18" t="s">
        <v>816</v>
      </c>
      <c r="C94" s="24" t="s">
        <v>13019</v>
      </c>
      <c r="D94" s="24">
        <v>41</v>
      </c>
      <c r="E94" s="27" t="str">
        <f>HYPERLINK("https://www.boe.es/gazeta/dias/1806/10/21/pdfs/GMD-1806-86.pdf","Abrir fascículo")</f>
        <v>Abrir fascículo</v>
      </c>
    </row>
    <row r="95" spans="1:5">
      <c r="A95" s="21">
        <v>87</v>
      </c>
      <c r="B95" s="18" t="s">
        <v>367</v>
      </c>
      <c r="C95" s="24" t="s">
        <v>13020</v>
      </c>
      <c r="D95" s="24">
        <v>69</v>
      </c>
      <c r="E95" s="27" t="str">
        <f>HYPERLINK("https://www.boe.es/gazeta/dias/1806/10/24/pdfs/GMD-1806-87.pdf","Abrir fascículo")</f>
        <v>Abrir fascículo</v>
      </c>
    </row>
    <row r="96" spans="1:5">
      <c r="A96" s="21">
        <v>88</v>
      </c>
      <c r="B96" s="18" t="s">
        <v>348</v>
      </c>
      <c r="C96" s="24" t="s">
        <v>13021</v>
      </c>
      <c r="D96" s="24">
        <v>67</v>
      </c>
      <c r="E96" s="27" t="str">
        <f>HYPERLINK("https://www.boe.es/gazeta/dias/1806/10/28/pdfs/GMD-1806-88.pdf","Abrir fascículo")</f>
        <v>Abrir fascículo</v>
      </c>
    </row>
    <row r="97" spans="1:5">
      <c r="A97" s="21">
        <v>89</v>
      </c>
      <c r="B97" s="18" t="s">
        <v>231</v>
      </c>
      <c r="C97" s="24" t="s">
        <v>13022</v>
      </c>
      <c r="D97" s="24">
        <v>41</v>
      </c>
      <c r="E97" s="27" t="str">
        <f>HYPERLINK("https://www.boe.es/gazeta/dias/1806/10/31/pdfs/GMD-1806-89.pdf","Abrir fascículo")</f>
        <v>Abrir fascículo</v>
      </c>
    </row>
    <row r="98" spans="1:5">
      <c r="A98" s="21" t="s">
        <v>13023</v>
      </c>
      <c r="B98" s="18" t="s">
        <v>231</v>
      </c>
      <c r="C98" s="24" t="s">
        <v>13001</v>
      </c>
      <c r="D98" s="24">
        <v>0</v>
      </c>
      <c r="E98" s="27" t="str">
        <f>HYPERLINK("https://www.boe.es/gazeta/dias/1806/10/31/pdfs/GMD-C-1806-89.pdf","Abrir suplemento")</f>
        <v>Abrir suplemento</v>
      </c>
    </row>
    <row r="99" spans="1:5">
      <c r="A99" s="21">
        <v>90</v>
      </c>
      <c r="B99" s="18" t="s">
        <v>554</v>
      </c>
      <c r="C99" s="24" t="s">
        <v>13024</v>
      </c>
      <c r="D99" s="24">
        <v>69</v>
      </c>
      <c r="E99" s="27" t="str">
        <f>HYPERLINK("https://www.boe.es/gazeta/dias/1806/11/04/pdfs/GMD-1806-90.pdf","Abrir fascículo")</f>
        <v>Abrir fascículo</v>
      </c>
    </row>
    <row r="100" spans="1:5">
      <c r="A100" s="21" t="s">
        <v>13025</v>
      </c>
      <c r="B100" s="18" t="s">
        <v>554</v>
      </c>
      <c r="C100" s="24" t="s">
        <v>13001</v>
      </c>
      <c r="D100" s="24">
        <v>0</v>
      </c>
      <c r="E100" s="27" t="str">
        <f>HYPERLINK("https://www.boe.es/gazeta/dias/1806/11/04/pdfs/GMD-C-1806-90.pdf","Abrir suplemento")</f>
        <v>Abrir suplemento</v>
      </c>
    </row>
    <row r="101" spans="1:5">
      <c r="A101" s="21">
        <v>91</v>
      </c>
      <c r="B101" s="18" t="s">
        <v>396</v>
      </c>
      <c r="C101" s="24" t="s">
        <v>13026</v>
      </c>
      <c r="D101" s="24">
        <v>44</v>
      </c>
      <c r="E101" s="27" t="str">
        <f>HYPERLINK("https://www.boe.es/gazeta/dias/1806/11/07/pdfs/GMD-1806-91.pdf","Abrir fascículo")</f>
        <v>Abrir fascículo</v>
      </c>
    </row>
    <row r="102" spans="1:5">
      <c r="A102" s="21" t="s">
        <v>13027</v>
      </c>
      <c r="B102" s="18" t="s">
        <v>396</v>
      </c>
      <c r="C102" s="24" t="s">
        <v>13001</v>
      </c>
      <c r="D102" s="24">
        <v>0</v>
      </c>
      <c r="E102" s="27" t="str">
        <f>HYPERLINK("https://www.boe.es/gazeta/dias/1806/11/07/pdfs/GMD-C-1806-91.pdf","Abrir suplemento")</f>
        <v>Abrir suplemento</v>
      </c>
    </row>
    <row r="103" spans="1:5">
      <c r="A103" s="21">
        <v>92</v>
      </c>
      <c r="B103" s="18" t="s">
        <v>38</v>
      </c>
      <c r="C103" s="24" t="s">
        <v>13028</v>
      </c>
      <c r="D103" s="24">
        <v>62</v>
      </c>
      <c r="E103" s="27" t="str">
        <f>HYPERLINK("https://www.boe.es/gazeta/dias/1806/11/11/pdfs/GMD-1806-92.pdf","Abrir fascículo")</f>
        <v>Abrir fascículo</v>
      </c>
    </row>
    <row r="104" spans="1:5">
      <c r="A104" s="21" t="s">
        <v>13029</v>
      </c>
      <c r="B104" s="18" t="s">
        <v>38</v>
      </c>
      <c r="C104" s="24" t="s">
        <v>13001</v>
      </c>
      <c r="D104" s="24">
        <v>0</v>
      </c>
      <c r="E104" s="27" t="str">
        <f>HYPERLINK("https://www.boe.es/gazeta/dias/1806/11/11/pdfs/GMD-C-1806-92.pdf","Abrir suplemento")</f>
        <v>Abrir suplemento</v>
      </c>
    </row>
    <row r="105" spans="1:5">
      <c r="A105" s="21">
        <v>93</v>
      </c>
      <c r="B105" s="18" t="s">
        <v>570</v>
      </c>
      <c r="C105" s="24" t="s">
        <v>13030</v>
      </c>
      <c r="D105" s="24">
        <v>77</v>
      </c>
      <c r="E105" s="27" t="str">
        <f>HYPERLINK("https://www.boe.es/gazeta/dias/1806/11/14/pdfs/GMD-1806-93.pdf","Abrir fascículo")</f>
        <v>Abrir fascículo</v>
      </c>
    </row>
    <row r="106" spans="1:5">
      <c r="A106" s="21" t="s">
        <v>13031</v>
      </c>
      <c r="B106" s="18" t="s">
        <v>570</v>
      </c>
      <c r="C106" s="24" t="s">
        <v>13032</v>
      </c>
      <c r="D106" s="24">
        <v>0</v>
      </c>
      <c r="E106" s="27" t="str">
        <f>HYPERLINK("https://www.boe.es/gazeta/dias/1806/11/14/pdfs/GMD-C-1806-93.pdf","Abrir suplemento")</f>
        <v>Abrir suplemento</v>
      </c>
    </row>
    <row r="107" spans="1:5">
      <c r="A107" s="21">
        <v>94</v>
      </c>
      <c r="B107" s="18" t="s">
        <v>297</v>
      </c>
      <c r="C107" s="24" t="s">
        <v>13033</v>
      </c>
      <c r="D107" s="24">
        <v>76</v>
      </c>
      <c r="E107" s="27" t="str">
        <f>HYPERLINK("https://www.boe.es/gazeta/dias/1806/11/18/pdfs/GMD-1806-94.pdf","Abrir fascículo")</f>
        <v>Abrir fascículo</v>
      </c>
    </row>
    <row r="108" spans="1:5">
      <c r="A108" s="21">
        <v>95</v>
      </c>
      <c r="B108" s="18" t="s">
        <v>209</v>
      </c>
      <c r="C108" s="24" t="s">
        <v>13034</v>
      </c>
      <c r="D108" s="24">
        <v>111</v>
      </c>
      <c r="E108" s="27" t="str">
        <f>HYPERLINK("https://www.boe.es/gazeta/dias/1806/11/21/pdfs/GMD-1806-95.pdf","Abrir fascículo")</f>
        <v>Abrir fascículo</v>
      </c>
    </row>
    <row r="109" spans="1:5">
      <c r="A109" s="21">
        <v>96</v>
      </c>
      <c r="B109" s="18" t="s">
        <v>657</v>
      </c>
      <c r="C109" s="24" t="s">
        <v>13035</v>
      </c>
      <c r="D109" s="24">
        <v>47</v>
      </c>
      <c r="E109" s="27" t="str">
        <f>HYPERLINK("https://www.boe.es/gazeta/dias/1806/11/25/pdfs/GMD-1806-96.pdf","Abrir fascículo")</f>
        <v>Abrir fascículo</v>
      </c>
    </row>
    <row r="110" spans="1:5">
      <c r="A110" s="21">
        <v>97</v>
      </c>
      <c r="B110" s="18" t="s">
        <v>680</v>
      </c>
      <c r="C110" s="24" t="s">
        <v>13036</v>
      </c>
      <c r="D110" s="24">
        <v>33</v>
      </c>
      <c r="E110" s="27" t="str">
        <f>HYPERLINK("https://www.boe.es/gazeta/dias/1806/11/28/pdfs/GMD-1806-97.pdf","Abrir fascículo")</f>
        <v>Abrir fascículo</v>
      </c>
    </row>
    <row r="111" spans="1:5">
      <c r="A111" s="21">
        <v>98</v>
      </c>
      <c r="B111" s="18" t="s">
        <v>76</v>
      </c>
      <c r="C111" s="24" t="s">
        <v>13037</v>
      </c>
      <c r="D111" s="24">
        <v>99</v>
      </c>
      <c r="E111" s="27" t="str">
        <f>HYPERLINK("https://www.boe.es/gazeta/dias/1806/12/02/pdfs/GMD-1806-98.pdf","Abrir fascículo")</f>
        <v>Abrir fascículo</v>
      </c>
    </row>
    <row r="112" spans="1:5">
      <c r="A112" s="21">
        <v>99</v>
      </c>
      <c r="B112" s="18" t="s">
        <v>181</v>
      </c>
      <c r="C112" s="24" t="s">
        <v>13038</v>
      </c>
      <c r="D112" s="24">
        <v>54</v>
      </c>
      <c r="E112" s="27" t="str">
        <f>HYPERLINK("https://www.boe.es/gazeta/dias/1806/12/05/pdfs/GMD-1806-99.pdf","Abrir fascículo")</f>
        <v>Abrir fascículo</v>
      </c>
    </row>
    <row r="113" spans="1:5">
      <c r="A113" s="21">
        <v>100</v>
      </c>
      <c r="B113" s="18" t="s">
        <v>312</v>
      </c>
      <c r="C113" s="24" t="s">
        <v>13039</v>
      </c>
      <c r="D113" s="24">
        <v>73</v>
      </c>
      <c r="E113" s="27" t="str">
        <f>HYPERLINK("https://www.boe.es/gazeta/dias/1806/12/09/pdfs/GMD-1806-100.pdf","Abrir fascículo")</f>
        <v>Abrir fascículo</v>
      </c>
    </row>
    <row r="114" spans="1:5">
      <c r="A114" s="21">
        <v>101</v>
      </c>
      <c r="B114" s="18" t="s">
        <v>165</v>
      </c>
      <c r="C114" s="24" t="s">
        <v>13040</v>
      </c>
      <c r="D114" s="24">
        <v>33</v>
      </c>
      <c r="E114" s="27" t="str">
        <f>HYPERLINK("https://www.boe.es/gazeta/dias/1806/12/12/pdfs/GMD-1806-101.pdf","Abrir fascículo")</f>
        <v>Abrir fascículo</v>
      </c>
    </row>
    <row r="115" spans="1:5">
      <c r="A115" s="21">
        <v>102</v>
      </c>
      <c r="B115" s="18" t="s">
        <v>28</v>
      </c>
      <c r="C115" s="24" t="s">
        <v>13041</v>
      </c>
      <c r="D115" s="24">
        <v>62</v>
      </c>
      <c r="E115" s="27" t="str">
        <f>HYPERLINK("https://www.boe.es/gazeta/dias/1806/12/16/pdfs/GMD-1806-102.pdf","Abrir fascículo")</f>
        <v>Abrir fascículo</v>
      </c>
    </row>
    <row r="116" spans="1:5">
      <c r="A116" s="21">
        <v>103</v>
      </c>
      <c r="B116" s="18" t="s">
        <v>191</v>
      </c>
      <c r="C116" s="24" t="s">
        <v>13042</v>
      </c>
      <c r="D116" s="24">
        <v>39</v>
      </c>
      <c r="E116" s="27" t="str">
        <f>HYPERLINK("https://www.boe.es/gazeta/dias/1806/12/19/pdfs/GMD-1806-103.pdf","Abrir fascículo")</f>
        <v>Abrir fascículo</v>
      </c>
    </row>
    <row r="117" spans="1:5">
      <c r="A117" s="21">
        <v>104</v>
      </c>
      <c r="B117" s="18" t="s">
        <v>327</v>
      </c>
      <c r="C117" s="24" t="s">
        <v>13043</v>
      </c>
      <c r="D117" s="24">
        <v>59</v>
      </c>
      <c r="E117" s="27" t="str">
        <f>HYPERLINK("https://www.boe.es/gazeta/dias/1806/12/23/pdfs/GMD-1806-104.pdf","Abrir fascículo")</f>
        <v>Abrir fascículo</v>
      </c>
    </row>
    <row r="118" spans="1:5">
      <c r="A118" s="21" t="s">
        <v>947</v>
      </c>
      <c r="B118" s="18" t="s">
        <v>946</v>
      </c>
      <c r="C118" s="24" t="s">
        <v>13044</v>
      </c>
      <c r="D118" s="24">
        <v>11</v>
      </c>
      <c r="E118" s="27" t="str">
        <f>HYPERLINK("https://www.boe.es/gazeta/dias/1806/12/24/pdfs/GMD-1806-105E.pdf","Abrir extraordinaria")</f>
        <v>Abrir extraordinaria</v>
      </c>
    </row>
    <row r="119" spans="1:5">
      <c r="A119" s="21">
        <v>106</v>
      </c>
      <c r="B119" s="18" t="s">
        <v>245</v>
      </c>
      <c r="C119" s="24" t="s">
        <v>13045</v>
      </c>
      <c r="D119" s="24">
        <v>23</v>
      </c>
      <c r="E119" s="27" t="str">
        <f>HYPERLINK("https://www.boe.es/gazeta/dias/1806/12/26/pdfs/GMD-1806-106.pdf","Abrir fascículo")</f>
        <v>Abrir fascículo</v>
      </c>
    </row>
    <row r="120" spans="1:5">
      <c r="A120" s="22">
        <v>107</v>
      </c>
      <c r="B120" s="19" t="s">
        <v>1031</v>
      </c>
      <c r="C120" s="25" t="s">
        <v>13046</v>
      </c>
      <c r="D120" s="25">
        <v>26</v>
      </c>
      <c r="E120" s="28" t="str">
        <f>HYPERLINK("https://www.boe.es/gazeta/dias/1806/12/30/pdfs/GMD-1806-107.pdf","Abrir fascículo")</f>
        <v>Abrir fascículo</v>
      </c>
    </row>
    <row r="122" spans="1:5" ht="48" customHeight="1">
      <c r="A122" s="29" t="s">
        <v>13047</v>
      </c>
      <c r="B122" s="34" t="s">
        <v>13048</v>
      </c>
      <c r="C122" s="34"/>
      <c r="D122" s="34"/>
      <c r="E122" s="34"/>
    </row>
    <row r="123" spans="1:5" ht="48" customHeight="1">
      <c r="A123" s="29" t="s">
        <v>13049</v>
      </c>
      <c r="B123" s="34" t="s">
        <v>13050</v>
      </c>
      <c r="C123" s="34"/>
      <c r="D123" s="34"/>
      <c r="E123" s="34"/>
    </row>
    <row r="124" spans="1:5" ht="48" customHeight="1">
      <c r="A124" s="29" t="s">
        <v>13051</v>
      </c>
      <c r="B124" s="34" t="s">
        <v>13052</v>
      </c>
      <c r="C124" s="34"/>
      <c r="D124" s="34"/>
      <c r="E124" s="34"/>
    </row>
    <row r="125" spans="1:5" ht="48" customHeight="1">
      <c r="A125" s="29" t="s">
        <v>13053</v>
      </c>
      <c r="B125" s="34" t="s">
        <v>13054</v>
      </c>
      <c r="C125" s="34"/>
      <c r="D125" s="34"/>
      <c r="E125" s="34"/>
    </row>
    <row r="126" spans="1:5" ht="48" customHeight="1">
      <c r="A126" s="29" t="s">
        <v>13055</v>
      </c>
      <c r="B126" s="34" t="s">
        <v>13056</v>
      </c>
      <c r="C126" s="34"/>
      <c r="D126" s="34"/>
      <c r="E126" s="34"/>
    </row>
    <row r="127" spans="1:5" ht="48" customHeight="1">
      <c r="A127" s="29" t="s">
        <v>13057</v>
      </c>
      <c r="B127" s="34" t="s">
        <v>13058</v>
      </c>
      <c r="C127" s="34"/>
      <c r="D127" s="34"/>
      <c r="E127" s="34"/>
    </row>
    <row r="128" spans="1:5" ht="48" customHeight="1">
      <c r="A128" s="29" t="s">
        <v>13059</v>
      </c>
      <c r="B128" s="34" t="s">
        <v>13060</v>
      </c>
      <c r="C128" s="34"/>
      <c r="D128" s="34"/>
      <c r="E128" s="34"/>
    </row>
    <row r="129" spans="1:5" ht="48" customHeight="1">
      <c r="A129" s="29" t="s">
        <v>13061</v>
      </c>
      <c r="B129" s="34" t="s">
        <v>13062</v>
      </c>
      <c r="C129" s="34"/>
      <c r="D129" s="34"/>
      <c r="E129" s="34"/>
    </row>
    <row r="130" spans="1:5" ht="48" customHeight="1">
      <c r="A130" s="29" t="s">
        <v>13063</v>
      </c>
      <c r="B130" s="34" t="s">
        <v>13064</v>
      </c>
      <c r="C130" s="34"/>
      <c r="D130" s="34"/>
      <c r="E130" s="34"/>
    </row>
    <row r="131" spans="1:5" ht="48" customHeight="1">
      <c r="A131" s="29" t="s">
        <v>13065</v>
      </c>
      <c r="B131" s="34" t="s">
        <v>13066</v>
      </c>
      <c r="C131" s="34"/>
      <c r="D131" s="34"/>
      <c r="E131" s="34"/>
    </row>
    <row r="132" spans="1:5" ht="48" customHeight="1">
      <c r="A132" s="29" t="s">
        <v>13067</v>
      </c>
      <c r="B132" s="34" t="s">
        <v>13068</v>
      </c>
      <c r="C132" s="34"/>
      <c r="D132" s="34"/>
      <c r="E132" s="34"/>
    </row>
  </sheetData>
  <mergeCells count="12">
    <mergeCell ref="B131:E131"/>
    <mergeCell ref="B132:E132"/>
    <mergeCell ref="B126:E126"/>
    <mergeCell ref="B127:E127"/>
    <mergeCell ref="B128:E128"/>
    <mergeCell ref="B129:E129"/>
    <mergeCell ref="B130:E130"/>
    <mergeCell ref="A1:E1"/>
    <mergeCell ref="B122:E122"/>
    <mergeCell ref="B123:E123"/>
    <mergeCell ref="B124:E124"/>
    <mergeCell ref="B125:E12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2026-09-26T09:59:10Z</dcterms:created>
  <dcterms:modified xsi:type="dcterms:W3CDTF">2026-09-26T09:59:10Z</dcterms:modified>
</cp:coreProperties>
</file>